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6.xml" ContentType="application/vnd.openxmlformats-officedocument.spreadsheetml.comments+xml"/>
  <Override PartName="/xl/drawings/drawing16.xml" ContentType="application/vnd.openxmlformats-officedocument.drawing+xml"/>
  <Override PartName="/xl/comments7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omments8.xml" ContentType="application/vnd.openxmlformats-officedocument.spreadsheetml.comment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9.xml" ContentType="application/vnd.openxmlformats-officedocument.spreadsheetml.comments+xml"/>
  <Override PartName="/xl/drawings/drawing23.xml" ContentType="application/vnd.openxmlformats-officedocument.drawing+xml"/>
  <Override PartName="/xl/comments10.xml" ContentType="application/vnd.openxmlformats-officedocument.spreadsheetml.comments+xml"/>
  <Override PartName="/xl/drawings/drawing24.xml" ContentType="application/vnd.openxmlformats-officedocument.drawing+xml"/>
  <Override PartName="/xl/comments11.xml" ContentType="application/vnd.openxmlformats-officedocument.spreadsheetml.comments+xml"/>
  <Override PartName="/xl/drawings/drawing25.xml" ContentType="application/vnd.openxmlformats-officedocument.drawing+xml"/>
  <Override PartName="/xl/comments12.xml" ContentType="application/vnd.openxmlformats-officedocument.spreadsheetml.comment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omments13.xml" ContentType="application/vnd.openxmlformats-officedocument.spreadsheetml.comments+xml"/>
  <Override PartName="/xl/drawings/drawing29.xml" ContentType="application/vnd.openxmlformats-officedocument.drawing+xml"/>
  <Override PartName="/xl/comments14.xml" ContentType="application/vnd.openxmlformats-officedocument.spreadsheetml.comments+xml"/>
  <Override PartName="/xl/drawings/drawing30.xml" ContentType="application/vnd.openxmlformats-officedocument.drawing+xml"/>
  <Override PartName="/xl/comments15.xml" ContentType="application/vnd.openxmlformats-officedocument.spreadsheetml.comments+xml"/>
  <Override PartName="/xl/drawings/drawing31.xml" ContentType="application/vnd.openxmlformats-officedocument.drawing+xml"/>
  <Override PartName="/xl/comments16.xml" ContentType="application/vnd.openxmlformats-officedocument.spreadsheetml.comment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oulu.sharepoint.com/sites/EVISAinternalchannel/Shared Documents/Eveliina - Finalised material/EVISA tools/Documents for Satamaliito/FIN/"/>
    </mc:Choice>
  </mc:AlternateContent>
  <xr:revisionPtr revIDLastSave="59" documentId="8_{D2E7A113-1EE7-40C8-AD09-D22FE91A1C5D}" xr6:coauthVersionLast="47" xr6:coauthVersionMax="47" xr10:uidLastSave="{4E762798-2B0E-4CEC-AF66-01B5EBA88303}"/>
  <bookViews>
    <workbookView xWindow="-120" yWindow="-120" windowWidth="38640" windowHeight="21240" tabRatio="888" activeTab="32" xr2:uid="{C5E018AF-EAA3-4F8E-8C72-642CBF4573EB}"/>
  </bookViews>
  <sheets>
    <sheet name="YHTEENVETO" sheetId="11" r:id="rId1"/>
    <sheet name="Iso Kaavio" sheetId="20" state="hidden" r:id="rId2"/>
    <sheet name="Kaavioita" sheetId="36" r:id="rId3"/>
    <sheet name="Energia_fx" sheetId="7" state="hidden" r:id="rId4"/>
    <sheet name="Energia_Lask" sheetId="31" state="hidden" r:id="rId5"/>
    <sheet name="Energia" sheetId="17" r:id="rId6"/>
    <sheet name="Alukset_fx" sheetId="1" state="hidden" r:id="rId7"/>
    <sheet name="Alukset_Käynnit_Lask" sheetId="35" state="hidden" r:id="rId8"/>
    <sheet name="Alukset_Käynnit" sheetId="32" r:id="rId9"/>
    <sheet name="Alukset_Päästöt_Lask" sheetId="34" state="hidden" r:id="rId10"/>
    <sheet name="Alukset_Päästöt" sheetId="33" r:id="rId11"/>
    <sheet name="Alukset" sheetId="10" r:id="rId12"/>
    <sheet name="Satama-alukset_fx" sheetId="2" state="hidden" r:id="rId13"/>
    <sheet name="Satama-alukset_Lask" sheetId="22" state="hidden" r:id="rId14"/>
    <sheet name="Satama-alukset" sheetId="21" r:id="rId15"/>
    <sheet name="LKL_fx" sheetId="3" state="hidden" r:id="rId16"/>
    <sheet name="LKL_Lask" sheetId="23" state="hidden" r:id="rId17"/>
    <sheet name="LKL" sheetId="13" r:id="rId18"/>
    <sheet name="Tie_fx" sheetId="6" state="hidden" r:id="rId19"/>
    <sheet name="Tie_Lask" sheetId="24" state="hidden" r:id="rId20"/>
    <sheet name="Tie" sheetId="16" r:id="rId21"/>
    <sheet name="Rautatie_fx" sheetId="4" state="hidden" r:id="rId22"/>
    <sheet name="Rautatie_Lask" sheetId="25" state="hidden" r:id="rId23"/>
    <sheet name="Rautatie" sheetId="15" r:id="rId24"/>
    <sheet name="KEL_fx" sheetId="8" state="hidden" r:id="rId25"/>
    <sheet name="KEL_Lask" sheetId="26" state="hidden" r:id="rId26"/>
    <sheet name="KEL" sheetId="18" r:id="rId27"/>
    <sheet name="Henkilöautot_fx" sheetId="9" state="hidden" r:id="rId28"/>
    <sheet name="Henkilöautot_Lask" sheetId="28" state="hidden" r:id="rId29"/>
    <sheet name="Henkilöautot" sheetId="19" r:id="rId30"/>
    <sheet name="RL_fx" sheetId="5" state="hidden" r:id="rId31"/>
    <sheet name="RL_Lask" sheetId="29" state="hidden" r:id="rId32"/>
    <sheet name="RL" sheetId="14" r:id="rId33"/>
  </sheets>
  <externalReferences>
    <externalReference r:id="rId3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5" i="22" l="1"/>
  <c r="R56" i="22"/>
  <c r="R57" i="22"/>
  <c r="R58" i="22"/>
  <c r="R59" i="22"/>
  <c r="R60" i="22"/>
  <c r="R54" i="22"/>
  <c r="L34" i="22"/>
  <c r="L35" i="22"/>
  <c r="L36" i="22"/>
  <c r="L37" i="22"/>
  <c r="L38" i="22"/>
  <c r="L39" i="22"/>
  <c r="L33" i="22"/>
  <c r="K34" i="22"/>
  <c r="K35" i="22"/>
  <c r="K36" i="22"/>
  <c r="K37" i="22"/>
  <c r="K38" i="22"/>
  <c r="K39" i="22"/>
  <c r="K33" i="22"/>
  <c r="L15" i="22"/>
  <c r="L16" i="22"/>
  <c r="L17" i="22"/>
  <c r="L18" i="22"/>
  <c r="K15" i="22"/>
  <c r="K16" i="22"/>
  <c r="K17" i="22"/>
  <c r="K18" i="22"/>
  <c r="P39" i="22"/>
  <c r="P38" i="22"/>
  <c r="P37" i="22"/>
  <c r="P36" i="22"/>
  <c r="P35" i="22"/>
  <c r="P34" i="22"/>
  <c r="P33" i="22"/>
  <c r="O39" i="22"/>
  <c r="O38" i="22"/>
  <c r="O37" i="22"/>
  <c r="O36" i="22"/>
  <c r="O35" i="22"/>
  <c r="O34" i="22"/>
  <c r="O33" i="22"/>
  <c r="P15" i="22"/>
  <c r="P16" i="22"/>
  <c r="P17" i="22"/>
  <c r="P18" i="22"/>
  <c r="O15" i="22"/>
  <c r="O16" i="22"/>
  <c r="O17" i="22"/>
  <c r="O18" i="22"/>
  <c r="G27" i="28"/>
  <c r="G28" i="28"/>
  <c r="G29" i="28"/>
  <c r="G30" i="28"/>
  <c r="G31" i="28"/>
  <c r="G32" i="28"/>
  <c r="G33" i="28"/>
  <c r="G34" i="28"/>
  <c r="G35" i="28"/>
  <c r="G26" i="28"/>
  <c r="K45" i="23"/>
  <c r="K44" i="23"/>
  <c r="K43" i="23"/>
  <c r="K42" i="23"/>
  <c r="K41" i="23"/>
  <c r="K40" i="23"/>
  <c r="K39" i="23"/>
  <c r="K38" i="23"/>
  <c r="K37" i="23"/>
  <c r="K36" i="23"/>
  <c r="K35" i="23"/>
  <c r="K34" i="23"/>
  <c r="K33" i="23"/>
  <c r="K21" i="23"/>
  <c r="K22" i="23"/>
  <c r="K23" i="23"/>
  <c r="K24" i="23"/>
  <c r="K25" i="23"/>
  <c r="K26" i="23"/>
  <c r="E79" i="31"/>
  <c r="E78" i="31"/>
  <c r="E77" i="31"/>
  <c r="E76" i="31"/>
  <c r="E75" i="31"/>
  <c r="E74" i="31"/>
  <c r="E73" i="31"/>
  <c r="E72" i="31"/>
  <c r="E71" i="31"/>
  <c r="E70" i="31"/>
  <c r="E31" i="31"/>
  <c r="E32" i="31"/>
  <c r="E33" i="31"/>
  <c r="E34" i="31"/>
  <c r="E35" i="31"/>
  <c r="E65" i="31"/>
  <c r="E64" i="31"/>
  <c r="E63" i="31"/>
  <c r="E62" i="31"/>
  <c r="E61" i="31"/>
  <c r="E60" i="31"/>
  <c r="E59" i="31"/>
  <c r="E58" i="31"/>
  <c r="E15" i="31"/>
  <c r="E16" i="31"/>
  <c r="E17" i="31"/>
  <c r="E18" i="31"/>
  <c r="E19" i="31"/>
  <c r="E20" i="31"/>
  <c r="E21" i="31"/>
  <c r="AM153" i="35"/>
  <c r="AM154" i="35"/>
  <c r="AM155" i="35"/>
  <c r="AM156" i="35"/>
  <c r="AM157" i="35"/>
  <c r="AM158" i="35"/>
  <c r="AM159" i="35"/>
  <c r="AM160" i="35"/>
  <c r="AM161" i="35"/>
  <c r="AM162" i="35"/>
  <c r="AM163" i="35"/>
  <c r="AM164" i="35"/>
  <c r="AM165" i="35"/>
  <c r="AM166" i="35"/>
  <c r="AM167" i="35"/>
  <c r="AM168" i="35"/>
  <c r="AM169" i="35"/>
  <c r="AM170" i="35"/>
  <c r="AM171" i="35"/>
  <c r="AM172" i="35"/>
  <c r="AM173" i="35"/>
  <c r="AM174" i="35"/>
  <c r="AM175" i="35"/>
  <c r="AM176" i="35"/>
  <c r="AM177" i="35"/>
  <c r="AM178" i="35"/>
  <c r="AM179" i="35"/>
  <c r="AM180" i="35"/>
  <c r="AM181" i="35"/>
  <c r="AM182" i="35"/>
  <c r="AM183" i="35"/>
  <c r="AM184" i="35"/>
  <c r="AM185" i="35"/>
  <c r="AM186" i="35"/>
  <c r="AM187" i="35"/>
  <c r="AM188" i="35"/>
  <c r="AM189" i="35"/>
  <c r="AM190" i="35"/>
  <c r="AM191" i="35"/>
  <c r="AM192" i="35"/>
  <c r="AM193" i="35"/>
  <c r="AM194" i="35"/>
  <c r="AM195" i="35"/>
  <c r="AM196" i="35"/>
  <c r="AM197" i="35"/>
  <c r="AM198" i="35"/>
  <c r="AM199" i="35"/>
  <c r="AM200" i="35"/>
  <c r="AM201" i="35"/>
  <c r="AM202" i="35"/>
  <c r="AM203" i="35"/>
  <c r="AM204" i="35"/>
  <c r="AM205" i="35"/>
  <c r="AM206" i="35"/>
  <c r="AM207" i="35"/>
  <c r="AM208" i="35"/>
  <c r="AM209" i="35"/>
  <c r="AM210" i="35"/>
  <c r="AM211" i="35"/>
  <c r="AM212" i="35"/>
  <c r="AM213" i="35"/>
  <c r="AM214" i="35"/>
  <c r="AM215" i="35"/>
  <c r="AM216" i="35"/>
  <c r="AM217" i="35"/>
  <c r="AM218" i="35"/>
  <c r="AM219" i="35"/>
  <c r="AM220" i="35"/>
  <c r="AM221" i="35"/>
  <c r="AM222" i="35"/>
  <c r="AM223" i="35"/>
  <c r="AM224" i="35"/>
  <c r="AM225" i="35"/>
  <c r="AM226" i="35"/>
  <c r="AM227" i="35"/>
  <c r="AM228" i="35"/>
  <c r="AM229" i="35"/>
  <c r="AM230" i="35"/>
  <c r="AM231" i="35"/>
  <c r="AM232" i="35"/>
  <c r="AM233" i="35"/>
  <c r="AM234" i="35"/>
  <c r="AM235" i="35"/>
  <c r="AM236" i="35"/>
  <c r="AM237" i="35"/>
  <c r="AM238" i="35"/>
  <c r="AM239" i="35"/>
  <c r="AM240" i="35"/>
  <c r="AM241" i="35"/>
  <c r="AM242" i="35"/>
  <c r="AM243" i="35"/>
  <c r="AM244" i="35"/>
  <c r="AM245" i="35"/>
  <c r="AM246" i="35"/>
  <c r="AM247" i="35"/>
  <c r="AM248" i="35"/>
  <c r="AM249" i="35"/>
  <c r="AM250" i="35"/>
  <c r="AM251" i="35"/>
  <c r="AM252" i="35"/>
  <c r="AM253" i="35"/>
  <c r="AM254" i="35"/>
  <c r="AM255" i="35"/>
  <c r="AM256" i="35"/>
  <c r="AM257" i="35"/>
  <c r="AM258" i="35"/>
  <c r="AM259" i="35"/>
  <c r="AM260" i="35"/>
  <c r="AM261" i="35"/>
  <c r="AM262" i="35"/>
  <c r="AM263" i="35"/>
  <c r="AM264" i="35"/>
  <c r="AM265" i="35"/>
  <c r="AM266" i="35"/>
  <c r="AM267" i="35"/>
  <c r="AM268" i="35"/>
  <c r="AM269" i="35"/>
  <c r="AM270" i="35"/>
  <c r="AM271" i="35"/>
  <c r="AM272" i="35"/>
  <c r="AM273" i="35"/>
  <c r="AM274" i="35"/>
  <c r="AM275" i="35"/>
  <c r="AM276" i="35"/>
  <c r="AM277" i="35"/>
  <c r="AM278" i="35"/>
  <c r="AM279" i="35"/>
  <c r="AM280" i="35"/>
  <c r="AM281" i="35"/>
  <c r="AM282" i="35"/>
  <c r="AM283" i="35"/>
  <c r="AM284" i="35"/>
  <c r="AM285" i="35"/>
  <c r="AM286" i="35"/>
  <c r="AM287" i="35"/>
  <c r="AM288" i="35"/>
  <c r="AM289" i="35"/>
  <c r="AM290" i="35"/>
  <c r="AM291" i="35"/>
  <c r="AM292" i="35"/>
  <c r="AM293" i="35"/>
  <c r="AM294" i="35"/>
  <c r="AM295" i="35"/>
  <c r="AM296" i="35"/>
  <c r="AM297" i="35"/>
  <c r="AM298" i="35"/>
  <c r="AM299" i="35"/>
  <c r="AM300" i="35"/>
  <c r="AM301" i="35"/>
  <c r="AM302" i="35"/>
  <c r="AM303" i="35"/>
  <c r="AM304" i="35"/>
  <c r="AM305" i="35"/>
  <c r="AM306" i="35"/>
  <c r="AM307" i="35"/>
  <c r="AM308" i="35"/>
  <c r="AM309" i="35"/>
  <c r="AM310" i="35"/>
  <c r="AM311" i="35"/>
  <c r="AM312" i="35"/>
  <c r="AM313" i="35"/>
  <c r="AM314" i="35"/>
  <c r="AM315" i="35"/>
  <c r="AM316" i="35"/>
  <c r="AM317" i="35"/>
  <c r="AM318" i="35"/>
  <c r="AM319" i="35"/>
  <c r="AM320" i="35"/>
  <c r="AM321" i="35"/>
  <c r="AM322" i="35"/>
  <c r="AM323" i="35"/>
  <c r="AM324" i="35"/>
  <c r="AM325" i="35"/>
  <c r="AM326" i="35"/>
  <c r="AM327" i="35"/>
  <c r="AM328" i="35"/>
  <c r="AM329" i="35"/>
  <c r="AM330" i="35"/>
  <c r="AM331" i="35"/>
  <c r="AM332" i="35"/>
  <c r="AM333" i="35"/>
  <c r="AM334" i="35"/>
  <c r="AM335" i="35"/>
  <c r="AM336" i="35"/>
  <c r="AM337" i="35"/>
  <c r="AM338" i="35"/>
  <c r="AM339" i="35"/>
  <c r="AM340" i="35"/>
  <c r="AM341" i="35"/>
  <c r="AM342" i="35"/>
  <c r="AM343" i="35"/>
  <c r="AM344" i="35"/>
  <c r="AM345" i="35"/>
  <c r="AM346" i="35"/>
  <c r="AM347" i="35"/>
  <c r="AM348" i="35"/>
  <c r="AM349" i="35"/>
  <c r="AM350" i="35"/>
  <c r="AM351" i="35"/>
  <c r="AM352" i="35"/>
  <c r="AM353" i="35"/>
  <c r="AM354" i="35"/>
  <c r="AM355" i="35"/>
  <c r="AM356" i="35"/>
  <c r="AM357" i="35"/>
  <c r="AM358" i="35"/>
  <c r="AM359" i="35"/>
  <c r="AM360" i="35"/>
  <c r="AM361" i="35"/>
  <c r="AM362" i="35"/>
  <c r="AM363" i="35"/>
  <c r="AM364" i="35"/>
  <c r="AM365" i="35"/>
  <c r="AM366" i="35"/>
  <c r="AM367" i="35"/>
  <c r="AM368" i="35"/>
  <c r="AM369" i="35"/>
  <c r="AM370" i="35"/>
  <c r="AM371" i="35"/>
  <c r="AM372" i="35"/>
  <c r="AM373" i="35"/>
  <c r="AM374" i="35"/>
  <c r="AM375" i="35"/>
  <c r="AM376" i="35"/>
  <c r="AM377" i="35"/>
  <c r="AM378" i="35"/>
  <c r="AM379" i="35"/>
  <c r="AM380" i="35"/>
  <c r="AM381" i="35"/>
  <c r="AM382" i="35"/>
  <c r="AM383" i="35"/>
  <c r="AM384" i="35"/>
  <c r="AM385" i="35"/>
  <c r="AM386" i="35"/>
  <c r="AM387" i="35"/>
  <c r="AM388" i="35"/>
  <c r="AM389" i="35"/>
  <c r="AM390" i="35"/>
  <c r="AM391" i="35"/>
  <c r="AM392" i="35"/>
  <c r="AM393" i="35"/>
  <c r="AM394" i="35"/>
  <c r="AM395" i="35"/>
  <c r="AM396" i="35"/>
  <c r="AM397" i="35"/>
  <c r="AM398" i="35"/>
  <c r="AM399" i="35"/>
  <c r="AM400" i="35"/>
  <c r="AM401" i="35"/>
  <c r="AM402" i="35"/>
  <c r="AM403" i="35"/>
  <c r="AM404" i="35"/>
  <c r="AM405" i="35"/>
  <c r="AM406" i="35"/>
  <c r="AM407" i="35"/>
  <c r="AM408" i="35"/>
  <c r="AM409" i="35"/>
  <c r="AM410" i="35"/>
  <c r="AM411" i="35"/>
  <c r="AM412" i="35"/>
  <c r="AM413" i="35"/>
  <c r="AM414" i="35"/>
  <c r="AM415" i="35"/>
  <c r="AM416" i="35"/>
  <c r="AM417" i="35"/>
  <c r="AM418" i="35"/>
  <c r="AM419" i="35"/>
  <c r="AM420" i="35"/>
  <c r="AM421" i="35"/>
  <c r="AM422" i="35"/>
  <c r="AM423" i="35"/>
  <c r="AM424" i="35"/>
  <c r="AM425" i="35"/>
  <c r="AM426" i="35"/>
  <c r="AM427" i="35"/>
  <c r="AM428" i="35"/>
  <c r="AM429" i="35"/>
  <c r="AM430" i="35"/>
  <c r="AM431" i="35"/>
  <c r="AM432" i="35"/>
  <c r="AM433" i="35"/>
  <c r="AM434" i="35"/>
  <c r="AM435" i="35"/>
  <c r="AM436" i="35"/>
  <c r="AM437" i="35"/>
  <c r="AM438" i="35"/>
  <c r="AM439" i="35"/>
  <c r="AM440" i="35"/>
  <c r="AM441" i="35"/>
  <c r="AM442" i="35"/>
  <c r="AM443" i="35"/>
  <c r="AM444" i="35"/>
  <c r="AM445" i="35"/>
  <c r="AM446" i="35"/>
  <c r="AM447" i="35"/>
  <c r="AM448" i="35"/>
  <c r="AM449" i="35"/>
  <c r="AM450" i="35"/>
  <c r="AM451" i="35"/>
  <c r="AM452" i="35"/>
  <c r="AM453" i="35"/>
  <c r="AM454" i="35"/>
  <c r="AM455" i="35"/>
  <c r="AM456" i="35"/>
  <c r="AM457" i="35"/>
  <c r="AM458" i="35"/>
  <c r="AM459" i="35"/>
  <c r="AM460" i="35"/>
  <c r="AM461" i="35"/>
  <c r="AM462" i="35"/>
  <c r="AM463" i="35"/>
  <c r="AM464" i="35"/>
  <c r="AM465" i="35"/>
  <c r="AM466" i="35"/>
  <c r="AM467" i="35"/>
  <c r="AM468" i="35"/>
  <c r="AM469" i="35"/>
  <c r="AM470" i="35"/>
  <c r="AM471" i="35"/>
  <c r="AM472" i="35"/>
  <c r="AM473" i="35"/>
  <c r="AM474" i="35"/>
  <c r="AM475" i="35"/>
  <c r="AM476" i="35"/>
  <c r="AM477" i="35"/>
  <c r="AM478" i="35"/>
  <c r="AM479" i="35"/>
  <c r="AM480" i="35"/>
  <c r="AM481" i="35"/>
  <c r="AM482" i="35"/>
  <c r="AM483" i="35"/>
  <c r="AM484" i="35"/>
  <c r="AM485" i="35"/>
  <c r="AM486" i="35"/>
  <c r="AM487" i="35"/>
  <c r="AM488" i="35"/>
  <c r="AM489" i="35"/>
  <c r="AM490" i="35"/>
  <c r="AM491" i="35"/>
  <c r="AM492" i="35"/>
  <c r="AM493" i="35"/>
  <c r="AM494" i="35"/>
  <c r="AM495" i="35"/>
  <c r="AM496" i="35"/>
  <c r="AM497" i="35"/>
  <c r="AM498" i="35"/>
  <c r="AM499" i="35"/>
  <c r="AM500" i="35"/>
  <c r="AM501" i="35"/>
  <c r="AM502" i="35"/>
  <c r="AM503" i="35"/>
  <c r="AM504" i="35"/>
  <c r="AM505" i="35"/>
  <c r="AM506" i="35"/>
  <c r="AM507" i="35"/>
  <c r="AM508" i="35"/>
  <c r="AM509" i="35"/>
  <c r="AM510" i="35"/>
  <c r="AM511" i="35"/>
  <c r="AM512" i="35"/>
  <c r="AM513" i="35"/>
  <c r="AM514" i="35"/>
  <c r="AM515" i="35"/>
  <c r="AM516" i="35"/>
  <c r="AM517" i="35"/>
  <c r="AM518" i="35"/>
  <c r="AM519" i="35"/>
  <c r="AM520" i="35"/>
  <c r="AM521" i="35"/>
  <c r="AM522" i="35"/>
  <c r="AM523" i="35"/>
  <c r="AM524" i="35"/>
  <c r="AM525" i="35"/>
  <c r="AM526" i="35"/>
  <c r="AM527" i="35"/>
  <c r="AM528" i="35"/>
  <c r="AM529" i="35"/>
  <c r="AM530" i="35"/>
  <c r="AM531" i="35"/>
  <c r="AM532" i="35"/>
  <c r="AM533" i="35"/>
  <c r="AM534" i="35"/>
  <c r="AM535" i="35"/>
  <c r="AM536" i="35"/>
  <c r="AM537" i="35"/>
  <c r="AM538" i="35"/>
  <c r="AM539" i="35"/>
  <c r="AM540" i="35"/>
  <c r="AM541" i="35"/>
  <c r="AM542" i="35"/>
  <c r="AM543" i="35"/>
  <c r="AM544" i="35"/>
  <c r="AM545" i="35"/>
  <c r="AM546" i="35"/>
  <c r="AM547" i="35"/>
  <c r="AM548" i="35"/>
  <c r="AM549" i="35"/>
  <c r="AM550" i="35"/>
  <c r="AM551" i="35"/>
  <c r="AM552" i="35"/>
  <c r="AM553" i="35"/>
  <c r="AM554" i="35"/>
  <c r="AM555" i="35"/>
  <c r="AM556" i="35"/>
  <c r="AM557" i="35"/>
  <c r="AM558" i="35"/>
  <c r="AM559" i="35"/>
  <c r="AM560" i="35"/>
  <c r="AM561" i="35"/>
  <c r="AM562" i="35"/>
  <c r="AM563" i="35"/>
  <c r="AM564" i="35"/>
  <c r="AM565" i="35"/>
  <c r="AM566" i="35"/>
  <c r="AM567" i="35"/>
  <c r="AM568" i="35"/>
  <c r="AM569" i="35"/>
  <c r="AM570" i="35"/>
  <c r="AM571" i="35"/>
  <c r="AM572" i="35"/>
  <c r="AM573" i="35"/>
  <c r="AM574" i="35"/>
  <c r="AM575" i="35"/>
  <c r="AM576" i="35"/>
  <c r="AM577" i="35"/>
  <c r="AM578" i="35"/>
  <c r="AM579" i="35"/>
  <c r="AM580" i="35"/>
  <c r="AM581" i="35"/>
  <c r="AM582" i="35"/>
  <c r="AM583" i="35"/>
  <c r="AM584" i="35"/>
  <c r="AM585" i="35"/>
  <c r="AM586" i="35"/>
  <c r="AM587" i="35"/>
  <c r="AM588" i="35"/>
  <c r="AM589" i="35"/>
  <c r="AM590" i="35"/>
  <c r="AM591" i="35"/>
  <c r="AM592" i="35"/>
  <c r="AM593" i="35"/>
  <c r="AM594" i="35"/>
  <c r="AM595" i="35"/>
  <c r="AM596" i="35"/>
  <c r="AM597" i="35"/>
  <c r="AM598" i="35"/>
  <c r="AM599" i="35"/>
  <c r="AM600" i="35"/>
  <c r="AM601" i="35"/>
  <c r="AM602" i="35"/>
  <c r="AM603" i="35"/>
  <c r="AM604" i="35"/>
  <c r="AM605" i="35"/>
  <c r="AM606" i="35"/>
  <c r="AM607" i="35"/>
  <c r="AM608" i="35"/>
  <c r="AM609" i="35"/>
  <c r="AM610" i="35"/>
  <c r="AM611" i="35"/>
  <c r="AM612" i="35"/>
  <c r="AM613" i="35"/>
  <c r="AM614" i="35"/>
  <c r="AM615" i="35"/>
  <c r="AM616" i="35"/>
  <c r="AM617" i="35"/>
  <c r="AM618" i="35"/>
  <c r="AM619" i="35"/>
  <c r="AM620" i="35"/>
  <c r="AM621" i="35"/>
  <c r="AM622" i="35"/>
  <c r="AM623" i="35"/>
  <c r="AM624" i="35"/>
  <c r="AM625" i="35"/>
  <c r="AM626" i="35"/>
  <c r="AM627" i="35"/>
  <c r="AM628" i="35"/>
  <c r="AM629" i="35"/>
  <c r="AM630" i="35"/>
  <c r="AM631" i="35"/>
  <c r="AM632" i="35"/>
  <c r="AM633" i="35"/>
  <c r="AM634" i="35"/>
  <c r="AM635" i="35"/>
  <c r="AM636" i="35"/>
  <c r="AM637" i="35"/>
  <c r="AM638" i="35"/>
  <c r="AM639" i="35"/>
  <c r="AM640" i="35"/>
  <c r="AM641" i="35"/>
  <c r="AM642" i="35"/>
  <c r="AM643" i="35"/>
  <c r="AM644" i="35"/>
  <c r="AM645" i="35"/>
  <c r="AM646" i="35"/>
  <c r="AM647" i="35"/>
  <c r="AM648" i="35"/>
  <c r="AM649" i="35"/>
  <c r="AM650" i="35"/>
  <c r="AM651" i="35"/>
  <c r="AM652" i="35"/>
  <c r="AM653" i="35"/>
  <c r="AM654" i="35"/>
  <c r="AM655" i="35"/>
  <c r="AM656" i="35"/>
  <c r="AM657" i="35"/>
  <c r="AM658" i="35"/>
  <c r="AM659" i="35"/>
  <c r="AM660" i="35"/>
  <c r="AM661" i="35"/>
  <c r="AM662" i="35"/>
  <c r="AM663" i="35"/>
  <c r="AM664" i="35"/>
  <c r="AM665" i="35"/>
  <c r="AM666" i="35"/>
  <c r="AM667" i="35"/>
  <c r="AM668" i="35"/>
  <c r="AM669" i="35"/>
  <c r="AM670" i="35"/>
  <c r="AM671" i="35"/>
  <c r="AM672" i="35"/>
  <c r="AM673" i="35"/>
  <c r="AM674" i="35"/>
  <c r="AM675" i="35"/>
  <c r="AM676" i="35"/>
  <c r="AM677" i="35"/>
  <c r="AM678" i="35"/>
  <c r="AM679" i="35"/>
  <c r="AM680" i="35"/>
  <c r="AM681" i="35"/>
  <c r="AM682" i="35"/>
  <c r="AM683" i="35"/>
  <c r="AM684" i="35"/>
  <c r="AM685" i="35"/>
  <c r="AM686" i="35"/>
  <c r="AM687" i="35"/>
  <c r="AM688" i="35"/>
  <c r="AM689" i="35"/>
  <c r="AM690" i="35"/>
  <c r="AM691" i="35"/>
  <c r="AM692" i="35"/>
  <c r="AM693" i="35"/>
  <c r="AM694" i="35"/>
  <c r="AM695" i="35"/>
  <c r="AM696" i="35"/>
  <c r="AM697" i="35"/>
  <c r="AM698" i="35"/>
  <c r="AM699" i="35"/>
  <c r="AM700" i="35"/>
  <c r="AM701" i="35"/>
  <c r="AL153" i="35"/>
  <c r="AL154" i="35"/>
  <c r="AL155" i="35"/>
  <c r="AL156" i="35"/>
  <c r="AL157" i="35"/>
  <c r="AL158" i="35"/>
  <c r="AL159" i="35"/>
  <c r="AL160" i="35"/>
  <c r="AL161" i="35"/>
  <c r="AL162" i="35"/>
  <c r="AL163" i="35"/>
  <c r="AL164" i="35"/>
  <c r="AL165" i="35"/>
  <c r="AL166" i="35"/>
  <c r="AL167" i="35"/>
  <c r="AL168" i="35"/>
  <c r="AL169" i="35"/>
  <c r="AL170" i="35"/>
  <c r="AL171" i="35"/>
  <c r="AL172" i="35"/>
  <c r="AL173" i="35"/>
  <c r="AL174" i="35"/>
  <c r="AL175" i="35"/>
  <c r="AL176" i="35"/>
  <c r="AL177" i="35"/>
  <c r="AL178" i="35"/>
  <c r="AL179" i="35"/>
  <c r="AL180" i="35"/>
  <c r="AL181" i="35"/>
  <c r="AL182" i="35"/>
  <c r="AL183" i="35"/>
  <c r="AL184" i="35"/>
  <c r="AL185" i="35"/>
  <c r="AL186" i="35"/>
  <c r="AL187" i="35"/>
  <c r="AL188" i="35"/>
  <c r="AL189" i="35"/>
  <c r="AL190" i="35"/>
  <c r="AL191" i="35"/>
  <c r="AL192" i="35"/>
  <c r="AL193" i="35"/>
  <c r="AL194" i="35"/>
  <c r="AL195" i="35"/>
  <c r="AL196" i="35"/>
  <c r="AL197" i="35"/>
  <c r="AL198" i="35"/>
  <c r="AL199" i="35"/>
  <c r="AL200" i="35"/>
  <c r="AL201" i="35"/>
  <c r="AL202" i="35"/>
  <c r="AL203" i="35"/>
  <c r="AL204" i="35"/>
  <c r="AL205" i="35"/>
  <c r="AL206" i="35"/>
  <c r="AL207" i="35"/>
  <c r="AL208" i="35"/>
  <c r="AL209" i="35"/>
  <c r="AL210" i="35"/>
  <c r="AL211" i="35"/>
  <c r="AL212" i="35"/>
  <c r="AL213" i="35"/>
  <c r="AL214" i="35"/>
  <c r="AL215" i="35"/>
  <c r="AL216" i="35"/>
  <c r="AL217" i="35"/>
  <c r="AL218" i="35"/>
  <c r="AL219" i="35"/>
  <c r="AL220" i="35"/>
  <c r="AL221" i="35"/>
  <c r="AL222" i="35"/>
  <c r="AL223" i="35"/>
  <c r="AL224" i="35"/>
  <c r="AL225" i="35"/>
  <c r="AL226" i="35"/>
  <c r="AL227" i="35"/>
  <c r="AL228" i="35"/>
  <c r="AL229" i="35"/>
  <c r="AL230" i="35"/>
  <c r="AL231" i="35"/>
  <c r="AL232" i="35"/>
  <c r="AL233" i="35"/>
  <c r="AL234" i="35"/>
  <c r="AL235" i="35"/>
  <c r="AL236" i="35"/>
  <c r="AL237" i="35"/>
  <c r="AL238" i="35"/>
  <c r="AL239" i="35"/>
  <c r="AL240" i="35"/>
  <c r="AL241" i="35"/>
  <c r="AL242" i="35"/>
  <c r="AL243" i="35"/>
  <c r="AL244" i="35"/>
  <c r="AL245" i="35"/>
  <c r="AL246" i="35"/>
  <c r="AL247" i="35"/>
  <c r="AL248" i="35"/>
  <c r="AL249" i="35"/>
  <c r="AL250" i="35"/>
  <c r="AL251" i="35"/>
  <c r="AL252" i="35"/>
  <c r="AL253" i="35"/>
  <c r="AL254" i="35"/>
  <c r="AL255" i="35"/>
  <c r="AL256" i="35"/>
  <c r="AL257" i="35"/>
  <c r="AL258" i="35"/>
  <c r="AL259" i="35"/>
  <c r="AL260" i="35"/>
  <c r="AL261" i="35"/>
  <c r="AL262" i="35"/>
  <c r="AL263" i="35"/>
  <c r="AL264" i="35"/>
  <c r="AL265" i="35"/>
  <c r="AL266" i="35"/>
  <c r="AL267" i="35"/>
  <c r="AL268" i="35"/>
  <c r="AL269" i="35"/>
  <c r="AL270" i="35"/>
  <c r="AL271" i="35"/>
  <c r="AL272" i="35"/>
  <c r="AL273" i="35"/>
  <c r="AL274" i="35"/>
  <c r="AL275" i="35"/>
  <c r="AL276" i="35"/>
  <c r="AL277" i="35"/>
  <c r="AL278" i="35"/>
  <c r="AL279" i="35"/>
  <c r="AL280" i="35"/>
  <c r="AL281" i="35"/>
  <c r="AL282" i="35"/>
  <c r="AL283" i="35"/>
  <c r="AL284" i="35"/>
  <c r="AL285" i="35"/>
  <c r="AL286" i="35"/>
  <c r="AL287" i="35"/>
  <c r="AL288" i="35"/>
  <c r="AL289" i="35"/>
  <c r="AL290" i="35"/>
  <c r="AL291" i="35"/>
  <c r="AL292" i="35"/>
  <c r="AL293" i="35"/>
  <c r="AL294" i="35"/>
  <c r="AL295" i="35"/>
  <c r="AL296" i="35"/>
  <c r="AL297" i="35"/>
  <c r="AL298" i="35"/>
  <c r="AL299" i="35"/>
  <c r="AL300" i="35"/>
  <c r="AL301" i="35"/>
  <c r="AL302" i="35"/>
  <c r="AL303" i="35"/>
  <c r="AL304" i="35"/>
  <c r="AL305" i="35"/>
  <c r="AL306" i="35"/>
  <c r="AL307" i="35"/>
  <c r="AL308" i="35"/>
  <c r="AL309" i="35"/>
  <c r="AL310" i="35"/>
  <c r="AL311" i="35"/>
  <c r="AL312" i="35"/>
  <c r="AL313" i="35"/>
  <c r="AL314" i="35"/>
  <c r="AL315" i="35"/>
  <c r="AL316" i="35"/>
  <c r="AL317" i="35"/>
  <c r="AL318" i="35"/>
  <c r="AL319" i="35"/>
  <c r="AL320" i="35"/>
  <c r="AL321" i="35"/>
  <c r="AL322" i="35"/>
  <c r="AL323" i="35"/>
  <c r="AL324" i="35"/>
  <c r="AL325" i="35"/>
  <c r="AL326" i="35"/>
  <c r="AL327" i="35"/>
  <c r="AL328" i="35"/>
  <c r="AL329" i="35"/>
  <c r="AL330" i="35"/>
  <c r="AL331" i="35"/>
  <c r="AL332" i="35"/>
  <c r="AL333" i="35"/>
  <c r="AL334" i="35"/>
  <c r="AL335" i="35"/>
  <c r="AL336" i="35"/>
  <c r="AL337" i="35"/>
  <c r="AL338" i="35"/>
  <c r="AL339" i="35"/>
  <c r="AL340" i="35"/>
  <c r="AL341" i="35"/>
  <c r="AL342" i="35"/>
  <c r="AL343" i="35"/>
  <c r="AL344" i="35"/>
  <c r="AL345" i="35"/>
  <c r="AL346" i="35"/>
  <c r="AL347" i="35"/>
  <c r="AL348" i="35"/>
  <c r="AL349" i="35"/>
  <c r="AL350" i="35"/>
  <c r="AL351" i="35"/>
  <c r="AL352" i="35"/>
  <c r="AL353" i="35"/>
  <c r="AL354" i="35"/>
  <c r="AL355" i="35"/>
  <c r="AL356" i="35"/>
  <c r="AL357" i="35"/>
  <c r="AL358" i="35"/>
  <c r="AL359" i="35"/>
  <c r="AL360" i="35"/>
  <c r="AL361" i="35"/>
  <c r="AL362" i="35"/>
  <c r="AL363" i="35"/>
  <c r="AL364" i="35"/>
  <c r="AL365" i="35"/>
  <c r="AL366" i="35"/>
  <c r="AL367" i="35"/>
  <c r="AL368" i="35"/>
  <c r="AL369" i="35"/>
  <c r="AL370" i="35"/>
  <c r="AL371" i="35"/>
  <c r="AL372" i="35"/>
  <c r="AL373" i="35"/>
  <c r="AL374" i="35"/>
  <c r="AL375" i="35"/>
  <c r="AL376" i="35"/>
  <c r="AL377" i="35"/>
  <c r="AL378" i="35"/>
  <c r="AL379" i="35"/>
  <c r="AL380" i="35"/>
  <c r="AL381" i="35"/>
  <c r="AL382" i="35"/>
  <c r="AL383" i="35"/>
  <c r="AL384" i="35"/>
  <c r="AL385" i="35"/>
  <c r="AL386" i="35"/>
  <c r="AL387" i="35"/>
  <c r="AL388" i="35"/>
  <c r="AL389" i="35"/>
  <c r="AL390" i="35"/>
  <c r="AL391" i="35"/>
  <c r="AL392" i="35"/>
  <c r="AL393" i="35"/>
  <c r="AL394" i="35"/>
  <c r="AL395" i="35"/>
  <c r="AL396" i="35"/>
  <c r="AL397" i="35"/>
  <c r="AL398" i="35"/>
  <c r="AL399" i="35"/>
  <c r="AL400" i="35"/>
  <c r="AL401" i="35"/>
  <c r="AL402" i="35"/>
  <c r="AL403" i="35"/>
  <c r="AL404" i="35"/>
  <c r="AL405" i="35"/>
  <c r="AL406" i="35"/>
  <c r="AL407" i="35"/>
  <c r="AL408" i="35"/>
  <c r="AL409" i="35"/>
  <c r="AL410" i="35"/>
  <c r="AL411" i="35"/>
  <c r="AL412" i="35"/>
  <c r="AL413" i="35"/>
  <c r="AL414" i="35"/>
  <c r="AL415" i="35"/>
  <c r="AL416" i="35"/>
  <c r="AL417" i="35"/>
  <c r="AL418" i="35"/>
  <c r="AL419" i="35"/>
  <c r="AL420" i="35"/>
  <c r="AL421" i="35"/>
  <c r="AL422" i="35"/>
  <c r="AL423" i="35"/>
  <c r="AL424" i="35"/>
  <c r="AL425" i="35"/>
  <c r="AL426" i="35"/>
  <c r="AL427" i="35"/>
  <c r="AL428" i="35"/>
  <c r="AL429" i="35"/>
  <c r="AL430" i="35"/>
  <c r="AL431" i="35"/>
  <c r="AL432" i="35"/>
  <c r="AL433" i="35"/>
  <c r="AL434" i="35"/>
  <c r="AL435" i="35"/>
  <c r="AL436" i="35"/>
  <c r="AL437" i="35"/>
  <c r="AL438" i="35"/>
  <c r="AL439" i="35"/>
  <c r="AL440" i="35"/>
  <c r="AL441" i="35"/>
  <c r="AL442" i="35"/>
  <c r="AL443" i="35"/>
  <c r="AL444" i="35"/>
  <c r="AL445" i="35"/>
  <c r="AL446" i="35"/>
  <c r="AL447" i="35"/>
  <c r="AL448" i="35"/>
  <c r="AL449" i="35"/>
  <c r="AL450" i="35"/>
  <c r="AL451" i="35"/>
  <c r="AL452" i="35"/>
  <c r="AL453" i="35"/>
  <c r="AL454" i="35"/>
  <c r="AL455" i="35"/>
  <c r="AL456" i="35"/>
  <c r="AL457" i="35"/>
  <c r="AL458" i="35"/>
  <c r="AL459" i="35"/>
  <c r="AL460" i="35"/>
  <c r="AL461" i="35"/>
  <c r="AL462" i="35"/>
  <c r="AL463" i="35"/>
  <c r="AL464" i="35"/>
  <c r="AL465" i="35"/>
  <c r="AL466" i="35"/>
  <c r="AL467" i="35"/>
  <c r="AL468" i="35"/>
  <c r="AL469" i="35"/>
  <c r="AL470" i="35"/>
  <c r="AL471" i="35"/>
  <c r="AL472" i="35"/>
  <c r="AL473" i="35"/>
  <c r="AL474" i="35"/>
  <c r="AL475" i="35"/>
  <c r="AL476" i="35"/>
  <c r="AL477" i="35"/>
  <c r="AL478" i="35"/>
  <c r="AL479" i="35"/>
  <c r="AL480" i="35"/>
  <c r="AL481" i="35"/>
  <c r="AL482" i="35"/>
  <c r="AL483" i="35"/>
  <c r="AL484" i="35"/>
  <c r="AL485" i="35"/>
  <c r="AL486" i="35"/>
  <c r="AL487" i="35"/>
  <c r="AL488" i="35"/>
  <c r="AL489" i="35"/>
  <c r="AL490" i="35"/>
  <c r="AL491" i="35"/>
  <c r="AL492" i="35"/>
  <c r="AL493" i="35"/>
  <c r="AL494" i="35"/>
  <c r="AL495" i="35"/>
  <c r="AL496" i="35"/>
  <c r="AL497" i="35"/>
  <c r="AL498" i="35"/>
  <c r="AL499" i="35"/>
  <c r="AL500" i="35"/>
  <c r="AL501" i="35"/>
  <c r="AL502" i="35"/>
  <c r="AL503" i="35"/>
  <c r="AL504" i="35"/>
  <c r="AL505" i="35"/>
  <c r="AL506" i="35"/>
  <c r="AL507" i="35"/>
  <c r="AL508" i="35"/>
  <c r="AL509" i="35"/>
  <c r="AL510" i="35"/>
  <c r="AL511" i="35"/>
  <c r="AL512" i="35"/>
  <c r="AL513" i="35"/>
  <c r="AL514" i="35"/>
  <c r="AL515" i="35"/>
  <c r="AL516" i="35"/>
  <c r="AL517" i="35"/>
  <c r="AL518" i="35"/>
  <c r="AL519" i="35"/>
  <c r="AL520" i="35"/>
  <c r="AL521" i="35"/>
  <c r="AL522" i="35"/>
  <c r="AL523" i="35"/>
  <c r="AL524" i="35"/>
  <c r="AL525" i="35"/>
  <c r="AL526" i="35"/>
  <c r="AL527" i="35"/>
  <c r="AL528" i="35"/>
  <c r="AL529" i="35"/>
  <c r="AL530" i="35"/>
  <c r="AL531" i="35"/>
  <c r="AL532" i="35"/>
  <c r="AL533" i="35"/>
  <c r="AL534" i="35"/>
  <c r="AL535" i="35"/>
  <c r="AL536" i="35"/>
  <c r="AL537" i="35"/>
  <c r="AL538" i="35"/>
  <c r="AL539" i="35"/>
  <c r="AL540" i="35"/>
  <c r="AL541" i="35"/>
  <c r="AL542" i="35"/>
  <c r="AL543" i="35"/>
  <c r="AL544" i="35"/>
  <c r="AL545" i="35"/>
  <c r="AL546" i="35"/>
  <c r="AL547" i="35"/>
  <c r="AL548" i="35"/>
  <c r="AL549" i="35"/>
  <c r="AL550" i="35"/>
  <c r="AL551" i="35"/>
  <c r="AL552" i="35"/>
  <c r="AL553" i="35"/>
  <c r="AL554" i="35"/>
  <c r="AL555" i="35"/>
  <c r="AL556" i="35"/>
  <c r="AL557" i="35"/>
  <c r="AL558" i="35"/>
  <c r="AL559" i="35"/>
  <c r="AL560" i="35"/>
  <c r="AL561" i="35"/>
  <c r="AL562" i="35"/>
  <c r="AL563" i="35"/>
  <c r="AL564" i="35"/>
  <c r="AL565" i="35"/>
  <c r="AL566" i="35"/>
  <c r="AL567" i="35"/>
  <c r="AL568" i="35"/>
  <c r="AL569" i="35"/>
  <c r="AL570" i="35"/>
  <c r="AL571" i="35"/>
  <c r="AL572" i="35"/>
  <c r="AL573" i="35"/>
  <c r="AL574" i="35"/>
  <c r="AL575" i="35"/>
  <c r="AL576" i="35"/>
  <c r="AL577" i="35"/>
  <c r="AL578" i="35"/>
  <c r="AL579" i="35"/>
  <c r="AL580" i="35"/>
  <c r="AL581" i="35"/>
  <c r="AL582" i="35"/>
  <c r="AL583" i="35"/>
  <c r="AL584" i="35"/>
  <c r="AL585" i="35"/>
  <c r="AL586" i="35"/>
  <c r="AL587" i="35"/>
  <c r="AL588" i="35"/>
  <c r="AL589" i="35"/>
  <c r="AL590" i="35"/>
  <c r="AL591" i="35"/>
  <c r="AL592" i="35"/>
  <c r="AL593" i="35"/>
  <c r="AL594" i="35"/>
  <c r="AL595" i="35"/>
  <c r="AL596" i="35"/>
  <c r="AL597" i="35"/>
  <c r="AL598" i="35"/>
  <c r="AL599" i="35"/>
  <c r="AL600" i="35"/>
  <c r="AL601" i="35"/>
  <c r="AL602" i="35"/>
  <c r="AL603" i="35"/>
  <c r="AL604" i="35"/>
  <c r="AL605" i="35"/>
  <c r="AL606" i="35"/>
  <c r="AL607" i="35"/>
  <c r="AL608" i="35"/>
  <c r="AL609" i="35"/>
  <c r="AL610" i="35"/>
  <c r="AL611" i="35"/>
  <c r="AL612" i="35"/>
  <c r="AL613" i="35"/>
  <c r="AL614" i="35"/>
  <c r="AL615" i="35"/>
  <c r="AL616" i="35"/>
  <c r="AL617" i="35"/>
  <c r="AL618" i="35"/>
  <c r="AL619" i="35"/>
  <c r="AL620" i="35"/>
  <c r="AL621" i="35"/>
  <c r="AL622" i="35"/>
  <c r="AL623" i="35"/>
  <c r="AL624" i="35"/>
  <c r="AL625" i="35"/>
  <c r="AL626" i="35"/>
  <c r="AL627" i="35"/>
  <c r="AL628" i="35"/>
  <c r="AL629" i="35"/>
  <c r="AL630" i="35"/>
  <c r="AL631" i="35"/>
  <c r="AL632" i="35"/>
  <c r="AL633" i="35"/>
  <c r="AL634" i="35"/>
  <c r="AL635" i="35"/>
  <c r="AL636" i="35"/>
  <c r="AL637" i="35"/>
  <c r="AL638" i="35"/>
  <c r="AL639" i="35"/>
  <c r="AL640" i="35"/>
  <c r="AL641" i="35"/>
  <c r="AL642" i="35"/>
  <c r="AL643" i="35"/>
  <c r="AL644" i="35"/>
  <c r="AL645" i="35"/>
  <c r="AL646" i="35"/>
  <c r="AL647" i="35"/>
  <c r="AL648" i="35"/>
  <c r="AL649" i="35"/>
  <c r="AL650" i="35"/>
  <c r="AL651" i="35"/>
  <c r="AL652" i="35"/>
  <c r="AL653" i="35"/>
  <c r="AL654" i="35"/>
  <c r="AL655" i="35"/>
  <c r="AL656" i="35"/>
  <c r="AL657" i="35"/>
  <c r="AL658" i="35"/>
  <c r="AL659" i="35"/>
  <c r="AL660" i="35"/>
  <c r="AL661" i="35"/>
  <c r="AL662" i="35"/>
  <c r="AL663" i="35"/>
  <c r="AL664" i="35"/>
  <c r="AL665" i="35"/>
  <c r="AL666" i="35"/>
  <c r="AL667" i="35"/>
  <c r="AL668" i="35"/>
  <c r="AL669" i="35"/>
  <c r="AL670" i="35"/>
  <c r="AL671" i="35"/>
  <c r="AL672" i="35"/>
  <c r="AL673" i="35"/>
  <c r="AL674" i="35"/>
  <c r="AL675" i="35"/>
  <c r="AL676" i="35"/>
  <c r="AL677" i="35"/>
  <c r="AL678" i="35"/>
  <c r="AL679" i="35"/>
  <c r="AL680" i="35"/>
  <c r="AL681" i="35"/>
  <c r="AL682" i="35"/>
  <c r="AL683" i="35"/>
  <c r="AL684" i="35"/>
  <c r="AL685" i="35"/>
  <c r="AL686" i="35"/>
  <c r="AL687" i="35"/>
  <c r="AL688" i="35"/>
  <c r="AL689" i="35"/>
  <c r="AL690" i="35"/>
  <c r="AL691" i="35"/>
  <c r="AL692" i="35"/>
  <c r="AL693" i="35"/>
  <c r="AL694" i="35"/>
  <c r="AL695" i="35"/>
  <c r="AL696" i="35"/>
  <c r="AL697" i="35"/>
  <c r="AL698" i="35"/>
  <c r="AL699" i="35"/>
  <c r="AL700" i="35"/>
  <c r="AL701" i="35"/>
  <c r="AG14" i="35"/>
  <c r="AG15" i="35"/>
  <c r="AG16" i="35"/>
  <c r="AG17" i="35"/>
  <c r="AG18" i="35"/>
  <c r="AG19" i="35"/>
  <c r="AG20" i="35"/>
  <c r="AG21" i="35"/>
  <c r="AG22" i="35"/>
  <c r="AG23" i="35"/>
  <c r="AG24" i="35"/>
  <c r="AG25" i="35"/>
  <c r="AG26" i="35"/>
  <c r="AG27" i="35"/>
  <c r="AG28" i="35"/>
  <c r="AG29" i="35"/>
  <c r="AG30" i="35"/>
  <c r="AG31" i="35"/>
  <c r="AG32" i="35"/>
  <c r="AG33" i="35"/>
  <c r="AG34" i="35"/>
  <c r="AG35" i="35"/>
  <c r="AG36" i="35"/>
  <c r="AG37" i="35"/>
  <c r="AG38" i="35"/>
  <c r="AG39" i="35"/>
  <c r="AG40" i="35"/>
  <c r="AG41" i="35"/>
  <c r="AG42" i="35"/>
  <c r="AG43" i="35"/>
  <c r="AG44" i="35"/>
  <c r="AG45" i="35"/>
  <c r="AG46" i="35"/>
  <c r="AG47" i="35"/>
  <c r="AG48" i="35"/>
  <c r="AG49" i="35"/>
  <c r="AG50" i="35"/>
  <c r="AG51" i="35"/>
  <c r="AG52" i="35"/>
  <c r="AG53" i="35"/>
  <c r="AG54" i="35"/>
  <c r="AG55" i="35"/>
  <c r="AG56" i="35"/>
  <c r="AG57" i="35"/>
  <c r="AG58" i="35"/>
  <c r="AG59" i="35"/>
  <c r="AG60" i="35"/>
  <c r="AG61" i="35"/>
  <c r="AG62" i="35"/>
  <c r="AG63" i="35"/>
  <c r="AG64" i="35"/>
  <c r="AG65" i="35"/>
  <c r="AG66" i="35"/>
  <c r="AG67" i="35"/>
  <c r="AG68" i="35"/>
  <c r="AG69" i="35"/>
  <c r="AG70" i="35"/>
  <c r="AG71" i="35"/>
  <c r="AG72" i="35"/>
  <c r="AG73" i="35"/>
  <c r="AG74" i="35"/>
  <c r="AG75" i="35"/>
  <c r="AG76" i="35"/>
  <c r="AG77" i="35"/>
  <c r="AG78" i="35"/>
  <c r="AG79" i="35"/>
  <c r="AG80" i="35"/>
  <c r="AG81" i="35"/>
  <c r="AG82" i="35"/>
  <c r="AG83" i="35"/>
  <c r="AG84" i="35"/>
  <c r="AG85" i="35"/>
  <c r="AG86" i="35"/>
  <c r="AG87" i="35"/>
  <c r="AG88" i="35"/>
  <c r="AG89" i="35"/>
  <c r="AG90" i="35"/>
  <c r="AG91" i="35"/>
  <c r="AG92" i="35"/>
  <c r="AG93" i="35"/>
  <c r="AG94" i="35"/>
  <c r="AG95" i="35"/>
  <c r="AG96" i="35"/>
  <c r="AG97" i="35"/>
  <c r="AG98" i="35"/>
  <c r="AG99" i="35"/>
  <c r="AG100" i="35"/>
  <c r="AG101" i="35"/>
  <c r="AG102" i="35"/>
  <c r="AG103" i="35"/>
  <c r="AG104" i="35"/>
  <c r="AG105" i="35"/>
  <c r="AG106" i="35"/>
  <c r="AG107" i="35"/>
  <c r="AG108" i="35"/>
  <c r="AG109" i="35"/>
  <c r="AG110" i="35"/>
  <c r="AG111" i="35"/>
  <c r="AG112" i="35"/>
  <c r="AG113" i="35"/>
  <c r="AG114" i="35"/>
  <c r="AG115" i="35"/>
  <c r="AG116" i="35"/>
  <c r="AG117" i="35"/>
  <c r="AG118" i="35"/>
  <c r="AG119" i="35"/>
  <c r="AG120" i="35"/>
  <c r="AG121" i="35"/>
  <c r="AG122" i="35"/>
  <c r="AG123" i="35"/>
  <c r="AG124" i="35"/>
  <c r="AG125" i="35"/>
  <c r="AG126" i="35"/>
  <c r="AG127" i="35"/>
  <c r="AG128" i="35"/>
  <c r="AG129" i="35"/>
  <c r="AG130" i="35"/>
  <c r="AG131" i="35"/>
  <c r="AG132" i="35"/>
  <c r="AG133" i="35"/>
  <c r="AG134" i="35"/>
  <c r="AG135" i="35"/>
  <c r="AG136" i="35"/>
  <c r="AG137" i="35"/>
  <c r="AG138" i="35"/>
  <c r="AG139" i="35"/>
  <c r="AG140" i="35"/>
  <c r="AG141" i="35"/>
  <c r="AG142" i="35"/>
  <c r="AG143" i="35"/>
  <c r="AG144" i="35"/>
  <c r="AG145" i="35"/>
  <c r="AG146" i="35"/>
  <c r="AG147" i="35"/>
  <c r="AG148" i="35"/>
  <c r="AG149" i="35"/>
  <c r="AG150" i="35"/>
  <c r="AG151" i="35"/>
  <c r="AG152" i="35"/>
  <c r="AG153" i="35"/>
  <c r="AG154" i="35"/>
  <c r="AG155" i="35"/>
  <c r="AG156" i="35"/>
  <c r="AG157" i="35"/>
  <c r="AG158" i="35"/>
  <c r="AG159" i="35"/>
  <c r="AG160" i="35"/>
  <c r="AG161" i="35"/>
  <c r="AG162" i="35"/>
  <c r="AG163" i="35"/>
  <c r="AG164" i="35"/>
  <c r="AG165" i="35"/>
  <c r="AG166" i="35"/>
  <c r="AG167" i="35"/>
  <c r="AG168" i="35"/>
  <c r="AG169" i="35"/>
  <c r="AG170" i="35"/>
  <c r="AG171" i="35"/>
  <c r="AG172" i="35"/>
  <c r="AG173" i="35"/>
  <c r="AG174" i="35"/>
  <c r="AG175" i="35"/>
  <c r="AG176" i="35"/>
  <c r="AG177" i="35"/>
  <c r="AG178" i="35"/>
  <c r="AG179" i="35"/>
  <c r="AG180" i="35"/>
  <c r="AG181" i="35"/>
  <c r="AG182" i="35"/>
  <c r="AG183" i="35"/>
  <c r="AG184" i="35"/>
  <c r="AG185" i="35"/>
  <c r="AG186" i="35"/>
  <c r="AG187" i="35"/>
  <c r="AG188" i="35"/>
  <c r="AG189" i="35"/>
  <c r="AG190" i="35"/>
  <c r="AG191" i="35"/>
  <c r="AG192" i="35"/>
  <c r="AG193" i="35"/>
  <c r="AG194" i="35"/>
  <c r="AG195" i="35"/>
  <c r="AG196" i="35"/>
  <c r="AG197" i="35"/>
  <c r="AG198" i="35"/>
  <c r="AG199" i="35"/>
  <c r="AG200" i="35"/>
  <c r="AG201" i="35"/>
  <c r="AG202" i="35"/>
  <c r="AG203" i="35"/>
  <c r="AG204" i="35"/>
  <c r="AG205" i="35"/>
  <c r="AG206" i="35"/>
  <c r="AG207" i="35"/>
  <c r="AG208" i="35"/>
  <c r="AG209" i="35"/>
  <c r="AG210" i="35"/>
  <c r="AG211" i="35"/>
  <c r="AG212" i="35"/>
  <c r="AG213" i="35"/>
  <c r="AG214" i="35"/>
  <c r="AG215" i="35"/>
  <c r="AG216" i="35"/>
  <c r="AG217" i="35"/>
  <c r="AG218" i="35"/>
  <c r="AG219" i="35"/>
  <c r="AG220" i="35"/>
  <c r="AG221" i="35"/>
  <c r="AG222" i="35"/>
  <c r="AG223" i="35"/>
  <c r="AG224" i="35"/>
  <c r="AG225" i="35"/>
  <c r="AG226" i="35"/>
  <c r="AG227" i="35"/>
  <c r="AG228" i="35"/>
  <c r="AG229" i="35"/>
  <c r="AG230" i="35"/>
  <c r="AG231" i="35"/>
  <c r="AG232" i="35"/>
  <c r="AG233" i="35"/>
  <c r="AG234" i="35"/>
  <c r="AG235" i="35"/>
  <c r="AG236" i="35"/>
  <c r="AG237" i="35"/>
  <c r="AG238" i="35"/>
  <c r="AG239" i="35"/>
  <c r="AG240" i="35"/>
  <c r="AG241" i="35"/>
  <c r="AG242" i="35"/>
  <c r="AG243" i="35"/>
  <c r="AG244" i="35"/>
  <c r="AG245" i="35"/>
  <c r="AG246" i="35"/>
  <c r="AG247" i="35"/>
  <c r="AG248" i="35"/>
  <c r="AG249" i="35"/>
  <c r="AG250" i="35"/>
  <c r="AG251" i="35"/>
  <c r="AG252" i="35"/>
  <c r="AG253" i="35"/>
  <c r="AG254" i="35"/>
  <c r="AG255" i="35"/>
  <c r="AG256" i="35"/>
  <c r="AG257" i="35"/>
  <c r="AG258" i="35"/>
  <c r="AG259" i="35"/>
  <c r="AG260" i="35"/>
  <c r="AG261" i="35"/>
  <c r="AG262" i="35"/>
  <c r="AG263" i="35"/>
  <c r="AG264" i="35"/>
  <c r="AG265" i="35"/>
  <c r="AG266" i="35"/>
  <c r="AG267" i="35"/>
  <c r="AG268" i="35"/>
  <c r="AG269" i="35"/>
  <c r="AG270" i="35"/>
  <c r="AG271" i="35"/>
  <c r="AG272" i="35"/>
  <c r="AG273" i="35"/>
  <c r="AG274" i="35"/>
  <c r="AG275" i="35"/>
  <c r="AG276" i="35"/>
  <c r="AG277" i="35"/>
  <c r="AG278" i="35"/>
  <c r="AG279" i="35"/>
  <c r="AG280" i="35"/>
  <c r="AG281" i="35"/>
  <c r="AG282" i="35"/>
  <c r="AG283" i="35"/>
  <c r="AG284" i="35"/>
  <c r="AG285" i="35"/>
  <c r="AG286" i="35"/>
  <c r="AG287" i="35"/>
  <c r="AG288" i="35"/>
  <c r="AG289" i="35"/>
  <c r="AG290" i="35"/>
  <c r="AG291" i="35"/>
  <c r="AG292" i="35"/>
  <c r="AG293" i="35"/>
  <c r="AG294" i="35"/>
  <c r="AG295" i="35"/>
  <c r="AG296" i="35"/>
  <c r="AG297" i="35"/>
  <c r="AG298" i="35"/>
  <c r="AG299" i="35"/>
  <c r="AG300" i="35"/>
  <c r="AG301" i="35"/>
  <c r="AG302" i="35"/>
  <c r="AG303" i="35"/>
  <c r="AG304" i="35"/>
  <c r="AG305" i="35"/>
  <c r="AG306" i="35"/>
  <c r="AG307" i="35"/>
  <c r="AG308" i="35"/>
  <c r="AG309" i="35"/>
  <c r="AG310" i="35"/>
  <c r="AG311" i="35"/>
  <c r="AG312" i="35"/>
  <c r="AG313" i="35"/>
  <c r="AG314" i="35"/>
  <c r="AG315" i="35"/>
  <c r="AG316" i="35"/>
  <c r="AG317" i="35"/>
  <c r="AG318" i="35"/>
  <c r="AG319" i="35"/>
  <c r="AG320" i="35"/>
  <c r="AG321" i="35"/>
  <c r="AG322" i="35"/>
  <c r="AG323" i="35"/>
  <c r="AG324" i="35"/>
  <c r="AG325" i="35"/>
  <c r="AG326" i="35"/>
  <c r="AG327" i="35"/>
  <c r="AG328" i="35"/>
  <c r="AG329" i="35"/>
  <c r="AG330" i="35"/>
  <c r="AG331" i="35"/>
  <c r="AG332" i="35"/>
  <c r="AG333" i="35"/>
  <c r="AG334" i="35"/>
  <c r="AG335" i="35"/>
  <c r="AG336" i="35"/>
  <c r="AG337" i="35"/>
  <c r="AG338" i="35"/>
  <c r="AG339" i="35"/>
  <c r="AG340" i="35"/>
  <c r="AG341" i="35"/>
  <c r="AG342" i="35"/>
  <c r="AG343" i="35"/>
  <c r="AG344" i="35"/>
  <c r="AG345" i="35"/>
  <c r="AG346" i="35"/>
  <c r="AG347" i="35"/>
  <c r="AG348" i="35"/>
  <c r="AG349" i="35"/>
  <c r="AG350" i="35"/>
  <c r="AG351" i="35"/>
  <c r="AG352" i="35"/>
  <c r="AG353" i="35"/>
  <c r="AG354" i="35"/>
  <c r="AG355" i="35"/>
  <c r="AG356" i="35"/>
  <c r="AG357" i="35"/>
  <c r="AG358" i="35"/>
  <c r="AG359" i="35"/>
  <c r="AG360" i="35"/>
  <c r="AG361" i="35"/>
  <c r="AG362" i="35"/>
  <c r="AG363" i="35"/>
  <c r="AG364" i="35"/>
  <c r="AG365" i="35"/>
  <c r="AG366" i="35"/>
  <c r="AG367" i="35"/>
  <c r="AG368" i="35"/>
  <c r="AG369" i="35"/>
  <c r="AG370" i="35"/>
  <c r="AG371" i="35"/>
  <c r="AG372" i="35"/>
  <c r="AG373" i="35"/>
  <c r="AG374" i="35"/>
  <c r="AG375" i="35"/>
  <c r="AG376" i="35"/>
  <c r="AG377" i="35"/>
  <c r="AG378" i="35"/>
  <c r="AG379" i="35"/>
  <c r="AG380" i="35"/>
  <c r="AG381" i="35"/>
  <c r="AG382" i="35"/>
  <c r="AG383" i="35"/>
  <c r="AG384" i="35"/>
  <c r="AG385" i="35"/>
  <c r="AG386" i="35"/>
  <c r="AG387" i="35"/>
  <c r="AG388" i="35"/>
  <c r="AG389" i="35"/>
  <c r="AG390" i="35"/>
  <c r="AG391" i="35"/>
  <c r="AG392" i="35"/>
  <c r="AG393" i="35"/>
  <c r="AG394" i="35"/>
  <c r="AG395" i="35"/>
  <c r="AG396" i="35"/>
  <c r="AG397" i="35"/>
  <c r="AG398" i="35"/>
  <c r="AG399" i="35"/>
  <c r="AG400" i="35"/>
  <c r="AG401" i="35"/>
  <c r="AG402" i="35"/>
  <c r="AG403" i="35"/>
  <c r="AG404" i="35"/>
  <c r="AG405" i="35"/>
  <c r="AG406" i="35"/>
  <c r="AG407" i="35"/>
  <c r="AG408" i="35"/>
  <c r="AG409" i="35"/>
  <c r="AG410" i="35"/>
  <c r="AG411" i="35"/>
  <c r="AG412" i="35"/>
  <c r="AG413" i="35"/>
  <c r="AG414" i="35"/>
  <c r="AG415" i="35"/>
  <c r="AG416" i="35"/>
  <c r="AG417" i="35"/>
  <c r="AG418" i="35"/>
  <c r="AG419" i="35"/>
  <c r="AG420" i="35"/>
  <c r="AG421" i="35"/>
  <c r="AG422" i="35"/>
  <c r="AG423" i="35"/>
  <c r="AG424" i="35"/>
  <c r="AG425" i="35"/>
  <c r="AG426" i="35"/>
  <c r="AG427" i="35"/>
  <c r="AG428" i="35"/>
  <c r="AG429" i="35"/>
  <c r="AG430" i="35"/>
  <c r="AG431" i="35"/>
  <c r="AG432" i="35"/>
  <c r="AG433" i="35"/>
  <c r="AG434" i="35"/>
  <c r="AG435" i="35"/>
  <c r="AG436" i="35"/>
  <c r="AG437" i="35"/>
  <c r="AG438" i="35"/>
  <c r="AG439" i="35"/>
  <c r="AG440" i="35"/>
  <c r="AG441" i="35"/>
  <c r="AG442" i="35"/>
  <c r="AG443" i="35"/>
  <c r="AG444" i="35"/>
  <c r="AG445" i="35"/>
  <c r="AG446" i="35"/>
  <c r="AG447" i="35"/>
  <c r="AG448" i="35"/>
  <c r="AG449" i="35"/>
  <c r="AG450" i="35"/>
  <c r="AG451" i="35"/>
  <c r="AG452" i="35"/>
  <c r="AG453" i="35"/>
  <c r="AG454" i="35"/>
  <c r="AG455" i="35"/>
  <c r="AG456" i="35"/>
  <c r="AG457" i="35"/>
  <c r="AG458" i="35"/>
  <c r="AG459" i="35"/>
  <c r="AG460" i="35"/>
  <c r="AG461" i="35"/>
  <c r="AG462" i="35"/>
  <c r="AG463" i="35"/>
  <c r="AG464" i="35"/>
  <c r="AG465" i="35"/>
  <c r="AG466" i="35"/>
  <c r="AG467" i="35"/>
  <c r="AG468" i="35"/>
  <c r="AG469" i="35"/>
  <c r="AG470" i="35"/>
  <c r="AG471" i="35"/>
  <c r="AG472" i="35"/>
  <c r="AG473" i="35"/>
  <c r="AG474" i="35"/>
  <c r="AG475" i="35"/>
  <c r="AG476" i="35"/>
  <c r="AG477" i="35"/>
  <c r="AG478" i="35"/>
  <c r="AG479" i="35"/>
  <c r="AG480" i="35"/>
  <c r="AG481" i="35"/>
  <c r="AG482" i="35"/>
  <c r="AG483" i="35"/>
  <c r="AG484" i="35"/>
  <c r="AG485" i="35"/>
  <c r="AG486" i="35"/>
  <c r="AG487" i="35"/>
  <c r="AG488" i="35"/>
  <c r="AG489" i="35"/>
  <c r="AG490" i="35"/>
  <c r="AG491" i="35"/>
  <c r="AG492" i="35"/>
  <c r="AG493" i="35"/>
  <c r="AG494" i="35"/>
  <c r="AG495" i="35"/>
  <c r="AG496" i="35"/>
  <c r="AG497" i="35"/>
  <c r="AG498" i="35"/>
  <c r="AG499" i="35"/>
  <c r="AG500" i="35"/>
  <c r="AG501" i="35"/>
  <c r="AG502" i="35"/>
  <c r="AG503" i="35"/>
  <c r="AG504" i="35"/>
  <c r="AG505" i="35"/>
  <c r="AG506" i="35"/>
  <c r="AG507" i="35"/>
  <c r="AG508" i="35"/>
  <c r="AG509" i="35"/>
  <c r="AG510" i="35"/>
  <c r="AG511" i="35"/>
  <c r="AG512" i="35"/>
  <c r="AG513" i="35"/>
  <c r="AG514" i="35"/>
  <c r="AG515" i="35"/>
  <c r="AG516" i="35"/>
  <c r="AG517" i="35"/>
  <c r="AG518" i="35"/>
  <c r="AG519" i="35"/>
  <c r="AG520" i="35"/>
  <c r="AG521" i="35"/>
  <c r="AG522" i="35"/>
  <c r="AG523" i="35"/>
  <c r="AG524" i="35"/>
  <c r="AG525" i="35"/>
  <c r="AG526" i="35"/>
  <c r="AG527" i="35"/>
  <c r="AG528" i="35"/>
  <c r="AG529" i="35"/>
  <c r="AG530" i="35"/>
  <c r="AG531" i="35"/>
  <c r="AG532" i="35"/>
  <c r="AG533" i="35"/>
  <c r="AG534" i="35"/>
  <c r="AG535" i="35"/>
  <c r="AG536" i="35"/>
  <c r="AG537" i="35"/>
  <c r="AG538" i="35"/>
  <c r="AG539" i="35"/>
  <c r="AG540" i="35"/>
  <c r="AG541" i="35"/>
  <c r="AG542" i="35"/>
  <c r="AG543" i="35"/>
  <c r="AG544" i="35"/>
  <c r="AG545" i="35"/>
  <c r="AG546" i="35"/>
  <c r="AG547" i="35"/>
  <c r="AG548" i="35"/>
  <c r="AG549" i="35"/>
  <c r="AG550" i="35"/>
  <c r="AG551" i="35"/>
  <c r="AG552" i="35"/>
  <c r="AG553" i="35"/>
  <c r="AG554" i="35"/>
  <c r="AG555" i="35"/>
  <c r="AG556" i="35"/>
  <c r="AG557" i="35"/>
  <c r="AG558" i="35"/>
  <c r="AG559" i="35"/>
  <c r="AG560" i="35"/>
  <c r="AG561" i="35"/>
  <c r="AG562" i="35"/>
  <c r="AG563" i="35"/>
  <c r="AG564" i="35"/>
  <c r="AG565" i="35"/>
  <c r="AG566" i="35"/>
  <c r="AG567" i="35"/>
  <c r="AG568" i="35"/>
  <c r="AG569" i="35"/>
  <c r="AG570" i="35"/>
  <c r="AG571" i="35"/>
  <c r="AG572" i="35"/>
  <c r="AG573" i="35"/>
  <c r="AG574" i="35"/>
  <c r="AG575" i="35"/>
  <c r="AG576" i="35"/>
  <c r="AG577" i="35"/>
  <c r="AG578" i="35"/>
  <c r="AG579" i="35"/>
  <c r="AG580" i="35"/>
  <c r="AG581" i="35"/>
  <c r="AG582" i="35"/>
  <c r="AG583" i="35"/>
  <c r="AG584" i="35"/>
  <c r="AG585" i="35"/>
  <c r="AG586" i="35"/>
  <c r="AG587" i="35"/>
  <c r="AG588" i="35"/>
  <c r="AG589" i="35"/>
  <c r="AG590" i="35"/>
  <c r="AG591" i="35"/>
  <c r="AG592" i="35"/>
  <c r="AG593" i="35"/>
  <c r="AG594" i="35"/>
  <c r="AG595" i="35"/>
  <c r="AG596" i="35"/>
  <c r="AG597" i="35"/>
  <c r="AG598" i="35"/>
  <c r="AG599" i="35"/>
  <c r="AG600" i="35"/>
  <c r="AG601" i="35"/>
  <c r="AG602" i="35"/>
  <c r="AG603" i="35"/>
  <c r="AG604" i="35"/>
  <c r="AG605" i="35"/>
  <c r="AG606" i="35"/>
  <c r="AG607" i="35"/>
  <c r="AG608" i="35"/>
  <c r="AG609" i="35"/>
  <c r="AG610" i="35"/>
  <c r="AG611" i="35"/>
  <c r="AG612" i="35"/>
  <c r="AG613" i="35"/>
  <c r="AG614" i="35"/>
  <c r="AG615" i="35"/>
  <c r="AG616" i="35"/>
  <c r="AG617" i="35"/>
  <c r="AG618" i="35"/>
  <c r="AG619" i="35"/>
  <c r="AG620" i="35"/>
  <c r="AG621" i="35"/>
  <c r="AG622" i="35"/>
  <c r="AG623" i="35"/>
  <c r="AG624" i="35"/>
  <c r="AG625" i="35"/>
  <c r="AG626" i="35"/>
  <c r="AG627" i="35"/>
  <c r="AG628" i="35"/>
  <c r="AG629" i="35"/>
  <c r="AG630" i="35"/>
  <c r="AG631" i="35"/>
  <c r="AG632" i="35"/>
  <c r="AG633" i="35"/>
  <c r="AG634" i="35"/>
  <c r="AG635" i="35"/>
  <c r="AG636" i="35"/>
  <c r="AG637" i="35"/>
  <c r="AG638" i="35"/>
  <c r="AG639" i="35"/>
  <c r="AG640" i="35"/>
  <c r="AG641" i="35"/>
  <c r="AG642" i="35"/>
  <c r="AG643" i="35"/>
  <c r="AG644" i="35"/>
  <c r="AG645" i="35"/>
  <c r="AG646" i="35"/>
  <c r="AG647" i="35"/>
  <c r="AG648" i="35"/>
  <c r="AG649" i="35"/>
  <c r="AG650" i="35"/>
  <c r="AG651" i="35"/>
  <c r="AG652" i="35"/>
  <c r="AG653" i="35"/>
  <c r="AG654" i="35"/>
  <c r="AG655" i="35"/>
  <c r="AG656" i="35"/>
  <c r="AG657" i="35"/>
  <c r="AG658" i="35"/>
  <c r="AG659" i="35"/>
  <c r="AG660" i="35"/>
  <c r="AG661" i="35"/>
  <c r="AG662" i="35"/>
  <c r="AG663" i="35"/>
  <c r="AG664" i="35"/>
  <c r="AG665" i="35"/>
  <c r="AG666" i="35"/>
  <c r="AG667" i="35"/>
  <c r="AG668" i="35"/>
  <c r="AG669" i="35"/>
  <c r="AG670" i="35"/>
  <c r="AG671" i="35"/>
  <c r="AG672" i="35"/>
  <c r="AG673" i="35"/>
  <c r="AG674" i="35"/>
  <c r="AG675" i="35"/>
  <c r="AG676" i="35"/>
  <c r="AG677" i="35"/>
  <c r="AG678" i="35"/>
  <c r="AG679" i="35"/>
  <c r="AG680" i="35"/>
  <c r="AG681" i="35"/>
  <c r="AG682" i="35"/>
  <c r="AG683" i="35"/>
  <c r="AG684" i="35"/>
  <c r="AG685" i="35"/>
  <c r="AG686" i="35"/>
  <c r="AG687" i="35"/>
  <c r="AG688" i="35"/>
  <c r="AG689" i="35"/>
  <c r="AG690" i="35"/>
  <c r="AG691" i="35"/>
  <c r="AG692" i="35"/>
  <c r="AG693" i="35"/>
  <c r="AG694" i="35"/>
  <c r="AG695" i="35"/>
  <c r="AG696" i="35"/>
  <c r="AG697" i="35"/>
  <c r="AG698" i="35"/>
  <c r="AG699" i="35"/>
  <c r="AG700" i="35"/>
  <c r="AG701" i="35"/>
  <c r="AG13" i="35"/>
  <c r="I27" i="26" l="1"/>
  <c r="I28" i="26"/>
  <c r="I29" i="26"/>
  <c r="I30" i="26"/>
  <c r="I31" i="26"/>
  <c r="I32" i="26"/>
  <c r="I33" i="26"/>
  <c r="I34" i="26"/>
  <c r="I35" i="26"/>
  <c r="A13" i="35"/>
  <c r="A14" i="35"/>
  <c r="A15" i="35"/>
  <c r="A16" i="35"/>
  <c r="A17" i="35"/>
  <c r="A18" i="35"/>
  <c r="A19" i="35"/>
  <c r="A20" i="35"/>
  <c r="A21" i="35"/>
  <c r="A22" i="35"/>
  <c r="A23" i="35"/>
  <c r="A45" i="24"/>
  <c r="B45" i="24"/>
  <c r="C45" i="24"/>
  <c r="G45" i="24" s="1"/>
  <c r="E45" i="24"/>
  <c r="A46" i="24"/>
  <c r="B46" i="24"/>
  <c r="C46" i="24"/>
  <c r="G46" i="24" s="1"/>
  <c r="E46" i="24"/>
  <c r="H46" i="24" l="1"/>
  <c r="H45" i="24"/>
  <c r="B44" i="24"/>
  <c r="C44" i="24"/>
  <c r="G44" i="24" s="1"/>
  <c r="E44" i="24"/>
  <c r="A44" i="24"/>
  <c r="B23" i="24"/>
  <c r="C23" i="24"/>
  <c r="E23" i="24"/>
  <c r="A23" i="24"/>
  <c r="H44" i="24" l="1"/>
  <c r="G23" i="24"/>
  <c r="J23" i="24" s="1"/>
  <c r="H23" i="24"/>
  <c r="A41" i="24" l="1"/>
  <c r="G41" i="24" s="1"/>
  <c r="B41" i="24"/>
  <c r="C41" i="24"/>
  <c r="I41" i="24" s="1"/>
  <c r="D41" i="24"/>
  <c r="E41" i="24"/>
  <c r="A42" i="24"/>
  <c r="G42" i="24" s="1"/>
  <c r="B42" i="24"/>
  <c r="C42" i="24"/>
  <c r="I42" i="24" s="1"/>
  <c r="D42" i="24"/>
  <c r="E42" i="24"/>
  <c r="H41" i="24" l="1"/>
  <c r="H42" i="24"/>
  <c r="D3" i="35" l="1"/>
  <c r="D3" i="32"/>
  <c r="N22" i="21"/>
  <c r="N23" i="21"/>
  <c r="N21" i="21"/>
  <c r="N19" i="21"/>
  <c r="N20" i="21"/>
  <c r="W140" i="35"/>
  <c r="W141" i="35"/>
  <c r="W142" i="35"/>
  <c r="W143" i="35"/>
  <c r="W144" i="35"/>
  <c r="W145" i="35"/>
  <c r="W146" i="35"/>
  <c r="W147" i="35"/>
  <c r="W148" i="35"/>
  <c r="W149" i="35"/>
  <c r="W150" i="35"/>
  <c r="W151" i="35"/>
  <c r="W152" i="35"/>
  <c r="W153" i="35"/>
  <c r="W154" i="35"/>
  <c r="W155" i="35"/>
  <c r="W156" i="35"/>
  <c r="W157" i="35"/>
  <c r="W158" i="35"/>
  <c r="W159" i="35"/>
  <c r="W160" i="35"/>
  <c r="W161" i="35"/>
  <c r="W162" i="35"/>
  <c r="W163" i="35"/>
  <c r="W164" i="35"/>
  <c r="W165" i="35"/>
  <c r="W166" i="35"/>
  <c r="W167" i="35"/>
  <c r="W168" i="35"/>
  <c r="W169" i="35"/>
  <c r="W170" i="35"/>
  <c r="W171" i="35"/>
  <c r="W172" i="35"/>
  <c r="W173" i="35"/>
  <c r="W174" i="35"/>
  <c r="W175" i="35"/>
  <c r="W176" i="35"/>
  <c r="W177" i="35"/>
  <c r="W178" i="35"/>
  <c r="W179" i="35"/>
  <c r="W180" i="35"/>
  <c r="W181" i="35"/>
  <c r="W182" i="35"/>
  <c r="W183" i="35"/>
  <c r="W184" i="35"/>
  <c r="W185" i="35"/>
  <c r="W186" i="35"/>
  <c r="W187" i="35"/>
  <c r="W188" i="35"/>
  <c r="W189" i="35"/>
  <c r="W190" i="35"/>
  <c r="W191" i="35"/>
  <c r="W192" i="35"/>
  <c r="W193" i="35"/>
  <c r="W194" i="35"/>
  <c r="W195" i="35"/>
  <c r="W196" i="35"/>
  <c r="W197" i="35"/>
  <c r="W198" i="35"/>
  <c r="W199" i="35"/>
  <c r="W200" i="35"/>
  <c r="W201" i="35"/>
  <c r="W202" i="35"/>
  <c r="W203" i="35"/>
  <c r="W204" i="35"/>
  <c r="W205" i="35"/>
  <c r="W206" i="35"/>
  <c r="W207" i="35"/>
  <c r="W208" i="35"/>
  <c r="W209" i="35"/>
  <c r="W210" i="35"/>
  <c r="W211" i="35"/>
  <c r="W212" i="35"/>
  <c r="W213" i="35"/>
  <c r="W214" i="35"/>
  <c r="W215" i="35"/>
  <c r="W216" i="35"/>
  <c r="W217" i="35"/>
  <c r="W218" i="35"/>
  <c r="W219" i="35"/>
  <c r="W220" i="35"/>
  <c r="W221" i="35"/>
  <c r="W222" i="35"/>
  <c r="W223" i="35"/>
  <c r="W224" i="35"/>
  <c r="W225" i="35"/>
  <c r="W226" i="35"/>
  <c r="W227" i="35"/>
  <c r="W228" i="35"/>
  <c r="W229" i="35"/>
  <c r="W230" i="35"/>
  <c r="W231" i="35"/>
  <c r="W232" i="35"/>
  <c r="W233" i="35"/>
  <c r="W234" i="35"/>
  <c r="W235" i="35"/>
  <c r="W236" i="35"/>
  <c r="W237" i="35"/>
  <c r="W238" i="35"/>
  <c r="W239" i="35"/>
  <c r="W240" i="35"/>
  <c r="W241" i="35"/>
  <c r="W242" i="35"/>
  <c r="W243" i="35"/>
  <c r="W244" i="35"/>
  <c r="W245" i="35"/>
  <c r="W246" i="35"/>
  <c r="W247" i="35"/>
  <c r="W248" i="35"/>
  <c r="W249" i="35"/>
  <c r="W250" i="35"/>
  <c r="W251" i="35"/>
  <c r="W252" i="35"/>
  <c r="W253" i="35"/>
  <c r="W254" i="35"/>
  <c r="W255" i="35"/>
  <c r="W256" i="35"/>
  <c r="W257" i="35"/>
  <c r="W258" i="35"/>
  <c r="W259" i="35"/>
  <c r="W260" i="35"/>
  <c r="W261" i="35"/>
  <c r="W262" i="35"/>
  <c r="W263" i="35"/>
  <c r="W264" i="35"/>
  <c r="W265" i="35"/>
  <c r="W266" i="35"/>
  <c r="W267" i="35"/>
  <c r="W268" i="35"/>
  <c r="W269" i="35"/>
  <c r="W270" i="35"/>
  <c r="W271" i="35"/>
  <c r="W272" i="35"/>
  <c r="W273" i="35"/>
  <c r="W274" i="35"/>
  <c r="W275" i="35"/>
  <c r="W276" i="35"/>
  <c r="W277" i="35"/>
  <c r="W278" i="35"/>
  <c r="W279" i="35"/>
  <c r="W280" i="35"/>
  <c r="W281" i="35"/>
  <c r="W282" i="35"/>
  <c r="W283" i="35"/>
  <c r="W284" i="35"/>
  <c r="W285" i="35"/>
  <c r="W286" i="35"/>
  <c r="W287" i="35"/>
  <c r="W288" i="35"/>
  <c r="W289" i="35"/>
  <c r="W290" i="35"/>
  <c r="W291" i="35"/>
  <c r="W292" i="35"/>
  <c r="W293" i="35"/>
  <c r="W294" i="35"/>
  <c r="W295" i="35"/>
  <c r="W296" i="35"/>
  <c r="W297" i="35"/>
  <c r="W298" i="35"/>
  <c r="W299" i="35"/>
  <c r="W300" i="35"/>
  <c r="W301" i="35"/>
  <c r="W302" i="35"/>
  <c r="W303" i="35"/>
  <c r="W304" i="35"/>
  <c r="W305" i="35"/>
  <c r="W306" i="35"/>
  <c r="W307" i="35"/>
  <c r="W308" i="35"/>
  <c r="W309" i="35"/>
  <c r="W310" i="35"/>
  <c r="W311" i="35"/>
  <c r="W312" i="35"/>
  <c r="W313" i="35"/>
  <c r="W314" i="35"/>
  <c r="W315" i="35"/>
  <c r="W316" i="35"/>
  <c r="W317" i="35"/>
  <c r="W318" i="35"/>
  <c r="W319" i="35"/>
  <c r="W320" i="35"/>
  <c r="W321" i="35"/>
  <c r="W322" i="35"/>
  <c r="W323" i="35"/>
  <c r="W324" i="35"/>
  <c r="W325" i="35"/>
  <c r="W326" i="35"/>
  <c r="W327" i="35"/>
  <c r="W328" i="35"/>
  <c r="W329" i="35"/>
  <c r="W330" i="35"/>
  <c r="W331" i="35"/>
  <c r="W332" i="35"/>
  <c r="W333" i="35"/>
  <c r="W334" i="35"/>
  <c r="W335" i="35"/>
  <c r="W336" i="35"/>
  <c r="W337" i="35"/>
  <c r="W338" i="35"/>
  <c r="W339" i="35"/>
  <c r="W340" i="35"/>
  <c r="W341" i="35"/>
  <c r="W342" i="35"/>
  <c r="W343" i="35"/>
  <c r="W344" i="35"/>
  <c r="W345" i="35"/>
  <c r="W346" i="35"/>
  <c r="W347" i="35"/>
  <c r="W348" i="35"/>
  <c r="W349" i="35"/>
  <c r="W350" i="35"/>
  <c r="W351" i="35"/>
  <c r="W352" i="35"/>
  <c r="W353" i="35"/>
  <c r="W354" i="35"/>
  <c r="W355" i="35"/>
  <c r="W356" i="35"/>
  <c r="W357" i="35"/>
  <c r="W358" i="35"/>
  <c r="W359" i="35"/>
  <c r="W360" i="35"/>
  <c r="W361" i="35"/>
  <c r="W362" i="35"/>
  <c r="W363" i="35"/>
  <c r="W364" i="35"/>
  <c r="W365" i="35"/>
  <c r="W366" i="35"/>
  <c r="W367" i="35"/>
  <c r="W368" i="35"/>
  <c r="W369" i="35"/>
  <c r="W370" i="35"/>
  <c r="W371" i="35"/>
  <c r="W372" i="35"/>
  <c r="W373" i="35"/>
  <c r="W374" i="35"/>
  <c r="W375" i="35"/>
  <c r="W376" i="35"/>
  <c r="W377" i="35"/>
  <c r="W378" i="35"/>
  <c r="W379" i="35"/>
  <c r="W380" i="35"/>
  <c r="W381" i="35"/>
  <c r="W382" i="35"/>
  <c r="W383" i="35"/>
  <c r="W384" i="35"/>
  <c r="W385" i="35"/>
  <c r="W386" i="35"/>
  <c r="W387" i="35"/>
  <c r="W388" i="35"/>
  <c r="W389" i="35"/>
  <c r="W390" i="35"/>
  <c r="W391" i="35"/>
  <c r="W392" i="35"/>
  <c r="W393" i="35"/>
  <c r="W394" i="35"/>
  <c r="W395" i="35"/>
  <c r="W396" i="35"/>
  <c r="W397" i="35"/>
  <c r="W398" i="35"/>
  <c r="W399" i="35"/>
  <c r="W400" i="35"/>
  <c r="W401" i="35"/>
  <c r="W402" i="35"/>
  <c r="W403" i="35"/>
  <c r="W404" i="35"/>
  <c r="W405" i="35"/>
  <c r="W406" i="35"/>
  <c r="W407" i="35"/>
  <c r="W408" i="35"/>
  <c r="W409" i="35"/>
  <c r="W410" i="35"/>
  <c r="W411" i="35"/>
  <c r="W412" i="35"/>
  <c r="W413" i="35"/>
  <c r="W414" i="35"/>
  <c r="W415" i="35"/>
  <c r="W416" i="35"/>
  <c r="W417" i="35"/>
  <c r="W418" i="35"/>
  <c r="W419" i="35"/>
  <c r="W420" i="35"/>
  <c r="W421" i="35"/>
  <c r="W422" i="35"/>
  <c r="W423" i="35"/>
  <c r="W424" i="35"/>
  <c r="W425" i="35"/>
  <c r="W426" i="35"/>
  <c r="W427" i="35"/>
  <c r="W428" i="35"/>
  <c r="W429" i="35"/>
  <c r="W430" i="35"/>
  <c r="W431" i="35"/>
  <c r="W432" i="35"/>
  <c r="W433" i="35"/>
  <c r="W434" i="35"/>
  <c r="W435" i="35"/>
  <c r="W436" i="35"/>
  <c r="W437" i="35"/>
  <c r="W438" i="35"/>
  <c r="W439" i="35"/>
  <c r="W440" i="35"/>
  <c r="W441" i="35"/>
  <c r="W442" i="35"/>
  <c r="W443" i="35"/>
  <c r="W444" i="35"/>
  <c r="W445" i="35"/>
  <c r="W446" i="35"/>
  <c r="W447" i="35"/>
  <c r="W448" i="35"/>
  <c r="W449" i="35"/>
  <c r="W450" i="35"/>
  <c r="W451" i="35"/>
  <c r="W452" i="35"/>
  <c r="W453" i="35"/>
  <c r="W454" i="35"/>
  <c r="W455" i="35"/>
  <c r="W456" i="35"/>
  <c r="W457" i="35"/>
  <c r="W458" i="35"/>
  <c r="W459" i="35"/>
  <c r="W460" i="35"/>
  <c r="W461" i="35"/>
  <c r="W462" i="35"/>
  <c r="W463" i="35"/>
  <c r="W464" i="35"/>
  <c r="W465" i="35"/>
  <c r="W466" i="35"/>
  <c r="W467" i="35"/>
  <c r="W468" i="35"/>
  <c r="W469" i="35"/>
  <c r="W470" i="35"/>
  <c r="W471" i="35"/>
  <c r="W472" i="35"/>
  <c r="W473" i="35"/>
  <c r="W474" i="35"/>
  <c r="W475" i="35"/>
  <c r="W476" i="35"/>
  <c r="W477" i="35"/>
  <c r="W478" i="35"/>
  <c r="W479" i="35"/>
  <c r="W480" i="35"/>
  <c r="W481" i="35"/>
  <c r="W482" i="35"/>
  <c r="W483" i="35"/>
  <c r="W484" i="35"/>
  <c r="W485" i="35"/>
  <c r="W486" i="35"/>
  <c r="W487" i="35"/>
  <c r="W488" i="35"/>
  <c r="W489" i="35"/>
  <c r="W490" i="35"/>
  <c r="W491" i="35"/>
  <c r="W492" i="35"/>
  <c r="W493" i="35"/>
  <c r="W494" i="35"/>
  <c r="W495" i="35"/>
  <c r="W496" i="35"/>
  <c r="W497" i="35"/>
  <c r="W498" i="35"/>
  <c r="W499" i="35"/>
  <c r="W500" i="35"/>
  <c r="W501" i="35"/>
  <c r="W502" i="35"/>
  <c r="W503" i="35"/>
  <c r="W504" i="35"/>
  <c r="W505" i="35"/>
  <c r="W506" i="35"/>
  <c r="W507" i="35"/>
  <c r="W508" i="35"/>
  <c r="W509" i="35"/>
  <c r="W510" i="35"/>
  <c r="W511" i="35"/>
  <c r="W512" i="35"/>
  <c r="W513" i="35"/>
  <c r="W514" i="35"/>
  <c r="W515" i="35"/>
  <c r="W516" i="35"/>
  <c r="W517" i="35"/>
  <c r="W518" i="35"/>
  <c r="W519" i="35"/>
  <c r="W520" i="35"/>
  <c r="W521" i="35"/>
  <c r="W522" i="35"/>
  <c r="W523" i="35"/>
  <c r="W524" i="35"/>
  <c r="W525" i="35"/>
  <c r="W526" i="35"/>
  <c r="W527" i="35"/>
  <c r="W528" i="35"/>
  <c r="W529" i="35"/>
  <c r="W530" i="35"/>
  <c r="W531" i="35"/>
  <c r="W532" i="35"/>
  <c r="W533" i="35"/>
  <c r="W534" i="35"/>
  <c r="W535" i="35"/>
  <c r="W536" i="35"/>
  <c r="W537" i="35"/>
  <c r="W538" i="35"/>
  <c r="W539" i="35"/>
  <c r="W540" i="35"/>
  <c r="W541" i="35"/>
  <c r="W542" i="35"/>
  <c r="W543" i="35"/>
  <c r="W544" i="35"/>
  <c r="W545" i="35"/>
  <c r="W546" i="35"/>
  <c r="W547" i="35"/>
  <c r="W548" i="35"/>
  <c r="W549" i="35"/>
  <c r="W550" i="35"/>
  <c r="W551" i="35"/>
  <c r="W552" i="35"/>
  <c r="W553" i="35"/>
  <c r="W554" i="35"/>
  <c r="W555" i="35"/>
  <c r="W556" i="35"/>
  <c r="W557" i="35"/>
  <c r="W558" i="35"/>
  <c r="W559" i="35"/>
  <c r="W560" i="35"/>
  <c r="W561" i="35"/>
  <c r="W562" i="35"/>
  <c r="W563" i="35"/>
  <c r="W564" i="35"/>
  <c r="W565" i="35"/>
  <c r="W566" i="35"/>
  <c r="W567" i="35"/>
  <c r="W568" i="35"/>
  <c r="W569" i="35"/>
  <c r="W570" i="35"/>
  <c r="W571" i="35"/>
  <c r="W572" i="35"/>
  <c r="W573" i="35"/>
  <c r="W574" i="35"/>
  <c r="W575" i="35"/>
  <c r="W576" i="35"/>
  <c r="W577" i="35"/>
  <c r="W578" i="35"/>
  <c r="W579" i="35"/>
  <c r="W580" i="35"/>
  <c r="W581" i="35"/>
  <c r="W582" i="35"/>
  <c r="W583" i="35"/>
  <c r="W584" i="35"/>
  <c r="W585" i="35"/>
  <c r="W586" i="35"/>
  <c r="W587" i="35"/>
  <c r="W588" i="35"/>
  <c r="W589" i="35"/>
  <c r="W590" i="35"/>
  <c r="W591" i="35"/>
  <c r="W592" i="35"/>
  <c r="W593" i="35"/>
  <c r="W594" i="35"/>
  <c r="W595" i="35"/>
  <c r="W596" i="35"/>
  <c r="W597" i="35"/>
  <c r="W598" i="35"/>
  <c r="W599" i="35"/>
  <c r="W600" i="35"/>
  <c r="W601" i="35"/>
  <c r="W602" i="35"/>
  <c r="W603" i="35"/>
  <c r="W604" i="35"/>
  <c r="W605" i="35"/>
  <c r="W606" i="35"/>
  <c r="W607" i="35"/>
  <c r="W608" i="35"/>
  <c r="W609" i="35"/>
  <c r="W610" i="35"/>
  <c r="W611" i="35"/>
  <c r="W612" i="35"/>
  <c r="W613" i="35"/>
  <c r="W614" i="35"/>
  <c r="W615" i="35"/>
  <c r="W616" i="35"/>
  <c r="W617" i="35"/>
  <c r="W618" i="35"/>
  <c r="W619" i="35"/>
  <c r="W620" i="35"/>
  <c r="W621" i="35"/>
  <c r="W622" i="35"/>
  <c r="W623" i="35"/>
  <c r="W624" i="35"/>
  <c r="W625" i="35"/>
  <c r="W626" i="35"/>
  <c r="W627" i="35"/>
  <c r="W628" i="35"/>
  <c r="W629" i="35"/>
  <c r="W630" i="35"/>
  <c r="W631" i="35"/>
  <c r="W632" i="35"/>
  <c r="W633" i="35"/>
  <c r="W634" i="35"/>
  <c r="W635" i="35"/>
  <c r="W636" i="35"/>
  <c r="W637" i="35"/>
  <c r="W638" i="35"/>
  <c r="W639" i="35"/>
  <c r="W640" i="35"/>
  <c r="W641" i="35"/>
  <c r="W642" i="35"/>
  <c r="W643" i="35"/>
  <c r="W644" i="35"/>
  <c r="W645" i="35"/>
  <c r="W646" i="35"/>
  <c r="W647" i="35"/>
  <c r="W648" i="35"/>
  <c r="W649" i="35"/>
  <c r="W650" i="35"/>
  <c r="W651" i="35"/>
  <c r="W652" i="35"/>
  <c r="W653" i="35"/>
  <c r="W654" i="35"/>
  <c r="W655" i="35"/>
  <c r="W656" i="35"/>
  <c r="W657" i="35"/>
  <c r="W658" i="35"/>
  <c r="W659" i="35"/>
  <c r="W660" i="35"/>
  <c r="W661" i="35"/>
  <c r="W662" i="35"/>
  <c r="W663" i="35"/>
  <c r="W664" i="35"/>
  <c r="W665" i="35"/>
  <c r="W666" i="35"/>
  <c r="W667" i="35"/>
  <c r="W668" i="35"/>
  <c r="W669" i="35"/>
  <c r="W670" i="35"/>
  <c r="W671" i="35"/>
  <c r="W672" i="35"/>
  <c r="W673" i="35"/>
  <c r="W674" i="35"/>
  <c r="W675" i="35"/>
  <c r="W676" i="35"/>
  <c r="W677" i="35"/>
  <c r="W678" i="35"/>
  <c r="W679" i="35"/>
  <c r="W680" i="35"/>
  <c r="W681" i="35"/>
  <c r="W682" i="35"/>
  <c r="W683" i="35"/>
  <c r="W684" i="35"/>
  <c r="W685" i="35"/>
  <c r="W686" i="35"/>
  <c r="W687" i="35"/>
  <c r="W688" i="35"/>
  <c r="W689" i="35"/>
  <c r="W690" i="35"/>
  <c r="W691" i="35"/>
  <c r="W692" i="35"/>
  <c r="W693" i="35"/>
  <c r="W694" i="35"/>
  <c r="W695" i="35"/>
  <c r="W696" i="35"/>
  <c r="W697" i="35"/>
  <c r="W698" i="35"/>
  <c r="W699" i="35"/>
  <c r="W700" i="35"/>
  <c r="W701" i="35"/>
  <c r="W14" i="35"/>
  <c r="W15" i="35"/>
  <c r="W16" i="35"/>
  <c r="W17" i="35"/>
  <c r="W18" i="35"/>
  <c r="W19" i="35"/>
  <c r="W20" i="35"/>
  <c r="W21" i="35"/>
  <c r="W22" i="35"/>
  <c r="W23" i="35"/>
  <c r="W24" i="35"/>
  <c r="W25" i="35"/>
  <c r="W26" i="35"/>
  <c r="W27" i="35"/>
  <c r="W28" i="35"/>
  <c r="W29" i="35"/>
  <c r="W30" i="35"/>
  <c r="W31" i="35"/>
  <c r="W32" i="35"/>
  <c r="W33" i="35"/>
  <c r="W34" i="35"/>
  <c r="W35" i="35"/>
  <c r="W36" i="35"/>
  <c r="W37" i="35"/>
  <c r="W38" i="35"/>
  <c r="W39" i="35"/>
  <c r="W40" i="35"/>
  <c r="W41" i="35"/>
  <c r="W42" i="35"/>
  <c r="W43" i="35"/>
  <c r="W44" i="35"/>
  <c r="W45" i="35"/>
  <c r="W46" i="35"/>
  <c r="W47" i="35"/>
  <c r="W48" i="35"/>
  <c r="W49" i="35"/>
  <c r="W50" i="35"/>
  <c r="W51" i="35"/>
  <c r="W52" i="35"/>
  <c r="W53" i="35"/>
  <c r="W54" i="35"/>
  <c r="W55" i="35"/>
  <c r="W56" i="35"/>
  <c r="W57" i="35"/>
  <c r="W58" i="35"/>
  <c r="W59" i="35"/>
  <c r="W60" i="35"/>
  <c r="W61" i="35"/>
  <c r="W62" i="35"/>
  <c r="W63" i="35"/>
  <c r="W64" i="35"/>
  <c r="W65" i="35"/>
  <c r="W66" i="35"/>
  <c r="W67" i="35"/>
  <c r="W68" i="35"/>
  <c r="W69" i="35"/>
  <c r="W70" i="35"/>
  <c r="W71" i="35"/>
  <c r="W72" i="35"/>
  <c r="W73" i="35"/>
  <c r="W74" i="35"/>
  <c r="W75" i="35"/>
  <c r="W76" i="35"/>
  <c r="W77" i="35"/>
  <c r="W78" i="35"/>
  <c r="W79" i="35"/>
  <c r="W80" i="35"/>
  <c r="W81" i="35"/>
  <c r="W82" i="35"/>
  <c r="W83" i="35"/>
  <c r="W84" i="35"/>
  <c r="W85" i="35"/>
  <c r="W86" i="35"/>
  <c r="W87" i="35"/>
  <c r="W88" i="35"/>
  <c r="W89" i="35"/>
  <c r="W90" i="35"/>
  <c r="W91" i="35"/>
  <c r="W92" i="35"/>
  <c r="W93" i="35"/>
  <c r="W94" i="35"/>
  <c r="W95" i="35"/>
  <c r="W96" i="35"/>
  <c r="W97" i="35"/>
  <c r="W98" i="35"/>
  <c r="W99" i="35"/>
  <c r="W100" i="35"/>
  <c r="W101" i="35"/>
  <c r="W102" i="35"/>
  <c r="W103" i="35"/>
  <c r="W104" i="35"/>
  <c r="W105" i="35"/>
  <c r="W106" i="35"/>
  <c r="W107" i="35"/>
  <c r="W108" i="35"/>
  <c r="W109" i="35"/>
  <c r="W110" i="35"/>
  <c r="W111" i="35"/>
  <c r="W112" i="35"/>
  <c r="W113" i="35"/>
  <c r="W114" i="35"/>
  <c r="W115" i="35"/>
  <c r="W116" i="35"/>
  <c r="W117" i="35"/>
  <c r="W118" i="35"/>
  <c r="W119" i="35"/>
  <c r="W120" i="35"/>
  <c r="W121" i="35"/>
  <c r="W122" i="35"/>
  <c r="W123" i="35"/>
  <c r="W124" i="35"/>
  <c r="W125" i="35"/>
  <c r="W126" i="35"/>
  <c r="W127" i="35"/>
  <c r="W128" i="35"/>
  <c r="W129" i="35"/>
  <c r="W130" i="35"/>
  <c r="W131" i="35"/>
  <c r="W132" i="35"/>
  <c r="W133" i="35"/>
  <c r="W134" i="35"/>
  <c r="W135" i="35"/>
  <c r="W136" i="35"/>
  <c r="W137" i="35"/>
  <c r="W138" i="35"/>
  <c r="W139" i="35"/>
  <c r="W13" i="35"/>
  <c r="A140" i="35" l="1"/>
  <c r="B140" i="35"/>
  <c r="C140" i="35"/>
  <c r="D140" i="35"/>
  <c r="E140" i="35"/>
  <c r="F140" i="35"/>
  <c r="G140" i="35"/>
  <c r="H140" i="35"/>
  <c r="Q140" i="35" s="1"/>
  <c r="AC140" i="35" s="1"/>
  <c r="I140" i="35"/>
  <c r="J140" i="35"/>
  <c r="K140" i="35"/>
  <c r="L140" i="35"/>
  <c r="A141" i="35"/>
  <c r="B141" i="35"/>
  <c r="C141" i="35"/>
  <c r="D141" i="35"/>
  <c r="E141" i="35"/>
  <c r="F141" i="35"/>
  <c r="G141" i="35"/>
  <c r="H141" i="35"/>
  <c r="Q141" i="35" s="1"/>
  <c r="AC141" i="35" s="1"/>
  <c r="I141" i="35"/>
  <c r="J141" i="35"/>
  <c r="K141" i="35"/>
  <c r="L141" i="35"/>
  <c r="A142" i="35"/>
  <c r="B142" i="35"/>
  <c r="C142" i="35"/>
  <c r="D142" i="35"/>
  <c r="E142" i="35"/>
  <c r="F142" i="35"/>
  <c r="G142" i="35"/>
  <c r="H142" i="35"/>
  <c r="Q142" i="35" s="1"/>
  <c r="AC142" i="35" s="1"/>
  <c r="I142" i="35"/>
  <c r="J142" i="35"/>
  <c r="K142" i="35"/>
  <c r="L142" i="35"/>
  <c r="A143" i="35"/>
  <c r="B143" i="35"/>
  <c r="C143" i="35"/>
  <c r="D143" i="35"/>
  <c r="E143" i="35"/>
  <c r="F143" i="35"/>
  <c r="G143" i="35"/>
  <c r="H143" i="35"/>
  <c r="Q143" i="35" s="1"/>
  <c r="AC143" i="35" s="1"/>
  <c r="I143" i="35"/>
  <c r="J143" i="35"/>
  <c r="K143" i="35"/>
  <c r="L143" i="35"/>
  <c r="A144" i="35"/>
  <c r="B144" i="35"/>
  <c r="C144" i="35"/>
  <c r="D144" i="35"/>
  <c r="E144" i="35"/>
  <c r="F144" i="35"/>
  <c r="G144" i="35"/>
  <c r="H144" i="35"/>
  <c r="Q144" i="35" s="1"/>
  <c r="AC144" i="35" s="1"/>
  <c r="I144" i="35"/>
  <c r="J144" i="35"/>
  <c r="K144" i="35"/>
  <c r="L144" i="35"/>
  <c r="A145" i="35"/>
  <c r="B145" i="35"/>
  <c r="C145" i="35"/>
  <c r="D145" i="35"/>
  <c r="E145" i="35"/>
  <c r="F145" i="35"/>
  <c r="G145" i="35"/>
  <c r="H145" i="35"/>
  <c r="Q145" i="35" s="1"/>
  <c r="AC145" i="35" s="1"/>
  <c r="I145" i="35"/>
  <c r="J145" i="35"/>
  <c r="K145" i="35"/>
  <c r="L145" i="35"/>
  <c r="A146" i="35"/>
  <c r="B146" i="35"/>
  <c r="C146" i="35"/>
  <c r="D146" i="35"/>
  <c r="E146" i="35"/>
  <c r="F146" i="35"/>
  <c r="G146" i="35"/>
  <c r="H146" i="35"/>
  <c r="Q146" i="35" s="1"/>
  <c r="AC146" i="35" s="1"/>
  <c r="I146" i="35"/>
  <c r="J146" i="35"/>
  <c r="K146" i="35"/>
  <c r="L146" i="35"/>
  <c r="A147" i="35"/>
  <c r="B147" i="35"/>
  <c r="C147" i="35"/>
  <c r="D147" i="35"/>
  <c r="E147" i="35"/>
  <c r="F147" i="35"/>
  <c r="G147" i="35"/>
  <c r="H147" i="35"/>
  <c r="Q147" i="35" s="1"/>
  <c r="AC147" i="35" s="1"/>
  <c r="I147" i="35"/>
  <c r="J147" i="35"/>
  <c r="K147" i="35"/>
  <c r="L147" i="35"/>
  <c r="A148" i="35"/>
  <c r="B148" i="35"/>
  <c r="C148" i="35"/>
  <c r="D148" i="35"/>
  <c r="E148" i="35"/>
  <c r="F148" i="35"/>
  <c r="G148" i="35"/>
  <c r="H148" i="35"/>
  <c r="Q148" i="35" s="1"/>
  <c r="AC148" i="35" s="1"/>
  <c r="I148" i="35"/>
  <c r="J148" i="35"/>
  <c r="K148" i="35"/>
  <c r="L148" i="35"/>
  <c r="A149" i="35"/>
  <c r="B149" i="35"/>
  <c r="C149" i="35"/>
  <c r="D149" i="35"/>
  <c r="E149" i="35"/>
  <c r="F149" i="35"/>
  <c r="G149" i="35"/>
  <c r="H149" i="35"/>
  <c r="Q149" i="35" s="1"/>
  <c r="AC149" i="35" s="1"/>
  <c r="I149" i="35"/>
  <c r="J149" i="35"/>
  <c r="K149" i="35"/>
  <c r="L149" i="35"/>
  <c r="A150" i="35"/>
  <c r="B150" i="35"/>
  <c r="C150" i="35"/>
  <c r="D150" i="35"/>
  <c r="E150" i="35"/>
  <c r="F150" i="35"/>
  <c r="G150" i="35"/>
  <c r="H150" i="35"/>
  <c r="Q150" i="35" s="1"/>
  <c r="AC150" i="35" s="1"/>
  <c r="I150" i="35"/>
  <c r="J150" i="35"/>
  <c r="K150" i="35"/>
  <c r="L150" i="35"/>
  <c r="A151" i="35"/>
  <c r="B151" i="35"/>
  <c r="C151" i="35"/>
  <c r="D151" i="35"/>
  <c r="E151" i="35"/>
  <c r="F151" i="35"/>
  <c r="G151" i="35"/>
  <c r="H151" i="35"/>
  <c r="Q151" i="35" s="1"/>
  <c r="AC151" i="35" s="1"/>
  <c r="I151" i="35"/>
  <c r="J151" i="35"/>
  <c r="K151" i="35"/>
  <c r="L151" i="35"/>
  <c r="A152" i="35"/>
  <c r="B152" i="35"/>
  <c r="C152" i="35"/>
  <c r="D152" i="35"/>
  <c r="E152" i="35"/>
  <c r="F152" i="35"/>
  <c r="G152" i="35"/>
  <c r="H152" i="35"/>
  <c r="Q152" i="35" s="1"/>
  <c r="AC152" i="35" s="1"/>
  <c r="I152" i="35"/>
  <c r="J152" i="35"/>
  <c r="K152" i="35"/>
  <c r="L152" i="35"/>
  <c r="A153" i="35"/>
  <c r="B153" i="35"/>
  <c r="C153" i="35"/>
  <c r="D153" i="35"/>
  <c r="E153" i="35"/>
  <c r="F153" i="35"/>
  <c r="G153" i="35"/>
  <c r="H153" i="35"/>
  <c r="Q153" i="35" s="1"/>
  <c r="AC153" i="35" s="1"/>
  <c r="I153" i="35"/>
  <c r="J153" i="35"/>
  <c r="K153" i="35"/>
  <c r="L153" i="35"/>
  <c r="A154" i="35"/>
  <c r="B154" i="35"/>
  <c r="C154" i="35"/>
  <c r="D154" i="35"/>
  <c r="E154" i="35"/>
  <c r="F154" i="35"/>
  <c r="G154" i="35"/>
  <c r="H154" i="35"/>
  <c r="Q154" i="35" s="1"/>
  <c r="AC154" i="35" s="1"/>
  <c r="I154" i="35"/>
  <c r="J154" i="35"/>
  <c r="K154" i="35"/>
  <c r="L154" i="35"/>
  <c r="A155" i="35"/>
  <c r="B155" i="35"/>
  <c r="C155" i="35"/>
  <c r="D155" i="35"/>
  <c r="E155" i="35"/>
  <c r="F155" i="35"/>
  <c r="G155" i="35"/>
  <c r="H155" i="35"/>
  <c r="Q155" i="35" s="1"/>
  <c r="AC155" i="35" s="1"/>
  <c r="I155" i="35"/>
  <c r="J155" i="35"/>
  <c r="K155" i="35"/>
  <c r="L155" i="35"/>
  <c r="A156" i="35"/>
  <c r="B156" i="35"/>
  <c r="C156" i="35"/>
  <c r="D156" i="35"/>
  <c r="E156" i="35"/>
  <c r="F156" i="35"/>
  <c r="G156" i="35"/>
  <c r="H156" i="35"/>
  <c r="Q156" i="35" s="1"/>
  <c r="AC156" i="35" s="1"/>
  <c r="I156" i="35"/>
  <c r="J156" i="35"/>
  <c r="K156" i="35"/>
  <c r="L156" i="35"/>
  <c r="A157" i="35"/>
  <c r="B157" i="35"/>
  <c r="C157" i="35"/>
  <c r="D157" i="35"/>
  <c r="E157" i="35"/>
  <c r="F157" i="35"/>
  <c r="G157" i="35"/>
  <c r="H157" i="35"/>
  <c r="Q157" i="35" s="1"/>
  <c r="AC157" i="35" s="1"/>
  <c r="I157" i="35"/>
  <c r="J157" i="35"/>
  <c r="K157" i="35"/>
  <c r="L157" i="35"/>
  <c r="A158" i="35"/>
  <c r="B158" i="35"/>
  <c r="C158" i="35"/>
  <c r="D158" i="35"/>
  <c r="E158" i="35"/>
  <c r="F158" i="35"/>
  <c r="G158" i="35"/>
  <c r="H158" i="35"/>
  <c r="Q158" i="35" s="1"/>
  <c r="AC158" i="35" s="1"/>
  <c r="I158" i="35"/>
  <c r="J158" i="35"/>
  <c r="K158" i="35"/>
  <c r="L158" i="35"/>
  <c r="A159" i="35"/>
  <c r="B159" i="35"/>
  <c r="C159" i="35"/>
  <c r="D159" i="35"/>
  <c r="E159" i="35"/>
  <c r="F159" i="35"/>
  <c r="G159" i="35"/>
  <c r="H159" i="35"/>
  <c r="Q159" i="35" s="1"/>
  <c r="AC159" i="35" s="1"/>
  <c r="I159" i="35"/>
  <c r="J159" i="35"/>
  <c r="K159" i="35"/>
  <c r="L159" i="35"/>
  <c r="A160" i="35"/>
  <c r="B160" i="35"/>
  <c r="C160" i="35"/>
  <c r="D160" i="35"/>
  <c r="E160" i="35"/>
  <c r="F160" i="35"/>
  <c r="G160" i="35"/>
  <c r="H160" i="35"/>
  <c r="Q160" i="35" s="1"/>
  <c r="AC160" i="35" s="1"/>
  <c r="I160" i="35"/>
  <c r="J160" i="35"/>
  <c r="K160" i="35"/>
  <c r="L160" i="35"/>
  <c r="A161" i="35"/>
  <c r="B161" i="35"/>
  <c r="C161" i="35"/>
  <c r="D161" i="35"/>
  <c r="E161" i="35"/>
  <c r="F161" i="35"/>
  <c r="G161" i="35"/>
  <c r="H161" i="35"/>
  <c r="Q161" i="35" s="1"/>
  <c r="AC161" i="35" s="1"/>
  <c r="I161" i="35"/>
  <c r="J161" i="35"/>
  <c r="K161" i="35"/>
  <c r="L161" i="35"/>
  <c r="A162" i="35"/>
  <c r="B162" i="35"/>
  <c r="C162" i="35"/>
  <c r="D162" i="35"/>
  <c r="E162" i="35"/>
  <c r="F162" i="35"/>
  <c r="G162" i="35"/>
  <c r="H162" i="35"/>
  <c r="Q162" i="35" s="1"/>
  <c r="AC162" i="35" s="1"/>
  <c r="I162" i="35"/>
  <c r="J162" i="35"/>
  <c r="K162" i="35"/>
  <c r="L162" i="35"/>
  <c r="A163" i="35"/>
  <c r="B163" i="35"/>
  <c r="C163" i="35"/>
  <c r="D163" i="35"/>
  <c r="E163" i="35"/>
  <c r="F163" i="35"/>
  <c r="G163" i="35"/>
  <c r="H163" i="35"/>
  <c r="Q163" i="35" s="1"/>
  <c r="AC163" i="35" s="1"/>
  <c r="I163" i="35"/>
  <c r="J163" i="35"/>
  <c r="K163" i="35"/>
  <c r="L163" i="35"/>
  <c r="A164" i="35"/>
  <c r="B164" i="35"/>
  <c r="C164" i="35"/>
  <c r="D164" i="35"/>
  <c r="E164" i="35"/>
  <c r="F164" i="35"/>
  <c r="G164" i="35"/>
  <c r="H164" i="35"/>
  <c r="Q164" i="35" s="1"/>
  <c r="AC164" i="35" s="1"/>
  <c r="I164" i="35"/>
  <c r="J164" i="35"/>
  <c r="K164" i="35"/>
  <c r="L164" i="35"/>
  <c r="A165" i="35"/>
  <c r="B165" i="35"/>
  <c r="C165" i="35"/>
  <c r="D165" i="35"/>
  <c r="E165" i="35"/>
  <c r="F165" i="35"/>
  <c r="G165" i="35"/>
  <c r="H165" i="35"/>
  <c r="Q165" i="35" s="1"/>
  <c r="AC165" i="35" s="1"/>
  <c r="I165" i="35"/>
  <c r="J165" i="35"/>
  <c r="K165" i="35"/>
  <c r="L165" i="35"/>
  <c r="A166" i="35"/>
  <c r="B166" i="35"/>
  <c r="C166" i="35"/>
  <c r="D166" i="35"/>
  <c r="E166" i="35"/>
  <c r="F166" i="35"/>
  <c r="G166" i="35"/>
  <c r="H166" i="35"/>
  <c r="Q166" i="35" s="1"/>
  <c r="AC166" i="35" s="1"/>
  <c r="I166" i="35"/>
  <c r="J166" i="35"/>
  <c r="K166" i="35"/>
  <c r="L166" i="35"/>
  <c r="A167" i="35"/>
  <c r="B167" i="35"/>
  <c r="C167" i="35"/>
  <c r="D167" i="35"/>
  <c r="E167" i="35"/>
  <c r="F167" i="35"/>
  <c r="G167" i="35"/>
  <c r="H167" i="35"/>
  <c r="Q167" i="35" s="1"/>
  <c r="AC167" i="35" s="1"/>
  <c r="I167" i="35"/>
  <c r="J167" i="35"/>
  <c r="K167" i="35"/>
  <c r="L167" i="35"/>
  <c r="A168" i="35"/>
  <c r="B168" i="35"/>
  <c r="C168" i="35"/>
  <c r="D168" i="35"/>
  <c r="E168" i="35"/>
  <c r="F168" i="35"/>
  <c r="G168" i="35"/>
  <c r="H168" i="35"/>
  <c r="Q168" i="35" s="1"/>
  <c r="AC168" i="35" s="1"/>
  <c r="I168" i="35"/>
  <c r="J168" i="35"/>
  <c r="K168" i="35"/>
  <c r="L168" i="35"/>
  <c r="A169" i="35"/>
  <c r="B169" i="35"/>
  <c r="C169" i="35"/>
  <c r="D169" i="35"/>
  <c r="E169" i="35"/>
  <c r="F169" i="35"/>
  <c r="G169" i="35"/>
  <c r="H169" i="35"/>
  <c r="Q169" i="35" s="1"/>
  <c r="AC169" i="35" s="1"/>
  <c r="I169" i="35"/>
  <c r="J169" i="35"/>
  <c r="K169" i="35"/>
  <c r="L169" i="35"/>
  <c r="A170" i="35"/>
  <c r="B170" i="35"/>
  <c r="C170" i="35"/>
  <c r="D170" i="35"/>
  <c r="E170" i="35"/>
  <c r="F170" i="35"/>
  <c r="G170" i="35"/>
  <c r="H170" i="35"/>
  <c r="Q170" i="35" s="1"/>
  <c r="AC170" i="35" s="1"/>
  <c r="I170" i="35"/>
  <c r="J170" i="35"/>
  <c r="K170" i="35"/>
  <c r="L170" i="35"/>
  <c r="A171" i="35"/>
  <c r="B171" i="35"/>
  <c r="C171" i="35"/>
  <c r="D171" i="35"/>
  <c r="E171" i="35"/>
  <c r="F171" i="35"/>
  <c r="G171" i="35"/>
  <c r="H171" i="35"/>
  <c r="Q171" i="35" s="1"/>
  <c r="AC171" i="35" s="1"/>
  <c r="I171" i="35"/>
  <c r="J171" i="35"/>
  <c r="K171" i="35"/>
  <c r="L171" i="35"/>
  <c r="A172" i="35"/>
  <c r="B172" i="35"/>
  <c r="C172" i="35"/>
  <c r="D172" i="35"/>
  <c r="E172" i="35"/>
  <c r="F172" i="35"/>
  <c r="G172" i="35"/>
  <c r="H172" i="35"/>
  <c r="Q172" i="35" s="1"/>
  <c r="AC172" i="35" s="1"/>
  <c r="I172" i="35"/>
  <c r="J172" i="35"/>
  <c r="K172" i="35"/>
  <c r="L172" i="35"/>
  <c r="A173" i="35"/>
  <c r="B173" i="35"/>
  <c r="C173" i="35"/>
  <c r="D173" i="35"/>
  <c r="E173" i="35"/>
  <c r="F173" i="35"/>
  <c r="G173" i="35"/>
  <c r="H173" i="35"/>
  <c r="Q173" i="35" s="1"/>
  <c r="AC173" i="35" s="1"/>
  <c r="I173" i="35"/>
  <c r="J173" i="35"/>
  <c r="K173" i="35"/>
  <c r="L173" i="35"/>
  <c r="A174" i="35"/>
  <c r="B174" i="35"/>
  <c r="C174" i="35"/>
  <c r="D174" i="35"/>
  <c r="E174" i="35"/>
  <c r="F174" i="35"/>
  <c r="G174" i="35"/>
  <c r="H174" i="35"/>
  <c r="Q174" i="35" s="1"/>
  <c r="AC174" i="35" s="1"/>
  <c r="I174" i="35"/>
  <c r="J174" i="35"/>
  <c r="K174" i="35"/>
  <c r="L174" i="35"/>
  <c r="A175" i="35"/>
  <c r="B175" i="35"/>
  <c r="C175" i="35"/>
  <c r="D175" i="35"/>
  <c r="E175" i="35"/>
  <c r="F175" i="35"/>
  <c r="G175" i="35"/>
  <c r="H175" i="35"/>
  <c r="Q175" i="35" s="1"/>
  <c r="AC175" i="35" s="1"/>
  <c r="I175" i="35"/>
  <c r="J175" i="35"/>
  <c r="K175" i="35"/>
  <c r="L175" i="35"/>
  <c r="A176" i="35"/>
  <c r="B176" i="35"/>
  <c r="C176" i="35"/>
  <c r="D176" i="35"/>
  <c r="E176" i="35"/>
  <c r="F176" i="35"/>
  <c r="G176" i="35"/>
  <c r="H176" i="35"/>
  <c r="Q176" i="35" s="1"/>
  <c r="AC176" i="35" s="1"/>
  <c r="I176" i="35"/>
  <c r="J176" i="35"/>
  <c r="K176" i="35"/>
  <c r="L176" i="35"/>
  <c r="A177" i="35"/>
  <c r="B177" i="35"/>
  <c r="C177" i="35"/>
  <c r="D177" i="35"/>
  <c r="E177" i="35"/>
  <c r="F177" i="35"/>
  <c r="G177" i="35"/>
  <c r="H177" i="35"/>
  <c r="Q177" i="35" s="1"/>
  <c r="AC177" i="35" s="1"/>
  <c r="I177" i="35"/>
  <c r="J177" i="35"/>
  <c r="K177" i="35"/>
  <c r="L177" i="35"/>
  <c r="A178" i="35"/>
  <c r="B178" i="35"/>
  <c r="C178" i="35"/>
  <c r="D178" i="35"/>
  <c r="E178" i="35"/>
  <c r="F178" i="35"/>
  <c r="G178" i="35"/>
  <c r="H178" i="35"/>
  <c r="Q178" i="35" s="1"/>
  <c r="AC178" i="35" s="1"/>
  <c r="I178" i="35"/>
  <c r="J178" i="35"/>
  <c r="K178" i="35"/>
  <c r="L178" i="35"/>
  <c r="A179" i="35"/>
  <c r="B179" i="35"/>
  <c r="C179" i="35"/>
  <c r="D179" i="35"/>
  <c r="E179" i="35"/>
  <c r="F179" i="35"/>
  <c r="G179" i="35"/>
  <c r="H179" i="35"/>
  <c r="Q179" i="35" s="1"/>
  <c r="AC179" i="35" s="1"/>
  <c r="I179" i="35"/>
  <c r="J179" i="35"/>
  <c r="K179" i="35"/>
  <c r="L179" i="35"/>
  <c r="A180" i="35"/>
  <c r="B180" i="35"/>
  <c r="C180" i="35"/>
  <c r="D180" i="35"/>
  <c r="E180" i="35"/>
  <c r="F180" i="35"/>
  <c r="G180" i="35"/>
  <c r="H180" i="35"/>
  <c r="Q180" i="35" s="1"/>
  <c r="AC180" i="35" s="1"/>
  <c r="I180" i="35"/>
  <c r="J180" i="35"/>
  <c r="K180" i="35"/>
  <c r="L180" i="35"/>
  <c r="A181" i="35"/>
  <c r="B181" i="35"/>
  <c r="C181" i="35"/>
  <c r="D181" i="35"/>
  <c r="E181" i="35"/>
  <c r="F181" i="35"/>
  <c r="G181" i="35"/>
  <c r="H181" i="35"/>
  <c r="Q181" i="35" s="1"/>
  <c r="AC181" i="35" s="1"/>
  <c r="I181" i="35"/>
  <c r="J181" i="35"/>
  <c r="K181" i="35"/>
  <c r="L181" i="35"/>
  <c r="A182" i="35"/>
  <c r="B182" i="35"/>
  <c r="N182" i="35" s="1"/>
  <c r="O182" i="35" s="1"/>
  <c r="C182" i="35"/>
  <c r="D182" i="35"/>
  <c r="E182" i="35"/>
  <c r="F182" i="35"/>
  <c r="G182" i="35"/>
  <c r="H182" i="35"/>
  <c r="Q182" i="35" s="1"/>
  <c r="AC182" i="35" s="1"/>
  <c r="I182" i="35"/>
  <c r="J182" i="35"/>
  <c r="K182" i="35"/>
  <c r="L182" i="35"/>
  <c r="A183" i="35"/>
  <c r="B183" i="35"/>
  <c r="C183" i="35"/>
  <c r="D183" i="35"/>
  <c r="E183" i="35"/>
  <c r="F183" i="35"/>
  <c r="G183" i="35"/>
  <c r="H183" i="35"/>
  <c r="Q183" i="35" s="1"/>
  <c r="AC183" i="35" s="1"/>
  <c r="I183" i="35"/>
  <c r="J183" i="35"/>
  <c r="K183" i="35"/>
  <c r="L183" i="35"/>
  <c r="A184" i="35"/>
  <c r="B184" i="35"/>
  <c r="N184" i="35" s="1"/>
  <c r="O184" i="35" s="1"/>
  <c r="C184" i="35"/>
  <c r="D184" i="35"/>
  <c r="E184" i="35"/>
  <c r="F184" i="35"/>
  <c r="G184" i="35"/>
  <c r="H184" i="35"/>
  <c r="Q184" i="35" s="1"/>
  <c r="AC184" i="35" s="1"/>
  <c r="I184" i="35"/>
  <c r="J184" i="35"/>
  <c r="K184" i="35"/>
  <c r="L184" i="35"/>
  <c r="A185" i="35"/>
  <c r="B185" i="35"/>
  <c r="C185" i="35"/>
  <c r="D185" i="35"/>
  <c r="E185" i="35"/>
  <c r="F185" i="35"/>
  <c r="G185" i="35"/>
  <c r="H185" i="35"/>
  <c r="Q185" i="35" s="1"/>
  <c r="AC185" i="35" s="1"/>
  <c r="I185" i="35"/>
  <c r="J185" i="35"/>
  <c r="K185" i="35"/>
  <c r="L185" i="35"/>
  <c r="A186" i="35"/>
  <c r="B186" i="35"/>
  <c r="N186" i="35" s="1"/>
  <c r="O186" i="35" s="1"/>
  <c r="C186" i="35"/>
  <c r="D186" i="35"/>
  <c r="E186" i="35"/>
  <c r="F186" i="35"/>
  <c r="G186" i="35"/>
  <c r="H186" i="35"/>
  <c r="Q186" i="35" s="1"/>
  <c r="AC186" i="35" s="1"/>
  <c r="I186" i="35"/>
  <c r="J186" i="35"/>
  <c r="K186" i="35"/>
  <c r="L186" i="35"/>
  <c r="A187" i="35"/>
  <c r="B187" i="35"/>
  <c r="C187" i="35"/>
  <c r="D187" i="35"/>
  <c r="E187" i="35"/>
  <c r="F187" i="35"/>
  <c r="G187" i="35"/>
  <c r="H187" i="35"/>
  <c r="Q187" i="35" s="1"/>
  <c r="AC187" i="35" s="1"/>
  <c r="I187" i="35"/>
  <c r="J187" i="35"/>
  <c r="K187" i="35"/>
  <c r="L187" i="35"/>
  <c r="A188" i="35"/>
  <c r="B188" i="35"/>
  <c r="N188" i="35" s="1"/>
  <c r="O188" i="35" s="1"/>
  <c r="C188" i="35"/>
  <c r="D188" i="35"/>
  <c r="E188" i="35"/>
  <c r="F188" i="35"/>
  <c r="G188" i="35"/>
  <c r="H188" i="35"/>
  <c r="Q188" i="35" s="1"/>
  <c r="AC188" i="35" s="1"/>
  <c r="I188" i="35"/>
  <c r="J188" i="35"/>
  <c r="K188" i="35"/>
  <c r="L188" i="35"/>
  <c r="A189" i="35"/>
  <c r="B189" i="35"/>
  <c r="C189" i="35"/>
  <c r="D189" i="35"/>
  <c r="E189" i="35"/>
  <c r="F189" i="35"/>
  <c r="G189" i="35"/>
  <c r="H189" i="35"/>
  <c r="Q189" i="35" s="1"/>
  <c r="AC189" i="35" s="1"/>
  <c r="I189" i="35"/>
  <c r="J189" i="35"/>
  <c r="K189" i="35"/>
  <c r="L189" i="35"/>
  <c r="A190" i="35"/>
  <c r="B190" i="35"/>
  <c r="N190" i="35" s="1"/>
  <c r="O190" i="35" s="1"/>
  <c r="C190" i="35"/>
  <c r="D190" i="35"/>
  <c r="E190" i="35"/>
  <c r="F190" i="35"/>
  <c r="G190" i="35"/>
  <c r="H190" i="35"/>
  <c r="Q190" i="35" s="1"/>
  <c r="AC190" i="35" s="1"/>
  <c r="I190" i="35"/>
  <c r="J190" i="35"/>
  <c r="K190" i="35"/>
  <c r="L190" i="35"/>
  <c r="A191" i="35"/>
  <c r="B191" i="35"/>
  <c r="C191" i="35"/>
  <c r="D191" i="35"/>
  <c r="E191" i="35"/>
  <c r="F191" i="35"/>
  <c r="G191" i="35"/>
  <c r="H191" i="35"/>
  <c r="Q191" i="35" s="1"/>
  <c r="AC191" i="35" s="1"/>
  <c r="I191" i="35"/>
  <c r="J191" i="35"/>
  <c r="K191" i="35"/>
  <c r="L191" i="35"/>
  <c r="A192" i="35"/>
  <c r="B192" i="35"/>
  <c r="C192" i="35"/>
  <c r="D192" i="35"/>
  <c r="E192" i="35"/>
  <c r="F192" i="35"/>
  <c r="G192" i="35"/>
  <c r="H192" i="35"/>
  <c r="Q192" i="35" s="1"/>
  <c r="AC192" i="35" s="1"/>
  <c r="I192" i="35"/>
  <c r="J192" i="35"/>
  <c r="K192" i="35"/>
  <c r="L192" i="35"/>
  <c r="A193" i="35"/>
  <c r="B193" i="35"/>
  <c r="C193" i="35"/>
  <c r="D193" i="35"/>
  <c r="E193" i="35"/>
  <c r="F193" i="35"/>
  <c r="G193" i="35"/>
  <c r="H193" i="35"/>
  <c r="Q193" i="35" s="1"/>
  <c r="AC193" i="35" s="1"/>
  <c r="I193" i="35"/>
  <c r="J193" i="35"/>
  <c r="K193" i="35"/>
  <c r="L193" i="35"/>
  <c r="A194" i="35"/>
  <c r="B194" i="35"/>
  <c r="N194" i="35" s="1"/>
  <c r="O194" i="35" s="1"/>
  <c r="C194" i="35"/>
  <c r="D194" i="35"/>
  <c r="E194" i="35"/>
  <c r="F194" i="35"/>
  <c r="G194" i="35"/>
  <c r="H194" i="35"/>
  <c r="Q194" i="35" s="1"/>
  <c r="AC194" i="35" s="1"/>
  <c r="I194" i="35"/>
  <c r="J194" i="35"/>
  <c r="K194" i="35"/>
  <c r="L194" i="35"/>
  <c r="A195" i="35"/>
  <c r="B195" i="35"/>
  <c r="C195" i="35"/>
  <c r="D195" i="35"/>
  <c r="E195" i="35"/>
  <c r="F195" i="35"/>
  <c r="G195" i="35"/>
  <c r="H195" i="35"/>
  <c r="Q195" i="35" s="1"/>
  <c r="AC195" i="35" s="1"/>
  <c r="I195" i="35"/>
  <c r="J195" i="35"/>
  <c r="K195" i="35"/>
  <c r="L195" i="35"/>
  <c r="A196" i="35"/>
  <c r="B196" i="35"/>
  <c r="N196" i="35" s="1"/>
  <c r="O196" i="35" s="1"/>
  <c r="C196" i="35"/>
  <c r="D196" i="35"/>
  <c r="E196" i="35"/>
  <c r="F196" i="35"/>
  <c r="G196" i="35"/>
  <c r="H196" i="35"/>
  <c r="Q196" i="35" s="1"/>
  <c r="AC196" i="35" s="1"/>
  <c r="I196" i="35"/>
  <c r="J196" i="35"/>
  <c r="K196" i="35"/>
  <c r="L196" i="35"/>
  <c r="A197" i="35"/>
  <c r="B197" i="35"/>
  <c r="C197" i="35"/>
  <c r="D197" i="35"/>
  <c r="E197" i="35"/>
  <c r="F197" i="35"/>
  <c r="G197" i="35"/>
  <c r="H197" i="35"/>
  <c r="Q197" i="35" s="1"/>
  <c r="AC197" i="35" s="1"/>
  <c r="I197" i="35"/>
  <c r="J197" i="35"/>
  <c r="K197" i="35"/>
  <c r="L197" i="35"/>
  <c r="A198" i="35"/>
  <c r="B198" i="35"/>
  <c r="N198" i="35" s="1"/>
  <c r="O198" i="35" s="1"/>
  <c r="C198" i="35"/>
  <c r="D198" i="35"/>
  <c r="E198" i="35"/>
  <c r="F198" i="35"/>
  <c r="G198" i="35"/>
  <c r="H198" i="35"/>
  <c r="Q198" i="35" s="1"/>
  <c r="AC198" i="35" s="1"/>
  <c r="I198" i="35"/>
  <c r="J198" i="35"/>
  <c r="K198" i="35"/>
  <c r="L198" i="35"/>
  <c r="A199" i="35"/>
  <c r="B199" i="35"/>
  <c r="C199" i="35"/>
  <c r="D199" i="35"/>
  <c r="E199" i="35"/>
  <c r="F199" i="35"/>
  <c r="G199" i="35"/>
  <c r="H199" i="35"/>
  <c r="Q199" i="35" s="1"/>
  <c r="AC199" i="35" s="1"/>
  <c r="I199" i="35"/>
  <c r="J199" i="35"/>
  <c r="K199" i="35"/>
  <c r="L199" i="35"/>
  <c r="A200" i="35"/>
  <c r="B200" i="35"/>
  <c r="N200" i="35" s="1"/>
  <c r="O200" i="35" s="1"/>
  <c r="C200" i="35"/>
  <c r="D200" i="35"/>
  <c r="E200" i="35"/>
  <c r="F200" i="35"/>
  <c r="G200" i="35"/>
  <c r="H200" i="35"/>
  <c r="Q200" i="35" s="1"/>
  <c r="AC200" i="35" s="1"/>
  <c r="I200" i="35"/>
  <c r="J200" i="35"/>
  <c r="K200" i="35"/>
  <c r="L200" i="35"/>
  <c r="A201" i="35"/>
  <c r="B201" i="35"/>
  <c r="C201" i="35"/>
  <c r="D201" i="35"/>
  <c r="E201" i="35"/>
  <c r="F201" i="35"/>
  <c r="G201" i="35"/>
  <c r="H201" i="35"/>
  <c r="Q201" i="35" s="1"/>
  <c r="AC201" i="35" s="1"/>
  <c r="I201" i="35"/>
  <c r="J201" i="35"/>
  <c r="K201" i="35"/>
  <c r="L201" i="35"/>
  <c r="A202" i="35"/>
  <c r="B202" i="35"/>
  <c r="N202" i="35" s="1"/>
  <c r="O202" i="35" s="1"/>
  <c r="C202" i="35"/>
  <c r="D202" i="35"/>
  <c r="E202" i="35"/>
  <c r="F202" i="35"/>
  <c r="G202" i="35"/>
  <c r="H202" i="35"/>
  <c r="Q202" i="35" s="1"/>
  <c r="AC202" i="35" s="1"/>
  <c r="I202" i="35"/>
  <c r="J202" i="35"/>
  <c r="K202" i="35"/>
  <c r="L202" i="35"/>
  <c r="A203" i="35"/>
  <c r="B203" i="35"/>
  <c r="C203" i="35"/>
  <c r="D203" i="35"/>
  <c r="E203" i="35"/>
  <c r="F203" i="35"/>
  <c r="G203" i="35"/>
  <c r="H203" i="35"/>
  <c r="Q203" i="35" s="1"/>
  <c r="AC203" i="35" s="1"/>
  <c r="I203" i="35"/>
  <c r="J203" i="35"/>
  <c r="K203" i="35"/>
  <c r="L203" i="35"/>
  <c r="A204" i="35"/>
  <c r="B204" i="35"/>
  <c r="N204" i="35" s="1"/>
  <c r="O204" i="35" s="1"/>
  <c r="C204" i="35"/>
  <c r="D204" i="35"/>
  <c r="E204" i="35"/>
  <c r="F204" i="35"/>
  <c r="G204" i="35"/>
  <c r="H204" i="35"/>
  <c r="Q204" i="35" s="1"/>
  <c r="AC204" i="35" s="1"/>
  <c r="I204" i="35"/>
  <c r="J204" i="35"/>
  <c r="K204" i="35"/>
  <c r="L204" i="35"/>
  <c r="A205" i="35"/>
  <c r="B205" i="35"/>
  <c r="C205" i="35"/>
  <c r="D205" i="35"/>
  <c r="E205" i="35"/>
  <c r="F205" i="35"/>
  <c r="G205" i="35"/>
  <c r="H205" i="35"/>
  <c r="Q205" i="35" s="1"/>
  <c r="AC205" i="35" s="1"/>
  <c r="I205" i="35"/>
  <c r="J205" i="35"/>
  <c r="K205" i="35"/>
  <c r="L205" i="35"/>
  <c r="A206" i="35"/>
  <c r="B206" i="35"/>
  <c r="N206" i="35" s="1"/>
  <c r="O206" i="35" s="1"/>
  <c r="C206" i="35"/>
  <c r="D206" i="35"/>
  <c r="E206" i="35"/>
  <c r="F206" i="35"/>
  <c r="G206" i="35"/>
  <c r="H206" i="35"/>
  <c r="Q206" i="35" s="1"/>
  <c r="AC206" i="35" s="1"/>
  <c r="I206" i="35"/>
  <c r="J206" i="35"/>
  <c r="K206" i="35"/>
  <c r="L206" i="35"/>
  <c r="A207" i="35"/>
  <c r="B207" i="35"/>
  <c r="C207" i="35"/>
  <c r="D207" i="35"/>
  <c r="E207" i="35"/>
  <c r="F207" i="35"/>
  <c r="G207" i="35"/>
  <c r="H207" i="35"/>
  <c r="Q207" i="35" s="1"/>
  <c r="AC207" i="35" s="1"/>
  <c r="I207" i="35"/>
  <c r="J207" i="35"/>
  <c r="K207" i="35"/>
  <c r="L207" i="35"/>
  <c r="A208" i="35"/>
  <c r="B208" i="35"/>
  <c r="N208" i="35" s="1"/>
  <c r="O208" i="35" s="1"/>
  <c r="C208" i="35"/>
  <c r="D208" i="35"/>
  <c r="E208" i="35"/>
  <c r="F208" i="35"/>
  <c r="G208" i="35"/>
  <c r="H208" i="35"/>
  <c r="Q208" i="35" s="1"/>
  <c r="AC208" i="35" s="1"/>
  <c r="I208" i="35"/>
  <c r="J208" i="35"/>
  <c r="K208" i="35"/>
  <c r="L208" i="35"/>
  <c r="A209" i="35"/>
  <c r="B209" i="35"/>
  <c r="C209" i="35"/>
  <c r="D209" i="35"/>
  <c r="E209" i="35"/>
  <c r="F209" i="35"/>
  <c r="G209" i="35"/>
  <c r="H209" i="35"/>
  <c r="Q209" i="35" s="1"/>
  <c r="AC209" i="35" s="1"/>
  <c r="I209" i="35"/>
  <c r="J209" i="35"/>
  <c r="K209" i="35"/>
  <c r="L209" i="35"/>
  <c r="A210" i="35"/>
  <c r="B210" i="35"/>
  <c r="N210" i="35" s="1"/>
  <c r="O210" i="35" s="1"/>
  <c r="C210" i="35"/>
  <c r="D210" i="35"/>
  <c r="E210" i="35"/>
  <c r="F210" i="35"/>
  <c r="G210" i="35"/>
  <c r="H210" i="35"/>
  <c r="Q210" i="35" s="1"/>
  <c r="AC210" i="35" s="1"/>
  <c r="I210" i="35"/>
  <c r="J210" i="35"/>
  <c r="K210" i="35"/>
  <c r="L210" i="35"/>
  <c r="A211" i="35"/>
  <c r="B211" i="35"/>
  <c r="C211" i="35"/>
  <c r="D211" i="35"/>
  <c r="E211" i="35"/>
  <c r="F211" i="35"/>
  <c r="G211" i="35"/>
  <c r="H211" i="35"/>
  <c r="Q211" i="35" s="1"/>
  <c r="AC211" i="35" s="1"/>
  <c r="I211" i="35"/>
  <c r="J211" i="35"/>
  <c r="K211" i="35"/>
  <c r="L211" i="35"/>
  <c r="A212" i="35"/>
  <c r="B212" i="35"/>
  <c r="N212" i="35" s="1"/>
  <c r="O212" i="35" s="1"/>
  <c r="C212" i="35"/>
  <c r="D212" i="35"/>
  <c r="E212" i="35"/>
  <c r="F212" i="35"/>
  <c r="G212" i="35"/>
  <c r="H212" i="35"/>
  <c r="Q212" i="35" s="1"/>
  <c r="AC212" i="35" s="1"/>
  <c r="I212" i="35"/>
  <c r="J212" i="35"/>
  <c r="K212" i="35"/>
  <c r="L212" i="35"/>
  <c r="A213" i="35"/>
  <c r="B213" i="35"/>
  <c r="C213" i="35"/>
  <c r="D213" i="35"/>
  <c r="E213" i="35"/>
  <c r="F213" i="35"/>
  <c r="G213" i="35"/>
  <c r="H213" i="35"/>
  <c r="Q213" i="35" s="1"/>
  <c r="AC213" i="35" s="1"/>
  <c r="I213" i="35"/>
  <c r="J213" i="35"/>
  <c r="K213" i="35"/>
  <c r="L213" i="35"/>
  <c r="S213" i="35" s="1"/>
  <c r="A214" i="35"/>
  <c r="B214" i="35"/>
  <c r="N214" i="35" s="1"/>
  <c r="O214" i="35" s="1"/>
  <c r="C214" i="35"/>
  <c r="D214" i="35"/>
  <c r="E214" i="35"/>
  <c r="F214" i="35"/>
  <c r="G214" i="35"/>
  <c r="H214" i="35"/>
  <c r="Q214" i="35" s="1"/>
  <c r="AC214" i="35" s="1"/>
  <c r="I214" i="35"/>
  <c r="J214" i="35"/>
  <c r="K214" i="35"/>
  <c r="L214" i="35"/>
  <c r="A215" i="35"/>
  <c r="B215" i="35"/>
  <c r="C215" i="35"/>
  <c r="D215" i="35"/>
  <c r="E215" i="35"/>
  <c r="F215" i="35"/>
  <c r="G215" i="35"/>
  <c r="H215" i="35"/>
  <c r="Q215" i="35" s="1"/>
  <c r="AC215" i="35" s="1"/>
  <c r="I215" i="35"/>
  <c r="J215" i="35"/>
  <c r="K215" i="35"/>
  <c r="L215" i="35"/>
  <c r="S215" i="35" s="1"/>
  <c r="A216" i="35"/>
  <c r="B216" i="35"/>
  <c r="N216" i="35" s="1"/>
  <c r="O216" i="35" s="1"/>
  <c r="C216" i="35"/>
  <c r="D216" i="35"/>
  <c r="E216" i="35"/>
  <c r="F216" i="35"/>
  <c r="G216" i="35"/>
  <c r="H216" i="35"/>
  <c r="Q216" i="35" s="1"/>
  <c r="AC216" i="35" s="1"/>
  <c r="I216" i="35"/>
  <c r="J216" i="35"/>
  <c r="K216" i="35"/>
  <c r="L216" i="35"/>
  <c r="A217" i="35"/>
  <c r="B217" i="35"/>
  <c r="C217" i="35"/>
  <c r="D217" i="35"/>
  <c r="E217" i="35"/>
  <c r="F217" i="35"/>
  <c r="G217" i="35"/>
  <c r="H217" i="35"/>
  <c r="Q217" i="35" s="1"/>
  <c r="AC217" i="35" s="1"/>
  <c r="I217" i="35"/>
  <c r="J217" i="35"/>
  <c r="K217" i="35"/>
  <c r="L217" i="35"/>
  <c r="S217" i="35" s="1"/>
  <c r="A218" i="35"/>
  <c r="B218" i="35"/>
  <c r="N218" i="35" s="1"/>
  <c r="O218" i="35" s="1"/>
  <c r="C218" i="35"/>
  <c r="D218" i="35"/>
  <c r="E218" i="35"/>
  <c r="F218" i="35"/>
  <c r="G218" i="35"/>
  <c r="H218" i="35"/>
  <c r="Q218" i="35" s="1"/>
  <c r="AC218" i="35" s="1"/>
  <c r="I218" i="35"/>
  <c r="J218" i="35"/>
  <c r="K218" i="35"/>
  <c r="L218" i="35"/>
  <c r="A219" i="35"/>
  <c r="B219" i="35"/>
  <c r="C219" i="35"/>
  <c r="D219" i="35"/>
  <c r="E219" i="35"/>
  <c r="F219" i="35"/>
  <c r="G219" i="35"/>
  <c r="H219" i="35"/>
  <c r="Q219" i="35" s="1"/>
  <c r="AC219" i="35" s="1"/>
  <c r="I219" i="35"/>
  <c r="J219" i="35"/>
  <c r="K219" i="35"/>
  <c r="L219" i="35"/>
  <c r="S219" i="35" s="1"/>
  <c r="A220" i="35"/>
  <c r="B220" i="35"/>
  <c r="N220" i="35" s="1"/>
  <c r="O220" i="35" s="1"/>
  <c r="C220" i="35"/>
  <c r="D220" i="35"/>
  <c r="E220" i="35"/>
  <c r="F220" i="35"/>
  <c r="G220" i="35"/>
  <c r="H220" i="35"/>
  <c r="Q220" i="35" s="1"/>
  <c r="AC220" i="35" s="1"/>
  <c r="I220" i="35"/>
  <c r="J220" i="35"/>
  <c r="K220" i="35"/>
  <c r="L220" i="35"/>
  <c r="A221" i="35"/>
  <c r="B221" i="35"/>
  <c r="C221" i="35"/>
  <c r="D221" i="35"/>
  <c r="E221" i="35"/>
  <c r="F221" i="35"/>
  <c r="G221" i="35"/>
  <c r="H221" i="35"/>
  <c r="Q221" i="35" s="1"/>
  <c r="AC221" i="35" s="1"/>
  <c r="I221" i="35"/>
  <c r="J221" i="35"/>
  <c r="K221" i="35"/>
  <c r="L221" i="35"/>
  <c r="S221" i="35" s="1"/>
  <c r="A222" i="35"/>
  <c r="B222" i="35"/>
  <c r="N222" i="35" s="1"/>
  <c r="O222" i="35" s="1"/>
  <c r="C222" i="35"/>
  <c r="D222" i="35"/>
  <c r="E222" i="35"/>
  <c r="F222" i="35"/>
  <c r="G222" i="35"/>
  <c r="H222" i="35"/>
  <c r="Q222" i="35" s="1"/>
  <c r="AC222" i="35" s="1"/>
  <c r="I222" i="35"/>
  <c r="J222" i="35"/>
  <c r="K222" i="35"/>
  <c r="L222" i="35"/>
  <c r="A223" i="35"/>
  <c r="B223" i="35"/>
  <c r="C223" i="35"/>
  <c r="D223" i="35"/>
  <c r="E223" i="35"/>
  <c r="F223" i="35"/>
  <c r="G223" i="35"/>
  <c r="H223" i="35"/>
  <c r="Q223" i="35" s="1"/>
  <c r="AC223" i="35" s="1"/>
  <c r="I223" i="35"/>
  <c r="J223" i="35"/>
  <c r="K223" i="35"/>
  <c r="L223" i="35"/>
  <c r="S223" i="35" s="1"/>
  <c r="A224" i="35"/>
  <c r="B224" i="35"/>
  <c r="N224" i="35" s="1"/>
  <c r="O224" i="35" s="1"/>
  <c r="C224" i="35"/>
  <c r="D224" i="35"/>
  <c r="E224" i="35"/>
  <c r="F224" i="35"/>
  <c r="G224" i="35"/>
  <c r="H224" i="35"/>
  <c r="Q224" i="35" s="1"/>
  <c r="AC224" i="35" s="1"/>
  <c r="I224" i="35"/>
  <c r="J224" i="35"/>
  <c r="K224" i="35"/>
  <c r="L224" i="35"/>
  <c r="A225" i="35"/>
  <c r="B225" i="35"/>
  <c r="C225" i="35"/>
  <c r="D225" i="35"/>
  <c r="E225" i="35"/>
  <c r="F225" i="35"/>
  <c r="G225" i="35"/>
  <c r="H225" i="35"/>
  <c r="Q225" i="35" s="1"/>
  <c r="AC225" i="35" s="1"/>
  <c r="I225" i="35"/>
  <c r="J225" i="35"/>
  <c r="K225" i="35"/>
  <c r="L225" i="35"/>
  <c r="S225" i="35" s="1"/>
  <c r="A226" i="35"/>
  <c r="B226" i="35"/>
  <c r="C226" i="35"/>
  <c r="D226" i="35"/>
  <c r="E226" i="35"/>
  <c r="F226" i="35"/>
  <c r="G226" i="35"/>
  <c r="H226" i="35"/>
  <c r="Q226" i="35" s="1"/>
  <c r="AC226" i="35" s="1"/>
  <c r="I226" i="35"/>
  <c r="J226" i="35"/>
  <c r="K226" i="35"/>
  <c r="L226" i="35"/>
  <c r="A227" i="35"/>
  <c r="B227" i="35"/>
  <c r="C227" i="35"/>
  <c r="D227" i="35"/>
  <c r="E227" i="35"/>
  <c r="F227" i="35"/>
  <c r="G227" i="35"/>
  <c r="H227" i="35"/>
  <c r="Q227" i="35" s="1"/>
  <c r="AC227" i="35" s="1"/>
  <c r="I227" i="35"/>
  <c r="J227" i="35"/>
  <c r="K227" i="35"/>
  <c r="L227" i="35"/>
  <c r="S227" i="35" s="1"/>
  <c r="A228" i="35"/>
  <c r="B228" i="35"/>
  <c r="C228" i="35"/>
  <c r="D228" i="35"/>
  <c r="E228" i="35"/>
  <c r="F228" i="35"/>
  <c r="G228" i="35"/>
  <c r="H228" i="35"/>
  <c r="Q228" i="35" s="1"/>
  <c r="AC228" i="35" s="1"/>
  <c r="I228" i="35"/>
  <c r="J228" i="35"/>
  <c r="K228" i="35"/>
  <c r="L228" i="35"/>
  <c r="A229" i="35"/>
  <c r="B229" i="35"/>
  <c r="C229" i="35"/>
  <c r="D229" i="35"/>
  <c r="E229" i="35"/>
  <c r="F229" i="35"/>
  <c r="G229" i="35"/>
  <c r="H229" i="35"/>
  <c r="Q229" i="35" s="1"/>
  <c r="AC229" i="35" s="1"/>
  <c r="I229" i="35"/>
  <c r="J229" i="35"/>
  <c r="K229" i="35"/>
  <c r="L229" i="35"/>
  <c r="S229" i="35" s="1"/>
  <c r="A230" i="35"/>
  <c r="B230" i="35"/>
  <c r="C230" i="35"/>
  <c r="D230" i="35"/>
  <c r="E230" i="35"/>
  <c r="F230" i="35"/>
  <c r="G230" i="35"/>
  <c r="H230" i="35"/>
  <c r="Q230" i="35" s="1"/>
  <c r="AC230" i="35" s="1"/>
  <c r="I230" i="35"/>
  <c r="J230" i="35"/>
  <c r="K230" i="35"/>
  <c r="L230" i="35"/>
  <c r="A231" i="35"/>
  <c r="B231" i="35"/>
  <c r="C231" i="35"/>
  <c r="D231" i="35"/>
  <c r="E231" i="35"/>
  <c r="F231" i="35"/>
  <c r="G231" i="35"/>
  <c r="H231" i="35"/>
  <c r="Q231" i="35" s="1"/>
  <c r="AC231" i="35" s="1"/>
  <c r="I231" i="35"/>
  <c r="J231" i="35"/>
  <c r="K231" i="35"/>
  <c r="L231" i="35"/>
  <c r="S231" i="35" s="1"/>
  <c r="A232" i="35"/>
  <c r="B232" i="35"/>
  <c r="C232" i="35"/>
  <c r="D232" i="35"/>
  <c r="E232" i="35"/>
  <c r="F232" i="35"/>
  <c r="G232" i="35"/>
  <c r="H232" i="35"/>
  <c r="Q232" i="35" s="1"/>
  <c r="AC232" i="35" s="1"/>
  <c r="I232" i="35"/>
  <c r="J232" i="35"/>
  <c r="K232" i="35"/>
  <c r="L232" i="35"/>
  <c r="A233" i="35"/>
  <c r="B233" i="35"/>
  <c r="C233" i="35"/>
  <c r="D233" i="35"/>
  <c r="E233" i="35"/>
  <c r="F233" i="35"/>
  <c r="G233" i="35"/>
  <c r="H233" i="35"/>
  <c r="Q233" i="35" s="1"/>
  <c r="AC233" i="35" s="1"/>
  <c r="I233" i="35"/>
  <c r="J233" i="35"/>
  <c r="K233" i="35"/>
  <c r="L233" i="35"/>
  <c r="S233" i="35" s="1"/>
  <c r="A234" i="35"/>
  <c r="B234" i="35"/>
  <c r="C234" i="35"/>
  <c r="D234" i="35"/>
  <c r="E234" i="35"/>
  <c r="F234" i="35"/>
  <c r="G234" i="35"/>
  <c r="H234" i="35"/>
  <c r="Q234" i="35" s="1"/>
  <c r="AC234" i="35" s="1"/>
  <c r="I234" i="35"/>
  <c r="J234" i="35"/>
  <c r="K234" i="35"/>
  <c r="L234" i="35"/>
  <c r="A235" i="35"/>
  <c r="B235" i="35"/>
  <c r="C235" i="35"/>
  <c r="D235" i="35"/>
  <c r="E235" i="35"/>
  <c r="F235" i="35"/>
  <c r="G235" i="35"/>
  <c r="H235" i="35"/>
  <c r="Q235" i="35" s="1"/>
  <c r="AC235" i="35" s="1"/>
  <c r="I235" i="35"/>
  <c r="J235" i="35"/>
  <c r="K235" i="35"/>
  <c r="L235" i="35"/>
  <c r="S235" i="35" s="1"/>
  <c r="A236" i="35"/>
  <c r="B236" i="35"/>
  <c r="C236" i="35"/>
  <c r="D236" i="35"/>
  <c r="E236" i="35"/>
  <c r="F236" i="35"/>
  <c r="G236" i="35"/>
  <c r="H236" i="35"/>
  <c r="Q236" i="35" s="1"/>
  <c r="AC236" i="35" s="1"/>
  <c r="I236" i="35"/>
  <c r="J236" i="35"/>
  <c r="K236" i="35"/>
  <c r="L236" i="35"/>
  <c r="A237" i="35"/>
  <c r="B237" i="35"/>
  <c r="C237" i="35"/>
  <c r="D237" i="35"/>
  <c r="E237" i="35"/>
  <c r="F237" i="35"/>
  <c r="G237" i="35"/>
  <c r="H237" i="35"/>
  <c r="Q237" i="35" s="1"/>
  <c r="AC237" i="35" s="1"/>
  <c r="I237" i="35"/>
  <c r="J237" i="35"/>
  <c r="K237" i="35"/>
  <c r="L237" i="35"/>
  <c r="S237" i="35" s="1"/>
  <c r="A238" i="35"/>
  <c r="B238" i="35"/>
  <c r="C238" i="35"/>
  <c r="D238" i="35"/>
  <c r="E238" i="35"/>
  <c r="F238" i="35"/>
  <c r="G238" i="35"/>
  <c r="H238" i="35"/>
  <c r="Q238" i="35" s="1"/>
  <c r="AC238" i="35" s="1"/>
  <c r="I238" i="35"/>
  <c r="J238" i="35"/>
  <c r="K238" i="35"/>
  <c r="L238" i="35"/>
  <c r="A239" i="35"/>
  <c r="B239" i="35"/>
  <c r="C239" i="35"/>
  <c r="D239" i="35"/>
  <c r="E239" i="35"/>
  <c r="F239" i="35"/>
  <c r="G239" i="35"/>
  <c r="H239" i="35"/>
  <c r="Q239" i="35" s="1"/>
  <c r="AC239" i="35" s="1"/>
  <c r="I239" i="35"/>
  <c r="J239" i="35"/>
  <c r="K239" i="35"/>
  <c r="L239" i="35"/>
  <c r="S239" i="35" s="1"/>
  <c r="A240" i="35"/>
  <c r="B240" i="35"/>
  <c r="C240" i="35"/>
  <c r="D240" i="35"/>
  <c r="E240" i="35"/>
  <c r="F240" i="35"/>
  <c r="G240" i="35"/>
  <c r="H240" i="35"/>
  <c r="Q240" i="35" s="1"/>
  <c r="AC240" i="35" s="1"/>
  <c r="I240" i="35"/>
  <c r="J240" i="35"/>
  <c r="K240" i="35"/>
  <c r="L240" i="35"/>
  <c r="A241" i="35"/>
  <c r="B241" i="35"/>
  <c r="C241" i="35"/>
  <c r="D241" i="35"/>
  <c r="E241" i="35"/>
  <c r="F241" i="35"/>
  <c r="G241" i="35"/>
  <c r="H241" i="35"/>
  <c r="Q241" i="35" s="1"/>
  <c r="AC241" i="35" s="1"/>
  <c r="I241" i="35"/>
  <c r="J241" i="35"/>
  <c r="K241" i="35"/>
  <c r="L241" i="35"/>
  <c r="S241" i="35" s="1"/>
  <c r="A242" i="35"/>
  <c r="B242" i="35"/>
  <c r="C242" i="35"/>
  <c r="D242" i="35"/>
  <c r="E242" i="35"/>
  <c r="F242" i="35"/>
  <c r="G242" i="35"/>
  <c r="H242" i="35"/>
  <c r="Q242" i="35" s="1"/>
  <c r="AC242" i="35" s="1"/>
  <c r="I242" i="35"/>
  <c r="J242" i="35"/>
  <c r="K242" i="35"/>
  <c r="L242" i="35"/>
  <c r="A243" i="35"/>
  <c r="B243" i="35"/>
  <c r="C243" i="35"/>
  <c r="D243" i="35"/>
  <c r="E243" i="35"/>
  <c r="F243" i="35"/>
  <c r="G243" i="35"/>
  <c r="H243" i="35"/>
  <c r="Q243" i="35" s="1"/>
  <c r="AC243" i="35" s="1"/>
  <c r="I243" i="35"/>
  <c r="J243" i="35"/>
  <c r="K243" i="35"/>
  <c r="L243" i="35"/>
  <c r="S243" i="35" s="1"/>
  <c r="A244" i="35"/>
  <c r="B244" i="35"/>
  <c r="C244" i="35"/>
  <c r="D244" i="35"/>
  <c r="E244" i="35"/>
  <c r="F244" i="35"/>
  <c r="G244" i="35"/>
  <c r="H244" i="35"/>
  <c r="Q244" i="35" s="1"/>
  <c r="AC244" i="35" s="1"/>
  <c r="I244" i="35"/>
  <c r="J244" i="35"/>
  <c r="K244" i="35"/>
  <c r="L244" i="35"/>
  <c r="A245" i="35"/>
  <c r="B245" i="35"/>
  <c r="C245" i="35"/>
  <c r="D245" i="35"/>
  <c r="E245" i="35"/>
  <c r="F245" i="35"/>
  <c r="G245" i="35"/>
  <c r="H245" i="35"/>
  <c r="Q245" i="35" s="1"/>
  <c r="AC245" i="35" s="1"/>
  <c r="I245" i="35"/>
  <c r="J245" i="35"/>
  <c r="K245" i="35"/>
  <c r="L245" i="35"/>
  <c r="S245" i="35" s="1"/>
  <c r="A246" i="35"/>
  <c r="B246" i="35"/>
  <c r="C246" i="35"/>
  <c r="D246" i="35"/>
  <c r="E246" i="35"/>
  <c r="F246" i="35"/>
  <c r="G246" i="35"/>
  <c r="H246" i="35"/>
  <c r="Q246" i="35" s="1"/>
  <c r="AC246" i="35" s="1"/>
  <c r="I246" i="35"/>
  <c r="J246" i="35"/>
  <c r="K246" i="35"/>
  <c r="L246" i="35"/>
  <c r="A247" i="35"/>
  <c r="B247" i="35"/>
  <c r="C247" i="35"/>
  <c r="D247" i="35"/>
  <c r="E247" i="35"/>
  <c r="F247" i="35"/>
  <c r="G247" i="35"/>
  <c r="H247" i="35"/>
  <c r="Q247" i="35" s="1"/>
  <c r="AC247" i="35" s="1"/>
  <c r="I247" i="35"/>
  <c r="J247" i="35"/>
  <c r="K247" i="35"/>
  <c r="L247" i="35"/>
  <c r="S247" i="35" s="1"/>
  <c r="A248" i="35"/>
  <c r="B248" i="35"/>
  <c r="C248" i="35"/>
  <c r="D248" i="35"/>
  <c r="E248" i="35"/>
  <c r="F248" i="35"/>
  <c r="G248" i="35"/>
  <c r="H248" i="35"/>
  <c r="Q248" i="35" s="1"/>
  <c r="AC248" i="35" s="1"/>
  <c r="I248" i="35"/>
  <c r="J248" i="35"/>
  <c r="K248" i="35"/>
  <c r="L248" i="35"/>
  <c r="A249" i="35"/>
  <c r="B249" i="35"/>
  <c r="C249" i="35"/>
  <c r="D249" i="35"/>
  <c r="E249" i="35"/>
  <c r="F249" i="35"/>
  <c r="G249" i="35"/>
  <c r="H249" i="35"/>
  <c r="Q249" i="35" s="1"/>
  <c r="AC249" i="35" s="1"/>
  <c r="I249" i="35"/>
  <c r="J249" i="35"/>
  <c r="K249" i="35"/>
  <c r="L249" i="35"/>
  <c r="S249" i="35" s="1"/>
  <c r="A250" i="35"/>
  <c r="B250" i="35"/>
  <c r="C250" i="35"/>
  <c r="D250" i="35"/>
  <c r="E250" i="35"/>
  <c r="F250" i="35"/>
  <c r="G250" i="35"/>
  <c r="H250" i="35"/>
  <c r="Q250" i="35" s="1"/>
  <c r="AC250" i="35" s="1"/>
  <c r="I250" i="35"/>
  <c r="J250" i="35"/>
  <c r="K250" i="35"/>
  <c r="L250" i="35"/>
  <c r="A251" i="35"/>
  <c r="B251" i="35"/>
  <c r="C251" i="35"/>
  <c r="D251" i="35"/>
  <c r="E251" i="35"/>
  <c r="F251" i="35"/>
  <c r="G251" i="35"/>
  <c r="H251" i="35"/>
  <c r="Q251" i="35" s="1"/>
  <c r="AC251" i="35" s="1"/>
  <c r="I251" i="35"/>
  <c r="J251" i="35"/>
  <c r="K251" i="35"/>
  <c r="L251" i="35"/>
  <c r="S251" i="35" s="1"/>
  <c r="A252" i="35"/>
  <c r="B252" i="35"/>
  <c r="C252" i="35"/>
  <c r="D252" i="35"/>
  <c r="E252" i="35"/>
  <c r="F252" i="35"/>
  <c r="G252" i="35"/>
  <c r="H252" i="35"/>
  <c r="Q252" i="35" s="1"/>
  <c r="AC252" i="35" s="1"/>
  <c r="I252" i="35"/>
  <c r="J252" i="35"/>
  <c r="K252" i="35"/>
  <c r="L252" i="35"/>
  <c r="A253" i="35"/>
  <c r="B253" i="35"/>
  <c r="C253" i="35"/>
  <c r="D253" i="35"/>
  <c r="E253" i="35"/>
  <c r="F253" i="35"/>
  <c r="G253" i="35"/>
  <c r="H253" i="35"/>
  <c r="Q253" i="35" s="1"/>
  <c r="AC253" i="35" s="1"/>
  <c r="I253" i="35"/>
  <c r="J253" i="35"/>
  <c r="K253" i="35"/>
  <c r="L253" i="35"/>
  <c r="S253" i="35" s="1"/>
  <c r="A254" i="35"/>
  <c r="B254" i="35"/>
  <c r="C254" i="35"/>
  <c r="D254" i="35"/>
  <c r="E254" i="35"/>
  <c r="F254" i="35"/>
  <c r="G254" i="35"/>
  <c r="H254" i="35"/>
  <c r="Q254" i="35" s="1"/>
  <c r="AC254" i="35" s="1"/>
  <c r="I254" i="35"/>
  <c r="J254" i="35"/>
  <c r="K254" i="35"/>
  <c r="L254" i="35"/>
  <c r="A255" i="35"/>
  <c r="B255" i="35"/>
  <c r="C255" i="35"/>
  <c r="D255" i="35"/>
  <c r="E255" i="35"/>
  <c r="F255" i="35"/>
  <c r="G255" i="35"/>
  <c r="H255" i="35"/>
  <c r="Q255" i="35" s="1"/>
  <c r="AC255" i="35" s="1"/>
  <c r="I255" i="35"/>
  <c r="J255" i="35"/>
  <c r="K255" i="35"/>
  <c r="L255" i="35"/>
  <c r="S255" i="35" s="1"/>
  <c r="A256" i="35"/>
  <c r="B256" i="35"/>
  <c r="C256" i="35"/>
  <c r="D256" i="35"/>
  <c r="E256" i="35"/>
  <c r="F256" i="35"/>
  <c r="G256" i="35"/>
  <c r="H256" i="35"/>
  <c r="Q256" i="35" s="1"/>
  <c r="AC256" i="35" s="1"/>
  <c r="I256" i="35"/>
  <c r="J256" i="35"/>
  <c r="K256" i="35"/>
  <c r="L256" i="35"/>
  <c r="A257" i="35"/>
  <c r="B257" i="35"/>
  <c r="C257" i="35"/>
  <c r="D257" i="35"/>
  <c r="E257" i="35"/>
  <c r="F257" i="35"/>
  <c r="G257" i="35"/>
  <c r="H257" i="35"/>
  <c r="Q257" i="35" s="1"/>
  <c r="AC257" i="35" s="1"/>
  <c r="I257" i="35"/>
  <c r="J257" i="35"/>
  <c r="K257" i="35"/>
  <c r="L257" i="35"/>
  <c r="S257" i="35" s="1"/>
  <c r="A258" i="35"/>
  <c r="B258" i="35"/>
  <c r="C258" i="35"/>
  <c r="D258" i="35"/>
  <c r="E258" i="35"/>
  <c r="F258" i="35"/>
  <c r="G258" i="35"/>
  <c r="H258" i="35"/>
  <c r="Q258" i="35" s="1"/>
  <c r="AC258" i="35" s="1"/>
  <c r="I258" i="35"/>
  <c r="J258" i="35"/>
  <c r="K258" i="35"/>
  <c r="L258" i="35"/>
  <c r="A259" i="35"/>
  <c r="B259" i="35"/>
  <c r="C259" i="35"/>
  <c r="D259" i="35"/>
  <c r="E259" i="35"/>
  <c r="F259" i="35"/>
  <c r="G259" i="35"/>
  <c r="H259" i="35"/>
  <c r="Q259" i="35" s="1"/>
  <c r="AC259" i="35" s="1"/>
  <c r="I259" i="35"/>
  <c r="J259" i="35"/>
  <c r="K259" i="35"/>
  <c r="L259" i="35"/>
  <c r="S259" i="35" s="1"/>
  <c r="A260" i="35"/>
  <c r="B260" i="35"/>
  <c r="C260" i="35"/>
  <c r="D260" i="35"/>
  <c r="E260" i="35"/>
  <c r="F260" i="35"/>
  <c r="G260" i="35"/>
  <c r="H260" i="35"/>
  <c r="Q260" i="35" s="1"/>
  <c r="AC260" i="35" s="1"/>
  <c r="I260" i="35"/>
  <c r="J260" i="35"/>
  <c r="K260" i="35"/>
  <c r="L260" i="35"/>
  <c r="A261" i="35"/>
  <c r="B261" i="35"/>
  <c r="C261" i="35"/>
  <c r="D261" i="35"/>
  <c r="E261" i="35"/>
  <c r="F261" i="35"/>
  <c r="G261" i="35"/>
  <c r="H261" i="35"/>
  <c r="Q261" i="35" s="1"/>
  <c r="AC261" i="35" s="1"/>
  <c r="I261" i="35"/>
  <c r="J261" i="35"/>
  <c r="K261" i="35"/>
  <c r="L261" i="35"/>
  <c r="S261" i="35" s="1"/>
  <c r="A262" i="35"/>
  <c r="B262" i="35"/>
  <c r="C262" i="35"/>
  <c r="D262" i="35"/>
  <c r="E262" i="35"/>
  <c r="F262" i="35"/>
  <c r="G262" i="35"/>
  <c r="H262" i="35"/>
  <c r="Q262" i="35" s="1"/>
  <c r="AC262" i="35" s="1"/>
  <c r="I262" i="35"/>
  <c r="J262" i="35"/>
  <c r="K262" i="35"/>
  <c r="L262" i="35"/>
  <c r="A263" i="35"/>
  <c r="B263" i="35"/>
  <c r="C263" i="35"/>
  <c r="D263" i="35"/>
  <c r="E263" i="35"/>
  <c r="F263" i="35"/>
  <c r="G263" i="35"/>
  <c r="H263" i="35"/>
  <c r="Q263" i="35" s="1"/>
  <c r="AC263" i="35" s="1"/>
  <c r="I263" i="35"/>
  <c r="J263" i="35"/>
  <c r="K263" i="35"/>
  <c r="L263" i="35"/>
  <c r="S263" i="35" s="1"/>
  <c r="A264" i="35"/>
  <c r="B264" i="35"/>
  <c r="C264" i="35"/>
  <c r="D264" i="35"/>
  <c r="E264" i="35"/>
  <c r="F264" i="35"/>
  <c r="G264" i="35"/>
  <c r="H264" i="35"/>
  <c r="Q264" i="35" s="1"/>
  <c r="AC264" i="35" s="1"/>
  <c r="I264" i="35"/>
  <c r="J264" i="35"/>
  <c r="K264" i="35"/>
  <c r="L264" i="35"/>
  <c r="A265" i="35"/>
  <c r="B265" i="35"/>
  <c r="C265" i="35"/>
  <c r="D265" i="35"/>
  <c r="E265" i="35"/>
  <c r="F265" i="35"/>
  <c r="G265" i="35"/>
  <c r="H265" i="35"/>
  <c r="Q265" i="35" s="1"/>
  <c r="AC265" i="35" s="1"/>
  <c r="I265" i="35"/>
  <c r="J265" i="35"/>
  <c r="K265" i="35"/>
  <c r="L265" i="35"/>
  <c r="S265" i="35" s="1"/>
  <c r="A266" i="35"/>
  <c r="B266" i="35"/>
  <c r="C266" i="35"/>
  <c r="D266" i="35"/>
  <c r="E266" i="35"/>
  <c r="F266" i="35"/>
  <c r="G266" i="35"/>
  <c r="H266" i="35"/>
  <c r="Q266" i="35" s="1"/>
  <c r="AC266" i="35" s="1"/>
  <c r="I266" i="35"/>
  <c r="J266" i="35"/>
  <c r="K266" i="35"/>
  <c r="L266" i="35"/>
  <c r="A267" i="35"/>
  <c r="B267" i="35"/>
  <c r="C267" i="35"/>
  <c r="D267" i="35"/>
  <c r="E267" i="35"/>
  <c r="F267" i="35"/>
  <c r="G267" i="35"/>
  <c r="H267" i="35"/>
  <c r="Q267" i="35" s="1"/>
  <c r="AC267" i="35" s="1"/>
  <c r="I267" i="35"/>
  <c r="J267" i="35"/>
  <c r="K267" i="35"/>
  <c r="L267" i="35"/>
  <c r="S267" i="35" s="1"/>
  <c r="A268" i="35"/>
  <c r="B268" i="35"/>
  <c r="C268" i="35"/>
  <c r="D268" i="35"/>
  <c r="E268" i="35"/>
  <c r="F268" i="35"/>
  <c r="G268" i="35"/>
  <c r="H268" i="35"/>
  <c r="Q268" i="35" s="1"/>
  <c r="AC268" i="35" s="1"/>
  <c r="I268" i="35"/>
  <c r="J268" i="35"/>
  <c r="K268" i="35"/>
  <c r="L268" i="35"/>
  <c r="A269" i="35"/>
  <c r="B269" i="35"/>
  <c r="C269" i="35"/>
  <c r="D269" i="35"/>
  <c r="E269" i="35"/>
  <c r="F269" i="35"/>
  <c r="G269" i="35"/>
  <c r="H269" i="35"/>
  <c r="Q269" i="35" s="1"/>
  <c r="AC269" i="35" s="1"/>
  <c r="I269" i="35"/>
  <c r="J269" i="35"/>
  <c r="K269" i="35"/>
  <c r="L269" i="35"/>
  <c r="S269" i="35" s="1"/>
  <c r="A270" i="35"/>
  <c r="B270" i="35"/>
  <c r="C270" i="35"/>
  <c r="D270" i="35"/>
  <c r="E270" i="35"/>
  <c r="F270" i="35"/>
  <c r="G270" i="35"/>
  <c r="H270" i="35"/>
  <c r="Q270" i="35" s="1"/>
  <c r="AC270" i="35" s="1"/>
  <c r="I270" i="35"/>
  <c r="J270" i="35"/>
  <c r="K270" i="35"/>
  <c r="L270" i="35"/>
  <c r="A271" i="35"/>
  <c r="B271" i="35"/>
  <c r="C271" i="35"/>
  <c r="D271" i="35"/>
  <c r="E271" i="35"/>
  <c r="F271" i="35"/>
  <c r="G271" i="35"/>
  <c r="H271" i="35"/>
  <c r="Q271" i="35" s="1"/>
  <c r="AC271" i="35" s="1"/>
  <c r="I271" i="35"/>
  <c r="J271" i="35"/>
  <c r="K271" i="35"/>
  <c r="L271" i="35"/>
  <c r="S271" i="35" s="1"/>
  <c r="A272" i="35"/>
  <c r="B272" i="35"/>
  <c r="C272" i="35"/>
  <c r="D272" i="35"/>
  <c r="E272" i="35"/>
  <c r="F272" i="35"/>
  <c r="G272" i="35"/>
  <c r="H272" i="35"/>
  <c r="Q272" i="35" s="1"/>
  <c r="AC272" i="35" s="1"/>
  <c r="I272" i="35"/>
  <c r="J272" i="35"/>
  <c r="K272" i="35"/>
  <c r="L272" i="35"/>
  <c r="A273" i="35"/>
  <c r="B273" i="35"/>
  <c r="C273" i="35"/>
  <c r="D273" i="35"/>
  <c r="E273" i="35"/>
  <c r="F273" i="35"/>
  <c r="G273" i="35"/>
  <c r="H273" i="35"/>
  <c r="Q273" i="35" s="1"/>
  <c r="AC273" i="35" s="1"/>
  <c r="I273" i="35"/>
  <c r="J273" i="35"/>
  <c r="K273" i="35"/>
  <c r="L273" i="35"/>
  <c r="S273" i="35" s="1"/>
  <c r="A274" i="35"/>
  <c r="B274" i="35"/>
  <c r="C274" i="35"/>
  <c r="D274" i="35"/>
  <c r="E274" i="35"/>
  <c r="F274" i="35"/>
  <c r="G274" i="35"/>
  <c r="H274" i="35"/>
  <c r="Q274" i="35" s="1"/>
  <c r="AC274" i="35" s="1"/>
  <c r="I274" i="35"/>
  <c r="J274" i="35"/>
  <c r="K274" i="35"/>
  <c r="L274" i="35"/>
  <c r="A275" i="35"/>
  <c r="B275" i="35"/>
  <c r="C275" i="35"/>
  <c r="D275" i="35"/>
  <c r="E275" i="35"/>
  <c r="F275" i="35"/>
  <c r="G275" i="35"/>
  <c r="H275" i="35"/>
  <c r="Q275" i="35" s="1"/>
  <c r="AC275" i="35" s="1"/>
  <c r="I275" i="35"/>
  <c r="J275" i="35"/>
  <c r="K275" i="35"/>
  <c r="L275" i="35"/>
  <c r="S275" i="35" s="1"/>
  <c r="A276" i="35"/>
  <c r="B276" i="35"/>
  <c r="C276" i="35"/>
  <c r="D276" i="35"/>
  <c r="E276" i="35"/>
  <c r="F276" i="35"/>
  <c r="G276" i="35"/>
  <c r="H276" i="35"/>
  <c r="Q276" i="35" s="1"/>
  <c r="AC276" i="35" s="1"/>
  <c r="I276" i="35"/>
  <c r="J276" i="35"/>
  <c r="K276" i="35"/>
  <c r="L276" i="35"/>
  <c r="A277" i="35"/>
  <c r="B277" i="35"/>
  <c r="C277" i="35"/>
  <c r="D277" i="35"/>
  <c r="E277" i="35"/>
  <c r="F277" i="35"/>
  <c r="G277" i="35"/>
  <c r="H277" i="35"/>
  <c r="Q277" i="35" s="1"/>
  <c r="AC277" i="35" s="1"/>
  <c r="I277" i="35"/>
  <c r="J277" i="35"/>
  <c r="K277" i="35"/>
  <c r="L277" i="35"/>
  <c r="S277" i="35" s="1"/>
  <c r="A278" i="35"/>
  <c r="B278" i="35"/>
  <c r="C278" i="35"/>
  <c r="D278" i="35"/>
  <c r="E278" i="35"/>
  <c r="F278" i="35"/>
  <c r="G278" i="35"/>
  <c r="H278" i="35"/>
  <c r="Q278" i="35" s="1"/>
  <c r="AC278" i="35" s="1"/>
  <c r="I278" i="35"/>
  <c r="J278" i="35"/>
  <c r="K278" i="35"/>
  <c r="L278" i="35"/>
  <c r="A279" i="35"/>
  <c r="B279" i="35"/>
  <c r="C279" i="35"/>
  <c r="D279" i="35"/>
  <c r="E279" i="35"/>
  <c r="F279" i="35"/>
  <c r="G279" i="35"/>
  <c r="H279" i="35"/>
  <c r="Q279" i="35" s="1"/>
  <c r="AC279" i="35" s="1"/>
  <c r="I279" i="35"/>
  <c r="J279" i="35"/>
  <c r="K279" i="35"/>
  <c r="L279" i="35"/>
  <c r="S279" i="35" s="1"/>
  <c r="A280" i="35"/>
  <c r="B280" i="35"/>
  <c r="C280" i="35"/>
  <c r="D280" i="35"/>
  <c r="E280" i="35"/>
  <c r="F280" i="35"/>
  <c r="G280" i="35"/>
  <c r="H280" i="35"/>
  <c r="Q280" i="35" s="1"/>
  <c r="AC280" i="35" s="1"/>
  <c r="I280" i="35"/>
  <c r="J280" i="35"/>
  <c r="K280" i="35"/>
  <c r="L280" i="35"/>
  <c r="A281" i="35"/>
  <c r="B281" i="35"/>
  <c r="C281" i="35"/>
  <c r="D281" i="35"/>
  <c r="E281" i="35"/>
  <c r="F281" i="35"/>
  <c r="G281" i="35"/>
  <c r="H281" i="35"/>
  <c r="Q281" i="35" s="1"/>
  <c r="AC281" i="35" s="1"/>
  <c r="I281" i="35"/>
  <c r="J281" i="35"/>
  <c r="K281" i="35"/>
  <c r="L281" i="35"/>
  <c r="S281" i="35" s="1"/>
  <c r="A282" i="35"/>
  <c r="B282" i="35"/>
  <c r="C282" i="35"/>
  <c r="D282" i="35"/>
  <c r="E282" i="35"/>
  <c r="F282" i="35"/>
  <c r="G282" i="35"/>
  <c r="H282" i="35"/>
  <c r="Q282" i="35" s="1"/>
  <c r="AC282" i="35" s="1"/>
  <c r="I282" i="35"/>
  <c r="J282" i="35"/>
  <c r="K282" i="35"/>
  <c r="L282" i="35"/>
  <c r="A283" i="35"/>
  <c r="B283" i="35"/>
  <c r="C283" i="35"/>
  <c r="D283" i="35"/>
  <c r="E283" i="35"/>
  <c r="F283" i="35"/>
  <c r="G283" i="35"/>
  <c r="H283" i="35"/>
  <c r="Q283" i="35" s="1"/>
  <c r="AC283" i="35" s="1"/>
  <c r="I283" i="35"/>
  <c r="J283" i="35"/>
  <c r="K283" i="35"/>
  <c r="L283" i="35"/>
  <c r="S283" i="35" s="1"/>
  <c r="A284" i="35"/>
  <c r="B284" i="35"/>
  <c r="C284" i="35"/>
  <c r="D284" i="35"/>
  <c r="E284" i="35"/>
  <c r="F284" i="35"/>
  <c r="G284" i="35"/>
  <c r="H284" i="35"/>
  <c r="Q284" i="35" s="1"/>
  <c r="AC284" i="35" s="1"/>
  <c r="I284" i="35"/>
  <c r="J284" i="35"/>
  <c r="K284" i="35"/>
  <c r="L284" i="35"/>
  <c r="A285" i="35"/>
  <c r="B285" i="35"/>
  <c r="C285" i="35"/>
  <c r="D285" i="35"/>
  <c r="E285" i="35"/>
  <c r="F285" i="35"/>
  <c r="G285" i="35"/>
  <c r="H285" i="35"/>
  <c r="Q285" i="35" s="1"/>
  <c r="AC285" i="35" s="1"/>
  <c r="I285" i="35"/>
  <c r="J285" i="35"/>
  <c r="K285" i="35"/>
  <c r="L285" i="35"/>
  <c r="S285" i="35" s="1"/>
  <c r="A286" i="35"/>
  <c r="B286" i="35"/>
  <c r="C286" i="35"/>
  <c r="D286" i="35"/>
  <c r="E286" i="35"/>
  <c r="F286" i="35"/>
  <c r="G286" i="35"/>
  <c r="H286" i="35"/>
  <c r="Q286" i="35" s="1"/>
  <c r="AC286" i="35" s="1"/>
  <c r="I286" i="35"/>
  <c r="J286" i="35"/>
  <c r="K286" i="35"/>
  <c r="L286" i="35"/>
  <c r="A287" i="35"/>
  <c r="B287" i="35"/>
  <c r="C287" i="35"/>
  <c r="D287" i="35"/>
  <c r="E287" i="35"/>
  <c r="F287" i="35"/>
  <c r="G287" i="35"/>
  <c r="H287" i="35"/>
  <c r="Q287" i="35" s="1"/>
  <c r="AC287" i="35" s="1"/>
  <c r="I287" i="35"/>
  <c r="J287" i="35"/>
  <c r="K287" i="35"/>
  <c r="L287" i="35"/>
  <c r="S287" i="35" s="1"/>
  <c r="A288" i="35"/>
  <c r="B288" i="35"/>
  <c r="C288" i="35"/>
  <c r="D288" i="35"/>
  <c r="E288" i="35"/>
  <c r="F288" i="35"/>
  <c r="G288" i="35"/>
  <c r="H288" i="35"/>
  <c r="Q288" i="35" s="1"/>
  <c r="AC288" i="35" s="1"/>
  <c r="I288" i="35"/>
  <c r="J288" i="35"/>
  <c r="K288" i="35"/>
  <c r="L288" i="35"/>
  <c r="A289" i="35"/>
  <c r="B289" i="35"/>
  <c r="C289" i="35"/>
  <c r="D289" i="35"/>
  <c r="E289" i="35"/>
  <c r="F289" i="35"/>
  <c r="G289" i="35"/>
  <c r="H289" i="35"/>
  <c r="Q289" i="35" s="1"/>
  <c r="AC289" i="35" s="1"/>
  <c r="I289" i="35"/>
  <c r="J289" i="35"/>
  <c r="K289" i="35"/>
  <c r="L289" i="35"/>
  <c r="S289" i="35" s="1"/>
  <c r="A290" i="35"/>
  <c r="B290" i="35"/>
  <c r="C290" i="35"/>
  <c r="D290" i="35"/>
  <c r="E290" i="35"/>
  <c r="F290" i="35"/>
  <c r="G290" i="35"/>
  <c r="H290" i="35"/>
  <c r="Q290" i="35" s="1"/>
  <c r="AC290" i="35" s="1"/>
  <c r="I290" i="35"/>
  <c r="J290" i="35"/>
  <c r="K290" i="35"/>
  <c r="L290" i="35"/>
  <c r="A291" i="35"/>
  <c r="B291" i="35"/>
  <c r="C291" i="35"/>
  <c r="D291" i="35"/>
  <c r="E291" i="35"/>
  <c r="F291" i="35"/>
  <c r="G291" i="35"/>
  <c r="H291" i="35"/>
  <c r="Q291" i="35" s="1"/>
  <c r="AC291" i="35" s="1"/>
  <c r="I291" i="35"/>
  <c r="J291" i="35"/>
  <c r="K291" i="35"/>
  <c r="L291" i="35"/>
  <c r="S291" i="35" s="1"/>
  <c r="A292" i="35"/>
  <c r="B292" i="35"/>
  <c r="C292" i="35"/>
  <c r="D292" i="35"/>
  <c r="E292" i="35"/>
  <c r="F292" i="35"/>
  <c r="G292" i="35"/>
  <c r="H292" i="35"/>
  <c r="Q292" i="35" s="1"/>
  <c r="AC292" i="35" s="1"/>
  <c r="I292" i="35"/>
  <c r="J292" i="35"/>
  <c r="K292" i="35"/>
  <c r="L292" i="35"/>
  <c r="A293" i="35"/>
  <c r="B293" i="35"/>
  <c r="C293" i="35"/>
  <c r="D293" i="35"/>
  <c r="E293" i="35"/>
  <c r="F293" i="35"/>
  <c r="G293" i="35"/>
  <c r="H293" i="35"/>
  <c r="Q293" i="35" s="1"/>
  <c r="AC293" i="35" s="1"/>
  <c r="I293" i="35"/>
  <c r="J293" i="35"/>
  <c r="K293" i="35"/>
  <c r="L293" i="35"/>
  <c r="S293" i="35" s="1"/>
  <c r="A294" i="35"/>
  <c r="B294" i="35"/>
  <c r="C294" i="35"/>
  <c r="D294" i="35"/>
  <c r="E294" i="35"/>
  <c r="F294" i="35"/>
  <c r="G294" i="35"/>
  <c r="H294" i="35"/>
  <c r="Q294" i="35" s="1"/>
  <c r="AC294" i="35" s="1"/>
  <c r="I294" i="35"/>
  <c r="J294" i="35"/>
  <c r="K294" i="35"/>
  <c r="L294" i="35"/>
  <c r="A295" i="35"/>
  <c r="B295" i="35"/>
  <c r="C295" i="35"/>
  <c r="D295" i="35"/>
  <c r="E295" i="35"/>
  <c r="F295" i="35"/>
  <c r="G295" i="35"/>
  <c r="H295" i="35"/>
  <c r="Q295" i="35" s="1"/>
  <c r="AC295" i="35" s="1"/>
  <c r="I295" i="35"/>
  <c r="J295" i="35"/>
  <c r="K295" i="35"/>
  <c r="L295" i="35"/>
  <c r="S295" i="35" s="1"/>
  <c r="A296" i="35"/>
  <c r="B296" i="35"/>
  <c r="C296" i="35"/>
  <c r="D296" i="35"/>
  <c r="E296" i="35"/>
  <c r="F296" i="35"/>
  <c r="G296" i="35"/>
  <c r="H296" i="35"/>
  <c r="Q296" i="35" s="1"/>
  <c r="AC296" i="35" s="1"/>
  <c r="I296" i="35"/>
  <c r="J296" i="35"/>
  <c r="K296" i="35"/>
  <c r="L296" i="35"/>
  <c r="A297" i="35"/>
  <c r="B297" i="35"/>
  <c r="C297" i="35"/>
  <c r="D297" i="35"/>
  <c r="E297" i="35"/>
  <c r="F297" i="35"/>
  <c r="G297" i="35"/>
  <c r="H297" i="35"/>
  <c r="Q297" i="35" s="1"/>
  <c r="AC297" i="35" s="1"/>
  <c r="I297" i="35"/>
  <c r="J297" i="35"/>
  <c r="K297" i="35"/>
  <c r="L297" i="35"/>
  <c r="S297" i="35" s="1"/>
  <c r="A298" i="35"/>
  <c r="B298" i="35"/>
  <c r="C298" i="35"/>
  <c r="D298" i="35"/>
  <c r="E298" i="35"/>
  <c r="F298" i="35"/>
  <c r="G298" i="35"/>
  <c r="H298" i="35"/>
  <c r="Q298" i="35" s="1"/>
  <c r="AC298" i="35" s="1"/>
  <c r="I298" i="35"/>
  <c r="J298" i="35"/>
  <c r="K298" i="35"/>
  <c r="L298" i="35"/>
  <c r="A299" i="35"/>
  <c r="B299" i="35"/>
  <c r="C299" i="35"/>
  <c r="D299" i="35"/>
  <c r="E299" i="35"/>
  <c r="F299" i="35"/>
  <c r="G299" i="35"/>
  <c r="H299" i="35"/>
  <c r="Q299" i="35" s="1"/>
  <c r="AC299" i="35" s="1"/>
  <c r="I299" i="35"/>
  <c r="J299" i="35"/>
  <c r="K299" i="35"/>
  <c r="L299" i="35"/>
  <c r="S299" i="35" s="1"/>
  <c r="A300" i="35"/>
  <c r="B300" i="35"/>
  <c r="C300" i="35"/>
  <c r="D300" i="35"/>
  <c r="E300" i="35"/>
  <c r="F300" i="35"/>
  <c r="G300" i="35"/>
  <c r="H300" i="35"/>
  <c r="Q300" i="35" s="1"/>
  <c r="AC300" i="35" s="1"/>
  <c r="I300" i="35"/>
  <c r="J300" i="35"/>
  <c r="K300" i="35"/>
  <c r="L300" i="35"/>
  <c r="A301" i="35"/>
  <c r="B301" i="35"/>
  <c r="C301" i="35"/>
  <c r="D301" i="35"/>
  <c r="E301" i="35"/>
  <c r="F301" i="35"/>
  <c r="G301" i="35"/>
  <c r="H301" i="35"/>
  <c r="Q301" i="35" s="1"/>
  <c r="AC301" i="35" s="1"/>
  <c r="I301" i="35"/>
  <c r="J301" i="35"/>
  <c r="K301" i="35"/>
  <c r="L301" i="35"/>
  <c r="S301" i="35" s="1"/>
  <c r="A302" i="35"/>
  <c r="B302" i="35"/>
  <c r="C302" i="35"/>
  <c r="D302" i="35"/>
  <c r="E302" i="35"/>
  <c r="F302" i="35"/>
  <c r="G302" i="35"/>
  <c r="H302" i="35"/>
  <c r="Q302" i="35" s="1"/>
  <c r="AC302" i="35" s="1"/>
  <c r="I302" i="35"/>
  <c r="J302" i="35"/>
  <c r="K302" i="35"/>
  <c r="L302" i="35"/>
  <c r="A303" i="35"/>
  <c r="B303" i="35"/>
  <c r="C303" i="35"/>
  <c r="D303" i="35"/>
  <c r="E303" i="35"/>
  <c r="F303" i="35"/>
  <c r="G303" i="35"/>
  <c r="H303" i="35"/>
  <c r="Q303" i="35" s="1"/>
  <c r="AC303" i="35" s="1"/>
  <c r="I303" i="35"/>
  <c r="J303" i="35"/>
  <c r="K303" i="35"/>
  <c r="L303" i="35"/>
  <c r="S303" i="35" s="1"/>
  <c r="A304" i="35"/>
  <c r="B304" i="35"/>
  <c r="C304" i="35"/>
  <c r="D304" i="35"/>
  <c r="E304" i="35"/>
  <c r="F304" i="35"/>
  <c r="G304" i="35"/>
  <c r="H304" i="35"/>
  <c r="Q304" i="35" s="1"/>
  <c r="AC304" i="35" s="1"/>
  <c r="I304" i="35"/>
  <c r="J304" i="35"/>
  <c r="K304" i="35"/>
  <c r="L304" i="35"/>
  <c r="A305" i="35"/>
  <c r="B305" i="35"/>
  <c r="C305" i="35"/>
  <c r="D305" i="35"/>
  <c r="E305" i="35"/>
  <c r="F305" i="35"/>
  <c r="G305" i="35"/>
  <c r="H305" i="35"/>
  <c r="Q305" i="35" s="1"/>
  <c r="AC305" i="35" s="1"/>
  <c r="I305" i="35"/>
  <c r="J305" i="35"/>
  <c r="K305" i="35"/>
  <c r="L305" i="35"/>
  <c r="S305" i="35" s="1"/>
  <c r="A306" i="35"/>
  <c r="B306" i="35"/>
  <c r="C306" i="35"/>
  <c r="D306" i="35"/>
  <c r="E306" i="35"/>
  <c r="F306" i="35"/>
  <c r="G306" i="35"/>
  <c r="H306" i="35"/>
  <c r="Q306" i="35" s="1"/>
  <c r="AC306" i="35" s="1"/>
  <c r="I306" i="35"/>
  <c r="J306" i="35"/>
  <c r="K306" i="35"/>
  <c r="L306" i="35"/>
  <c r="A307" i="35"/>
  <c r="B307" i="35"/>
  <c r="C307" i="35"/>
  <c r="D307" i="35"/>
  <c r="E307" i="35"/>
  <c r="F307" i="35"/>
  <c r="G307" i="35"/>
  <c r="H307" i="35"/>
  <c r="Q307" i="35" s="1"/>
  <c r="AC307" i="35" s="1"/>
  <c r="I307" i="35"/>
  <c r="J307" i="35"/>
  <c r="K307" i="35"/>
  <c r="L307" i="35"/>
  <c r="S307" i="35" s="1"/>
  <c r="A308" i="35"/>
  <c r="B308" i="35"/>
  <c r="C308" i="35"/>
  <c r="D308" i="35"/>
  <c r="E308" i="35"/>
  <c r="F308" i="35"/>
  <c r="G308" i="35"/>
  <c r="H308" i="35"/>
  <c r="Q308" i="35" s="1"/>
  <c r="AC308" i="35" s="1"/>
  <c r="I308" i="35"/>
  <c r="J308" i="35"/>
  <c r="K308" i="35"/>
  <c r="L308" i="35"/>
  <c r="A309" i="35"/>
  <c r="B309" i="35"/>
  <c r="C309" i="35"/>
  <c r="D309" i="35"/>
  <c r="E309" i="35"/>
  <c r="F309" i="35"/>
  <c r="G309" i="35"/>
  <c r="H309" i="35"/>
  <c r="Q309" i="35" s="1"/>
  <c r="AC309" i="35" s="1"/>
  <c r="I309" i="35"/>
  <c r="J309" i="35"/>
  <c r="K309" i="35"/>
  <c r="L309" i="35"/>
  <c r="S309" i="35" s="1"/>
  <c r="A310" i="35"/>
  <c r="B310" i="35"/>
  <c r="C310" i="35"/>
  <c r="D310" i="35"/>
  <c r="E310" i="35"/>
  <c r="F310" i="35"/>
  <c r="G310" i="35"/>
  <c r="H310" i="35"/>
  <c r="Q310" i="35" s="1"/>
  <c r="AC310" i="35" s="1"/>
  <c r="I310" i="35"/>
  <c r="J310" i="35"/>
  <c r="K310" i="35"/>
  <c r="L310" i="35"/>
  <c r="A311" i="35"/>
  <c r="B311" i="35"/>
  <c r="C311" i="35"/>
  <c r="D311" i="35"/>
  <c r="E311" i="35"/>
  <c r="F311" i="35"/>
  <c r="G311" i="35"/>
  <c r="H311" i="35"/>
  <c r="Q311" i="35" s="1"/>
  <c r="AC311" i="35" s="1"/>
  <c r="I311" i="35"/>
  <c r="J311" i="35"/>
  <c r="K311" i="35"/>
  <c r="L311" i="35"/>
  <c r="S311" i="35" s="1"/>
  <c r="A312" i="35"/>
  <c r="B312" i="35"/>
  <c r="C312" i="35"/>
  <c r="D312" i="35"/>
  <c r="E312" i="35"/>
  <c r="F312" i="35"/>
  <c r="G312" i="35"/>
  <c r="H312" i="35"/>
  <c r="Q312" i="35" s="1"/>
  <c r="AC312" i="35" s="1"/>
  <c r="I312" i="35"/>
  <c r="J312" i="35"/>
  <c r="K312" i="35"/>
  <c r="L312" i="35"/>
  <c r="A313" i="35"/>
  <c r="B313" i="35"/>
  <c r="C313" i="35"/>
  <c r="D313" i="35"/>
  <c r="E313" i="35"/>
  <c r="F313" i="35"/>
  <c r="G313" i="35"/>
  <c r="H313" i="35"/>
  <c r="Q313" i="35" s="1"/>
  <c r="AC313" i="35" s="1"/>
  <c r="I313" i="35"/>
  <c r="J313" i="35"/>
  <c r="K313" i="35"/>
  <c r="L313" i="35"/>
  <c r="S313" i="35" s="1"/>
  <c r="A314" i="35"/>
  <c r="B314" i="35"/>
  <c r="C314" i="35"/>
  <c r="D314" i="35"/>
  <c r="E314" i="35"/>
  <c r="F314" i="35"/>
  <c r="G314" i="35"/>
  <c r="H314" i="35"/>
  <c r="Q314" i="35" s="1"/>
  <c r="AC314" i="35" s="1"/>
  <c r="I314" i="35"/>
  <c r="J314" i="35"/>
  <c r="K314" i="35"/>
  <c r="L314" i="35"/>
  <c r="A315" i="35"/>
  <c r="B315" i="35"/>
  <c r="C315" i="35"/>
  <c r="D315" i="35"/>
  <c r="E315" i="35"/>
  <c r="F315" i="35"/>
  <c r="G315" i="35"/>
  <c r="H315" i="35"/>
  <c r="Q315" i="35" s="1"/>
  <c r="AC315" i="35" s="1"/>
  <c r="I315" i="35"/>
  <c r="J315" i="35"/>
  <c r="K315" i="35"/>
  <c r="L315" i="35"/>
  <c r="S315" i="35" s="1"/>
  <c r="A316" i="35"/>
  <c r="B316" i="35"/>
  <c r="C316" i="35"/>
  <c r="D316" i="35"/>
  <c r="E316" i="35"/>
  <c r="F316" i="35"/>
  <c r="G316" i="35"/>
  <c r="H316" i="35"/>
  <c r="Q316" i="35" s="1"/>
  <c r="AC316" i="35" s="1"/>
  <c r="I316" i="35"/>
  <c r="J316" i="35"/>
  <c r="K316" i="35"/>
  <c r="L316" i="35"/>
  <c r="A317" i="35"/>
  <c r="B317" i="35"/>
  <c r="C317" i="35"/>
  <c r="D317" i="35"/>
  <c r="E317" i="35"/>
  <c r="F317" i="35"/>
  <c r="G317" i="35"/>
  <c r="H317" i="35"/>
  <c r="Q317" i="35" s="1"/>
  <c r="AC317" i="35" s="1"/>
  <c r="I317" i="35"/>
  <c r="J317" i="35"/>
  <c r="K317" i="35"/>
  <c r="L317" i="35"/>
  <c r="S317" i="35" s="1"/>
  <c r="A318" i="35"/>
  <c r="B318" i="35"/>
  <c r="C318" i="35"/>
  <c r="D318" i="35"/>
  <c r="E318" i="35"/>
  <c r="F318" i="35"/>
  <c r="G318" i="35"/>
  <c r="H318" i="35"/>
  <c r="Q318" i="35" s="1"/>
  <c r="AC318" i="35" s="1"/>
  <c r="I318" i="35"/>
  <c r="J318" i="35"/>
  <c r="K318" i="35"/>
  <c r="L318" i="35"/>
  <c r="A319" i="35"/>
  <c r="B319" i="35"/>
  <c r="C319" i="35"/>
  <c r="D319" i="35"/>
  <c r="E319" i="35"/>
  <c r="F319" i="35"/>
  <c r="G319" i="35"/>
  <c r="H319" i="35"/>
  <c r="Q319" i="35" s="1"/>
  <c r="AC319" i="35" s="1"/>
  <c r="I319" i="35"/>
  <c r="J319" i="35"/>
  <c r="K319" i="35"/>
  <c r="L319" i="35"/>
  <c r="S319" i="35" s="1"/>
  <c r="A320" i="35"/>
  <c r="B320" i="35"/>
  <c r="C320" i="35"/>
  <c r="D320" i="35"/>
  <c r="E320" i="35"/>
  <c r="F320" i="35"/>
  <c r="G320" i="35"/>
  <c r="H320" i="35"/>
  <c r="Q320" i="35" s="1"/>
  <c r="AC320" i="35" s="1"/>
  <c r="I320" i="35"/>
  <c r="J320" i="35"/>
  <c r="K320" i="35"/>
  <c r="L320" i="35"/>
  <c r="A321" i="35"/>
  <c r="B321" i="35"/>
  <c r="C321" i="35"/>
  <c r="D321" i="35"/>
  <c r="E321" i="35"/>
  <c r="F321" i="35"/>
  <c r="G321" i="35"/>
  <c r="H321" i="35"/>
  <c r="Q321" i="35" s="1"/>
  <c r="AC321" i="35" s="1"/>
  <c r="I321" i="35"/>
  <c r="J321" i="35"/>
  <c r="K321" i="35"/>
  <c r="L321" i="35"/>
  <c r="S321" i="35" s="1"/>
  <c r="A322" i="35"/>
  <c r="B322" i="35"/>
  <c r="C322" i="35"/>
  <c r="D322" i="35"/>
  <c r="E322" i="35"/>
  <c r="F322" i="35"/>
  <c r="G322" i="35"/>
  <c r="H322" i="35"/>
  <c r="Q322" i="35" s="1"/>
  <c r="AC322" i="35" s="1"/>
  <c r="I322" i="35"/>
  <c r="J322" i="35"/>
  <c r="K322" i="35"/>
  <c r="L322" i="35"/>
  <c r="A323" i="35"/>
  <c r="B323" i="35"/>
  <c r="C323" i="35"/>
  <c r="D323" i="35"/>
  <c r="E323" i="35"/>
  <c r="F323" i="35"/>
  <c r="G323" i="35"/>
  <c r="H323" i="35"/>
  <c r="Q323" i="35" s="1"/>
  <c r="AC323" i="35" s="1"/>
  <c r="I323" i="35"/>
  <c r="J323" i="35"/>
  <c r="K323" i="35"/>
  <c r="L323" i="35"/>
  <c r="S323" i="35" s="1"/>
  <c r="A324" i="35"/>
  <c r="B324" i="35"/>
  <c r="C324" i="35"/>
  <c r="D324" i="35"/>
  <c r="E324" i="35"/>
  <c r="F324" i="35"/>
  <c r="G324" i="35"/>
  <c r="H324" i="35"/>
  <c r="Q324" i="35" s="1"/>
  <c r="AC324" i="35" s="1"/>
  <c r="I324" i="35"/>
  <c r="J324" i="35"/>
  <c r="K324" i="35"/>
  <c r="L324" i="35"/>
  <c r="A325" i="35"/>
  <c r="B325" i="35"/>
  <c r="C325" i="35"/>
  <c r="D325" i="35"/>
  <c r="E325" i="35"/>
  <c r="F325" i="35"/>
  <c r="G325" i="35"/>
  <c r="H325" i="35"/>
  <c r="Q325" i="35" s="1"/>
  <c r="AC325" i="35" s="1"/>
  <c r="I325" i="35"/>
  <c r="J325" i="35"/>
  <c r="K325" i="35"/>
  <c r="L325" i="35"/>
  <c r="S325" i="35" s="1"/>
  <c r="A326" i="35"/>
  <c r="B326" i="35"/>
  <c r="C326" i="35"/>
  <c r="D326" i="35"/>
  <c r="E326" i="35"/>
  <c r="F326" i="35"/>
  <c r="G326" i="35"/>
  <c r="H326" i="35"/>
  <c r="Q326" i="35" s="1"/>
  <c r="AC326" i="35" s="1"/>
  <c r="I326" i="35"/>
  <c r="J326" i="35"/>
  <c r="K326" i="35"/>
  <c r="L326" i="35"/>
  <c r="A327" i="35"/>
  <c r="B327" i="35"/>
  <c r="C327" i="35"/>
  <c r="D327" i="35"/>
  <c r="E327" i="35"/>
  <c r="F327" i="35"/>
  <c r="G327" i="35"/>
  <c r="H327" i="35"/>
  <c r="Q327" i="35" s="1"/>
  <c r="AC327" i="35" s="1"/>
  <c r="I327" i="35"/>
  <c r="J327" i="35"/>
  <c r="K327" i="35"/>
  <c r="L327" i="35"/>
  <c r="S327" i="35" s="1"/>
  <c r="A328" i="35"/>
  <c r="B328" i="35"/>
  <c r="C328" i="35"/>
  <c r="D328" i="35"/>
  <c r="E328" i="35"/>
  <c r="F328" i="35"/>
  <c r="G328" i="35"/>
  <c r="H328" i="35"/>
  <c r="Q328" i="35" s="1"/>
  <c r="AC328" i="35" s="1"/>
  <c r="I328" i="35"/>
  <c r="J328" i="35"/>
  <c r="K328" i="35"/>
  <c r="L328" i="35"/>
  <c r="A329" i="35"/>
  <c r="B329" i="35"/>
  <c r="C329" i="35"/>
  <c r="D329" i="35"/>
  <c r="E329" i="35"/>
  <c r="F329" i="35"/>
  <c r="G329" i="35"/>
  <c r="H329" i="35"/>
  <c r="Q329" i="35" s="1"/>
  <c r="AC329" i="35" s="1"/>
  <c r="I329" i="35"/>
  <c r="J329" i="35"/>
  <c r="K329" i="35"/>
  <c r="L329" i="35"/>
  <c r="S329" i="35" s="1"/>
  <c r="A330" i="35"/>
  <c r="B330" i="35"/>
  <c r="C330" i="35"/>
  <c r="D330" i="35"/>
  <c r="E330" i="35"/>
  <c r="F330" i="35"/>
  <c r="G330" i="35"/>
  <c r="H330" i="35"/>
  <c r="Q330" i="35" s="1"/>
  <c r="AC330" i="35" s="1"/>
  <c r="I330" i="35"/>
  <c r="J330" i="35"/>
  <c r="K330" i="35"/>
  <c r="L330" i="35"/>
  <c r="A331" i="35"/>
  <c r="B331" i="35"/>
  <c r="C331" i="35"/>
  <c r="D331" i="35"/>
  <c r="E331" i="35"/>
  <c r="F331" i="35"/>
  <c r="G331" i="35"/>
  <c r="H331" i="35"/>
  <c r="Q331" i="35" s="1"/>
  <c r="AC331" i="35" s="1"/>
  <c r="I331" i="35"/>
  <c r="J331" i="35"/>
  <c r="K331" i="35"/>
  <c r="L331" i="35"/>
  <c r="S331" i="35" s="1"/>
  <c r="A332" i="35"/>
  <c r="B332" i="35"/>
  <c r="C332" i="35"/>
  <c r="D332" i="35"/>
  <c r="E332" i="35"/>
  <c r="F332" i="35"/>
  <c r="G332" i="35"/>
  <c r="H332" i="35"/>
  <c r="Q332" i="35" s="1"/>
  <c r="AC332" i="35" s="1"/>
  <c r="I332" i="35"/>
  <c r="J332" i="35"/>
  <c r="K332" i="35"/>
  <c r="L332" i="35"/>
  <c r="A333" i="35"/>
  <c r="B333" i="35"/>
  <c r="C333" i="35"/>
  <c r="D333" i="35"/>
  <c r="E333" i="35"/>
  <c r="F333" i="35"/>
  <c r="G333" i="35"/>
  <c r="H333" i="35"/>
  <c r="Q333" i="35" s="1"/>
  <c r="AC333" i="35" s="1"/>
  <c r="I333" i="35"/>
  <c r="J333" i="35"/>
  <c r="K333" i="35"/>
  <c r="L333" i="35"/>
  <c r="S333" i="35" s="1"/>
  <c r="A334" i="35"/>
  <c r="B334" i="35"/>
  <c r="C334" i="35"/>
  <c r="D334" i="35"/>
  <c r="E334" i="35"/>
  <c r="F334" i="35"/>
  <c r="G334" i="35"/>
  <c r="H334" i="35"/>
  <c r="Q334" i="35" s="1"/>
  <c r="AC334" i="35" s="1"/>
  <c r="I334" i="35"/>
  <c r="J334" i="35"/>
  <c r="K334" i="35"/>
  <c r="L334" i="35"/>
  <c r="A335" i="35"/>
  <c r="B335" i="35"/>
  <c r="C335" i="35"/>
  <c r="D335" i="35"/>
  <c r="E335" i="35"/>
  <c r="F335" i="35"/>
  <c r="G335" i="35"/>
  <c r="H335" i="35"/>
  <c r="Q335" i="35" s="1"/>
  <c r="AC335" i="35" s="1"/>
  <c r="I335" i="35"/>
  <c r="J335" i="35"/>
  <c r="K335" i="35"/>
  <c r="L335" i="35"/>
  <c r="S335" i="35" s="1"/>
  <c r="A336" i="35"/>
  <c r="B336" i="35"/>
  <c r="C336" i="35"/>
  <c r="D336" i="35"/>
  <c r="E336" i="35"/>
  <c r="F336" i="35"/>
  <c r="G336" i="35"/>
  <c r="H336" i="35"/>
  <c r="Q336" i="35" s="1"/>
  <c r="AC336" i="35" s="1"/>
  <c r="I336" i="35"/>
  <c r="J336" i="35"/>
  <c r="K336" i="35"/>
  <c r="L336" i="35"/>
  <c r="A337" i="35"/>
  <c r="B337" i="35"/>
  <c r="C337" i="35"/>
  <c r="D337" i="35"/>
  <c r="E337" i="35"/>
  <c r="F337" i="35"/>
  <c r="G337" i="35"/>
  <c r="H337" i="35"/>
  <c r="Q337" i="35" s="1"/>
  <c r="AC337" i="35" s="1"/>
  <c r="I337" i="35"/>
  <c r="J337" i="35"/>
  <c r="K337" i="35"/>
  <c r="L337" i="35"/>
  <c r="S337" i="35" s="1"/>
  <c r="A338" i="35"/>
  <c r="B338" i="35"/>
  <c r="C338" i="35"/>
  <c r="D338" i="35"/>
  <c r="E338" i="35"/>
  <c r="F338" i="35"/>
  <c r="G338" i="35"/>
  <c r="H338" i="35"/>
  <c r="Q338" i="35" s="1"/>
  <c r="AC338" i="35" s="1"/>
  <c r="I338" i="35"/>
  <c r="J338" i="35"/>
  <c r="K338" i="35"/>
  <c r="L338" i="35"/>
  <c r="A339" i="35"/>
  <c r="B339" i="35"/>
  <c r="C339" i="35"/>
  <c r="D339" i="35"/>
  <c r="E339" i="35"/>
  <c r="F339" i="35"/>
  <c r="G339" i="35"/>
  <c r="H339" i="35"/>
  <c r="Q339" i="35" s="1"/>
  <c r="AC339" i="35" s="1"/>
  <c r="I339" i="35"/>
  <c r="J339" i="35"/>
  <c r="K339" i="35"/>
  <c r="L339" i="35"/>
  <c r="S339" i="35" s="1"/>
  <c r="A340" i="35"/>
  <c r="B340" i="35"/>
  <c r="C340" i="35"/>
  <c r="D340" i="35"/>
  <c r="E340" i="35"/>
  <c r="F340" i="35"/>
  <c r="G340" i="35"/>
  <c r="H340" i="35"/>
  <c r="Q340" i="35" s="1"/>
  <c r="AC340" i="35" s="1"/>
  <c r="I340" i="35"/>
  <c r="J340" i="35"/>
  <c r="K340" i="35"/>
  <c r="L340" i="35"/>
  <c r="A341" i="35"/>
  <c r="B341" i="35"/>
  <c r="C341" i="35"/>
  <c r="D341" i="35"/>
  <c r="E341" i="35"/>
  <c r="F341" i="35"/>
  <c r="G341" i="35"/>
  <c r="H341" i="35"/>
  <c r="Q341" i="35" s="1"/>
  <c r="AC341" i="35" s="1"/>
  <c r="I341" i="35"/>
  <c r="J341" i="35"/>
  <c r="K341" i="35"/>
  <c r="L341" i="35"/>
  <c r="S341" i="35" s="1"/>
  <c r="A342" i="35"/>
  <c r="B342" i="35"/>
  <c r="C342" i="35"/>
  <c r="D342" i="35"/>
  <c r="E342" i="35"/>
  <c r="F342" i="35"/>
  <c r="G342" i="35"/>
  <c r="H342" i="35"/>
  <c r="Q342" i="35" s="1"/>
  <c r="AC342" i="35" s="1"/>
  <c r="I342" i="35"/>
  <c r="J342" i="35"/>
  <c r="K342" i="35"/>
  <c r="L342" i="35"/>
  <c r="A343" i="35"/>
  <c r="B343" i="35"/>
  <c r="C343" i="35"/>
  <c r="D343" i="35"/>
  <c r="E343" i="35"/>
  <c r="F343" i="35"/>
  <c r="G343" i="35"/>
  <c r="H343" i="35"/>
  <c r="Q343" i="35" s="1"/>
  <c r="AC343" i="35" s="1"/>
  <c r="I343" i="35"/>
  <c r="J343" i="35"/>
  <c r="K343" i="35"/>
  <c r="L343" i="35"/>
  <c r="S343" i="35" s="1"/>
  <c r="A344" i="35"/>
  <c r="B344" i="35"/>
  <c r="C344" i="35"/>
  <c r="D344" i="35"/>
  <c r="E344" i="35"/>
  <c r="F344" i="35"/>
  <c r="G344" i="35"/>
  <c r="H344" i="35"/>
  <c r="Q344" i="35" s="1"/>
  <c r="AC344" i="35" s="1"/>
  <c r="I344" i="35"/>
  <c r="J344" i="35"/>
  <c r="K344" i="35"/>
  <c r="L344" i="35"/>
  <c r="A345" i="35"/>
  <c r="B345" i="35"/>
  <c r="C345" i="35"/>
  <c r="D345" i="35"/>
  <c r="E345" i="35"/>
  <c r="F345" i="35"/>
  <c r="G345" i="35"/>
  <c r="H345" i="35"/>
  <c r="Q345" i="35" s="1"/>
  <c r="AC345" i="35" s="1"/>
  <c r="I345" i="35"/>
  <c r="J345" i="35"/>
  <c r="K345" i="35"/>
  <c r="L345" i="35"/>
  <c r="S345" i="35" s="1"/>
  <c r="A346" i="35"/>
  <c r="B346" i="35"/>
  <c r="C346" i="35"/>
  <c r="D346" i="35"/>
  <c r="E346" i="35"/>
  <c r="F346" i="35"/>
  <c r="G346" i="35"/>
  <c r="H346" i="35"/>
  <c r="Q346" i="35" s="1"/>
  <c r="AC346" i="35" s="1"/>
  <c r="I346" i="35"/>
  <c r="J346" i="35"/>
  <c r="K346" i="35"/>
  <c r="L346" i="35"/>
  <c r="A347" i="35"/>
  <c r="B347" i="35"/>
  <c r="C347" i="35"/>
  <c r="D347" i="35"/>
  <c r="E347" i="35"/>
  <c r="F347" i="35"/>
  <c r="G347" i="35"/>
  <c r="H347" i="35"/>
  <c r="Q347" i="35" s="1"/>
  <c r="AC347" i="35" s="1"/>
  <c r="I347" i="35"/>
  <c r="J347" i="35"/>
  <c r="K347" i="35"/>
  <c r="L347" i="35"/>
  <c r="S347" i="35" s="1"/>
  <c r="A348" i="35"/>
  <c r="B348" i="35"/>
  <c r="C348" i="35"/>
  <c r="D348" i="35"/>
  <c r="E348" i="35"/>
  <c r="F348" i="35"/>
  <c r="G348" i="35"/>
  <c r="H348" i="35"/>
  <c r="Q348" i="35" s="1"/>
  <c r="AC348" i="35" s="1"/>
  <c r="I348" i="35"/>
  <c r="J348" i="35"/>
  <c r="K348" i="35"/>
  <c r="L348" i="35"/>
  <c r="A349" i="35"/>
  <c r="B349" i="35"/>
  <c r="C349" i="35"/>
  <c r="D349" i="35"/>
  <c r="E349" i="35"/>
  <c r="F349" i="35"/>
  <c r="G349" i="35"/>
  <c r="H349" i="35"/>
  <c r="Q349" i="35" s="1"/>
  <c r="AC349" i="35" s="1"/>
  <c r="I349" i="35"/>
  <c r="J349" i="35"/>
  <c r="K349" i="35"/>
  <c r="L349" i="35"/>
  <c r="S349" i="35" s="1"/>
  <c r="A350" i="35"/>
  <c r="B350" i="35"/>
  <c r="C350" i="35"/>
  <c r="D350" i="35"/>
  <c r="E350" i="35"/>
  <c r="F350" i="35"/>
  <c r="G350" i="35"/>
  <c r="H350" i="35"/>
  <c r="Q350" i="35" s="1"/>
  <c r="AC350" i="35" s="1"/>
  <c r="I350" i="35"/>
  <c r="J350" i="35"/>
  <c r="K350" i="35"/>
  <c r="L350" i="35"/>
  <c r="A351" i="35"/>
  <c r="B351" i="35"/>
  <c r="C351" i="35"/>
  <c r="D351" i="35"/>
  <c r="E351" i="35"/>
  <c r="F351" i="35"/>
  <c r="G351" i="35"/>
  <c r="H351" i="35"/>
  <c r="Q351" i="35" s="1"/>
  <c r="AC351" i="35" s="1"/>
  <c r="I351" i="35"/>
  <c r="J351" i="35"/>
  <c r="K351" i="35"/>
  <c r="L351" i="35"/>
  <c r="S351" i="35" s="1"/>
  <c r="A352" i="35"/>
  <c r="B352" i="35"/>
  <c r="C352" i="35"/>
  <c r="D352" i="35"/>
  <c r="E352" i="35"/>
  <c r="F352" i="35"/>
  <c r="G352" i="35"/>
  <c r="H352" i="35"/>
  <c r="Q352" i="35" s="1"/>
  <c r="AC352" i="35" s="1"/>
  <c r="I352" i="35"/>
  <c r="J352" i="35"/>
  <c r="K352" i="35"/>
  <c r="L352" i="35"/>
  <c r="A353" i="35"/>
  <c r="B353" i="35"/>
  <c r="C353" i="35"/>
  <c r="D353" i="35"/>
  <c r="E353" i="35"/>
  <c r="F353" i="35"/>
  <c r="G353" i="35"/>
  <c r="H353" i="35"/>
  <c r="Q353" i="35" s="1"/>
  <c r="AC353" i="35" s="1"/>
  <c r="I353" i="35"/>
  <c r="J353" i="35"/>
  <c r="K353" i="35"/>
  <c r="L353" i="35"/>
  <c r="S353" i="35" s="1"/>
  <c r="A354" i="35"/>
  <c r="B354" i="35"/>
  <c r="C354" i="35"/>
  <c r="D354" i="35"/>
  <c r="E354" i="35"/>
  <c r="F354" i="35"/>
  <c r="G354" i="35"/>
  <c r="H354" i="35"/>
  <c r="Q354" i="35" s="1"/>
  <c r="AC354" i="35" s="1"/>
  <c r="I354" i="35"/>
  <c r="J354" i="35"/>
  <c r="K354" i="35"/>
  <c r="L354" i="35"/>
  <c r="A355" i="35"/>
  <c r="B355" i="35"/>
  <c r="C355" i="35"/>
  <c r="D355" i="35"/>
  <c r="E355" i="35"/>
  <c r="F355" i="35"/>
  <c r="G355" i="35"/>
  <c r="H355" i="35"/>
  <c r="Q355" i="35" s="1"/>
  <c r="AC355" i="35" s="1"/>
  <c r="I355" i="35"/>
  <c r="J355" i="35"/>
  <c r="K355" i="35"/>
  <c r="L355" i="35"/>
  <c r="S355" i="35" s="1"/>
  <c r="A356" i="35"/>
  <c r="B356" i="35"/>
  <c r="C356" i="35"/>
  <c r="D356" i="35"/>
  <c r="E356" i="35"/>
  <c r="F356" i="35"/>
  <c r="G356" i="35"/>
  <c r="H356" i="35"/>
  <c r="Q356" i="35" s="1"/>
  <c r="AC356" i="35" s="1"/>
  <c r="I356" i="35"/>
  <c r="J356" i="35"/>
  <c r="K356" i="35"/>
  <c r="L356" i="35"/>
  <c r="A357" i="35"/>
  <c r="B357" i="35"/>
  <c r="C357" i="35"/>
  <c r="D357" i="35"/>
  <c r="E357" i="35"/>
  <c r="F357" i="35"/>
  <c r="G357" i="35"/>
  <c r="H357" i="35"/>
  <c r="Q357" i="35" s="1"/>
  <c r="AC357" i="35" s="1"/>
  <c r="I357" i="35"/>
  <c r="J357" i="35"/>
  <c r="K357" i="35"/>
  <c r="L357" i="35"/>
  <c r="S357" i="35" s="1"/>
  <c r="A358" i="35"/>
  <c r="B358" i="35"/>
  <c r="C358" i="35"/>
  <c r="D358" i="35"/>
  <c r="E358" i="35"/>
  <c r="F358" i="35"/>
  <c r="G358" i="35"/>
  <c r="H358" i="35"/>
  <c r="Q358" i="35" s="1"/>
  <c r="AC358" i="35" s="1"/>
  <c r="I358" i="35"/>
  <c r="J358" i="35"/>
  <c r="K358" i="35"/>
  <c r="L358" i="35"/>
  <c r="A359" i="35"/>
  <c r="B359" i="35"/>
  <c r="C359" i="35"/>
  <c r="D359" i="35"/>
  <c r="E359" i="35"/>
  <c r="F359" i="35"/>
  <c r="G359" i="35"/>
  <c r="H359" i="35"/>
  <c r="Q359" i="35" s="1"/>
  <c r="AC359" i="35" s="1"/>
  <c r="I359" i="35"/>
  <c r="J359" i="35"/>
  <c r="K359" i="35"/>
  <c r="L359" i="35"/>
  <c r="S359" i="35" s="1"/>
  <c r="A360" i="35"/>
  <c r="B360" i="35"/>
  <c r="C360" i="35"/>
  <c r="D360" i="35"/>
  <c r="E360" i="35"/>
  <c r="F360" i="35"/>
  <c r="G360" i="35"/>
  <c r="H360" i="35"/>
  <c r="Q360" i="35" s="1"/>
  <c r="AC360" i="35" s="1"/>
  <c r="I360" i="35"/>
  <c r="J360" i="35"/>
  <c r="K360" i="35"/>
  <c r="L360" i="35"/>
  <c r="A361" i="35"/>
  <c r="B361" i="35"/>
  <c r="C361" i="35"/>
  <c r="D361" i="35"/>
  <c r="E361" i="35"/>
  <c r="F361" i="35"/>
  <c r="G361" i="35"/>
  <c r="H361" i="35"/>
  <c r="Q361" i="35" s="1"/>
  <c r="AC361" i="35" s="1"/>
  <c r="I361" i="35"/>
  <c r="J361" i="35"/>
  <c r="K361" i="35"/>
  <c r="L361" i="35"/>
  <c r="S361" i="35" s="1"/>
  <c r="A362" i="35"/>
  <c r="B362" i="35"/>
  <c r="C362" i="35"/>
  <c r="D362" i="35"/>
  <c r="E362" i="35"/>
  <c r="F362" i="35"/>
  <c r="G362" i="35"/>
  <c r="H362" i="35"/>
  <c r="Q362" i="35" s="1"/>
  <c r="AC362" i="35" s="1"/>
  <c r="I362" i="35"/>
  <c r="J362" i="35"/>
  <c r="K362" i="35"/>
  <c r="L362" i="35"/>
  <c r="A363" i="35"/>
  <c r="B363" i="35"/>
  <c r="C363" i="35"/>
  <c r="D363" i="35"/>
  <c r="E363" i="35"/>
  <c r="F363" i="35"/>
  <c r="G363" i="35"/>
  <c r="H363" i="35"/>
  <c r="Q363" i="35" s="1"/>
  <c r="AC363" i="35" s="1"/>
  <c r="I363" i="35"/>
  <c r="J363" i="35"/>
  <c r="K363" i="35"/>
  <c r="L363" i="35"/>
  <c r="S363" i="35" s="1"/>
  <c r="A364" i="35"/>
  <c r="B364" i="35"/>
  <c r="C364" i="35"/>
  <c r="D364" i="35"/>
  <c r="E364" i="35"/>
  <c r="F364" i="35"/>
  <c r="G364" i="35"/>
  <c r="H364" i="35"/>
  <c r="Q364" i="35" s="1"/>
  <c r="AC364" i="35" s="1"/>
  <c r="I364" i="35"/>
  <c r="J364" i="35"/>
  <c r="K364" i="35"/>
  <c r="L364" i="35"/>
  <c r="A365" i="35"/>
  <c r="B365" i="35"/>
  <c r="C365" i="35"/>
  <c r="D365" i="35"/>
  <c r="E365" i="35"/>
  <c r="F365" i="35"/>
  <c r="G365" i="35"/>
  <c r="H365" i="35"/>
  <c r="Q365" i="35" s="1"/>
  <c r="AC365" i="35" s="1"/>
  <c r="I365" i="35"/>
  <c r="J365" i="35"/>
  <c r="K365" i="35"/>
  <c r="L365" i="35"/>
  <c r="S365" i="35" s="1"/>
  <c r="A366" i="35"/>
  <c r="B366" i="35"/>
  <c r="C366" i="35"/>
  <c r="D366" i="35"/>
  <c r="E366" i="35"/>
  <c r="F366" i="35"/>
  <c r="G366" i="35"/>
  <c r="H366" i="35"/>
  <c r="Q366" i="35" s="1"/>
  <c r="AC366" i="35" s="1"/>
  <c r="I366" i="35"/>
  <c r="J366" i="35"/>
  <c r="K366" i="35"/>
  <c r="L366" i="35"/>
  <c r="A367" i="35"/>
  <c r="B367" i="35"/>
  <c r="C367" i="35"/>
  <c r="D367" i="35"/>
  <c r="E367" i="35"/>
  <c r="F367" i="35"/>
  <c r="G367" i="35"/>
  <c r="H367" i="35"/>
  <c r="Q367" i="35" s="1"/>
  <c r="AC367" i="35" s="1"/>
  <c r="I367" i="35"/>
  <c r="J367" i="35"/>
  <c r="K367" i="35"/>
  <c r="L367" i="35"/>
  <c r="S367" i="35" s="1"/>
  <c r="A368" i="35"/>
  <c r="B368" i="35"/>
  <c r="C368" i="35"/>
  <c r="D368" i="35"/>
  <c r="E368" i="35"/>
  <c r="F368" i="35"/>
  <c r="G368" i="35"/>
  <c r="H368" i="35"/>
  <c r="Q368" i="35" s="1"/>
  <c r="AC368" i="35" s="1"/>
  <c r="I368" i="35"/>
  <c r="J368" i="35"/>
  <c r="K368" i="35"/>
  <c r="L368" i="35"/>
  <c r="A369" i="35"/>
  <c r="B369" i="35"/>
  <c r="C369" i="35"/>
  <c r="D369" i="35"/>
  <c r="E369" i="35"/>
  <c r="F369" i="35"/>
  <c r="G369" i="35"/>
  <c r="H369" i="35"/>
  <c r="Q369" i="35" s="1"/>
  <c r="AC369" i="35" s="1"/>
  <c r="I369" i="35"/>
  <c r="J369" i="35"/>
  <c r="K369" i="35"/>
  <c r="L369" i="35"/>
  <c r="S369" i="35" s="1"/>
  <c r="A370" i="35"/>
  <c r="B370" i="35"/>
  <c r="C370" i="35"/>
  <c r="D370" i="35"/>
  <c r="E370" i="35"/>
  <c r="F370" i="35"/>
  <c r="G370" i="35"/>
  <c r="H370" i="35"/>
  <c r="Q370" i="35" s="1"/>
  <c r="AC370" i="35" s="1"/>
  <c r="I370" i="35"/>
  <c r="J370" i="35"/>
  <c r="K370" i="35"/>
  <c r="L370" i="35"/>
  <c r="A371" i="35"/>
  <c r="B371" i="35"/>
  <c r="C371" i="35"/>
  <c r="D371" i="35"/>
  <c r="E371" i="35"/>
  <c r="F371" i="35"/>
  <c r="G371" i="35"/>
  <c r="H371" i="35"/>
  <c r="Q371" i="35" s="1"/>
  <c r="AC371" i="35" s="1"/>
  <c r="I371" i="35"/>
  <c r="J371" i="35"/>
  <c r="K371" i="35"/>
  <c r="L371" i="35"/>
  <c r="S371" i="35" s="1"/>
  <c r="A372" i="35"/>
  <c r="B372" i="35"/>
  <c r="C372" i="35"/>
  <c r="D372" i="35"/>
  <c r="E372" i="35"/>
  <c r="F372" i="35"/>
  <c r="G372" i="35"/>
  <c r="H372" i="35"/>
  <c r="Q372" i="35" s="1"/>
  <c r="AC372" i="35" s="1"/>
  <c r="I372" i="35"/>
  <c r="J372" i="35"/>
  <c r="K372" i="35"/>
  <c r="L372" i="35"/>
  <c r="A373" i="35"/>
  <c r="B373" i="35"/>
  <c r="C373" i="35"/>
  <c r="D373" i="35"/>
  <c r="E373" i="35"/>
  <c r="F373" i="35"/>
  <c r="G373" i="35"/>
  <c r="H373" i="35"/>
  <c r="Q373" i="35" s="1"/>
  <c r="AC373" i="35" s="1"/>
  <c r="I373" i="35"/>
  <c r="J373" i="35"/>
  <c r="K373" i="35"/>
  <c r="L373" i="35"/>
  <c r="S373" i="35" s="1"/>
  <c r="A374" i="35"/>
  <c r="B374" i="35"/>
  <c r="C374" i="35"/>
  <c r="D374" i="35"/>
  <c r="E374" i="35"/>
  <c r="F374" i="35"/>
  <c r="G374" i="35"/>
  <c r="H374" i="35"/>
  <c r="Q374" i="35" s="1"/>
  <c r="AC374" i="35" s="1"/>
  <c r="I374" i="35"/>
  <c r="J374" i="35"/>
  <c r="K374" i="35"/>
  <c r="L374" i="35"/>
  <c r="A375" i="35"/>
  <c r="B375" i="35"/>
  <c r="C375" i="35"/>
  <c r="D375" i="35"/>
  <c r="E375" i="35"/>
  <c r="F375" i="35"/>
  <c r="G375" i="35"/>
  <c r="H375" i="35"/>
  <c r="Q375" i="35" s="1"/>
  <c r="AC375" i="35" s="1"/>
  <c r="I375" i="35"/>
  <c r="J375" i="35"/>
  <c r="K375" i="35"/>
  <c r="L375" i="35"/>
  <c r="S375" i="35" s="1"/>
  <c r="A376" i="35"/>
  <c r="B376" i="35"/>
  <c r="C376" i="35"/>
  <c r="D376" i="35"/>
  <c r="E376" i="35"/>
  <c r="F376" i="35"/>
  <c r="G376" i="35"/>
  <c r="H376" i="35"/>
  <c r="Q376" i="35" s="1"/>
  <c r="AC376" i="35" s="1"/>
  <c r="I376" i="35"/>
  <c r="J376" i="35"/>
  <c r="K376" i="35"/>
  <c r="L376" i="35"/>
  <c r="A377" i="35"/>
  <c r="B377" i="35"/>
  <c r="C377" i="35"/>
  <c r="D377" i="35"/>
  <c r="E377" i="35"/>
  <c r="F377" i="35"/>
  <c r="G377" i="35"/>
  <c r="H377" i="35"/>
  <c r="Q377" i="35" s="1"/>
  <c r="AC377" i="35" s="1"/>
  <c r="I377" i="35"/>
  <c r="J377" i="35"/>
  <c r="K377" i="35"/>
  <c r="L377" i="35"/>
  <c r="S377" i="35" s="1"/>
  <c r="A378" i="35"/>
  <c r="B378" i="35"/>
  <c r="C378" i="35"/>
  <c r="D378" i="35"/>
  <c r="E378" i="35"/>
  <c r="F378" i="35"/>
  <c r="G378" i="35"/>
  <c r="H378" i="35"/>
  <c r="Q378" i="35" s="1"/>
  <c r="AC378" i="35" s="1"/>
  <c r="I378" i="35"/>
  <c r="J378" i="35"/>
  <c r="K378" i="35"/>
  <c r="L378" i="35"/>
  <c r="A379" i="35"/>
  <c r="B379" i="35"/>
  <c r="C379" i="35"/>
  <c r="D379" i="35"/>
  <c r="E379" i="35"/>
  <c r="F379" i="35"/>
  <c r="G379" i="35"/>
  <c r="H379" i="35"/>
  <c r="Q379" i="35" s="1"/>
  <c r="AC379" i="35" s="1"/>
  <c r="I379" i="35"/>
  <c r="J379" i="35"/>
  <c r="K379" i="35"/>
  <c r="L379" i="35"/>
  <c r="S379" i="35" s="1"/>
  <c r="A380" i="35"/>
  <c r="B380" i="35"/>
  <c r="C380" i="35"/>
  <c r="D380" i="35"/>
  <c r="E380" i="35"/>
  <c r="F380" i="35"/>
  <c r="G380" i="35"/>
  <c r="H380" i="35"/>
  <c r="Q380" i="35" s="1"/>
  <c r="AC380" i="35" s="1"/>
  <c r="I380" i="35"/>
  <c r="J380" i="35"/>
  <c r="K380" i="35"/>
  <c r="L380" i="35"/>
  <c r="A381" i="35"/>
  <c r="B381" i="35"/>
  <c r="C381" i="35"/>
  <c r="D381" i="35"/>
  <c r="E381" i="35"/>
  <c r="F381" i="35"/>
  <c r="G381" i="35"/>
  <c r="H381" i="35"/>
  <c r="Q381" i="35" s="1"/>
  <c r="AC381" i="35" s="1"/>
  <c r="I381" i="35"/>
  <c r="J381" i="35"/>
  <c r="K381" i="35"/>
  <c r="L381" i="35"/>
  <c r="S381" i="35" s="1"/>
  <c r="A382" i="35"/>
  <c r="B382" i="35"/>
  <c r="C382" i="35"/>
  <c r="D382" i="35"/>
  <c r="E382" i="35"/>
  <c r="F382" i="35"/>
  <c r="G382" i="35"/>
  <c r="H382" i="35"/>
  <c r="Q382" i="35" s="1"/>
  <c r="AC382" i="35" s="1"/>
  <c r="I382" i="35"/>
  <c r="J382" i="35"/>
  <c r="K382" i="35"/>
  <c r="L382" i="35"/>
  <c r="A383" i="35"/>
  <c r="B383" i="35"/>
  <c r="C383" i="35"/>
  <c r="D383" i="35"/>
  <c r="E383" i="35"/>
  <c r="F383" i="35"/>
  <c r="G383" i="35"/>
  <c r="H383" i="35"/>
  <c r="Q383" i="35" s="1"/>
  <c r="AC383" i="35" s="1"/>
  <c r="I383" i="35"/>
  <c r="J383" i="35"/>
  <c r="K383" i="35"/>
  <c r="L383" i="35"/>
  <c r="S383" i="35" s="1"/>
  <c r="A384" i="35"/>
  <c r="B384" i="35"/>
  <c r="C384" i="35"/>
  <c r="D384" i="35"/>
  <c r="E384" i="35"/>
  <c r="F384" i="35"/>
  <c r="G384" i="35"/>
  <c r="H384" i="35"/>
  <c r="Q384" i="35" s="1"/>
  <c r="AC384" i="35" s="1"/>
  <c r="I384" i="35"/>
  <c r="J384" i="35"/>
  <c r="K384" i="35"/>
  <c r="L384" i="35"/>
  <c r="A385" i="35"/>
  <c r="B385" i="35"/>
  <c r="C385" i="35"/>
  <c r="D385" i="35"/>
  <c r="E385" i="35"/>
  <c r="F385" i="35"/>
  <c r="G385" i="35"/>
  <c r="H385" i="35"/>
  <c r="Q385" i="35" s="1"/>
  <c r="AC385" i="35" s="1"/>
  <c r="I385" i="35"/>
  <c r="J385" i="35"/>
  <c r="K385" i="35"/>
  <c r="L385" i="35"/>
  <c r="S385" i="35" s="1"/>
  <c r="A386" i="35"/>
  <c r="B386" i="35"/>
  <c r="C386" i="35"/>
  <c r="D386" i="35"/>
  <c r="E386" i="35"/>
  <c r="F386" i="35"/>
  <c r="G386" i="35"/>
  <c r="H386" i="35"/>
  <c r="Q386" i="35" s="1"/>
  <c r="AC386" i="35" s="1"/>
  <c r="I386" i="35"/>
  <c r="J386" i="35"/>
  <c r="K386" i="35"/>
  <c r="L386" i="35"/>
  <c r="A387" i="35"/>
  <c r="B387" i="35"/>
  <c r="C387" i="35"/>
  <c r="D387" i="35"/>
  <c r="E387" i="35"/>
  <c r="F387" i="35"/>
  <c r="G387" i="35"/>
  <c r="H387" i="35"/>
  <c r="Q387" i="35" s="1"/>
  <c r="AC387" i="35" s="1"/>
  <c r="I387" i="35"/>
  <c r="J387" i="35"/>
  <c r="K387" i="35"/>
  <c r="L387" i="35"/>
  <c r="S387" i="35" s="1"/>
  <c r="A388" i="35"/>
  <c r="B388" i="35"/>
  <c r="C388" i="35"/>
  <c r="D388" i="35"/>
  <c r="E388" i="35"/>
  <c r="F388" i="35"/>
  <c r="G388" i="35"/>
  <c r="H388" i="35"/>
  <c r="Q388" i="35" s="1"/>
  <c r="AC388" i="35" s="1"/>
  <c r="I388" i="35"/>
  <c r="J388" i="35"/>
  <c r="K388" i="35"/>
  <c r="L388" i="35"/>
  <c r="A389" i="35"/>
  <c r="B389" i="35"/>
  <c r="C389" i="35"/>
  <c r="D389" i="35"/>
  <c r="E389" i="35"/>
  <c r="F389" i="35"/>
  <c r="G389" i="35"/>
  <c r="H389" i="35"/>
  <c r="Q389" i="35" s="1"/>
  <c r="AC389" i="35" s="1"/>
  <c r="I389" i="35"/>
  <c r="J389" i="35"/>
  <c r="K389" i="35"/>
  <c r="L389" i="35"/>
  <c r="S389" i="35" s="1"/>
  <c r="A390" i="35"/>
  <c r="B390" i="35"/>
  <c r="C390" i="35"/>
  <c r="D390" i="35"/>
  <c r="E390" i="35"/>
  <c r="F390" i="35"/>
  <c r="G390" i="35"/>
  <c r="H390" i="35"/>
  <c r="Q390" i="35" s="1"/>
  <c r="AC390" i="35" s="1"/>
  <c r="I390" i="35"/>
  <c r="J390" i="35"/>
  <c r="K390" i="35"/>
  <c r="L390" i="35"/>
  <c r="A391" i="35"/>
  <c r="B391" i="35"/>
  <c r="C391" i="35"/>
  <c r="D391" i="35"/>
  <c r="E391" i="35"/>
  <c r="F391" i="35"/>
  <c r="G391" i="35"/>
  <c r="H391" i="35"/>
  <c r="Q391" i="35" s="1"/>
  <c r="AC391" i="35" s="1"/>
  <c r="I391" i="35"/>
  <c r="J391" i="35"/>
  <c r="K391" i="35"/>
  <c r="L391" i="35"/>
  <c r="S391" i="35" s="1"/>
  <c r="A392" i="35"/>
  <c r="B392" i="35"/>
  <c r="C392" i="35"/>
  <c r="D392" i="35"/>
  <c r="E392" i="35"/>
  <c r="F392" i="35"/>
  <c r="G392" i="35"/>
  <c r="H392" i="35"/>
  <c r="Q392" i="35" s="1"/>
  <c r="AC392" i="35" s="1"/>
  <c r="I392" i="35"/>
  <c r="J392" i="35"/>
  <c r="K392" i="35"/>
  <c r="L392" i="35"/>
  <c r="A393" i="35"/>
  <c r="B393" i="35"/>
  <c r="C393" i="35"/>
  <c r="D393" i="35"/>
  <c r="E393" i="35"/>
  <c r="F393" i="35"/>
  <c r="G393" i="35"/>
  <c r="H393" i="35"/>
  <c r="Q393" i="35" s="1"/>
  <c r="AC393" i="35" s="1"/>
  <c r="I393" i="35"/>
  <c r="J393" i="35"/>
  <c r="K393" i="35"/>
  <c r="L393" i="35"/>
  <c r="S393" i="35" s="1"/>
  <c r="A394" i="35"/>
  <c r="B394" i="35"/>
  <c r="C394" i="35"/>
  <c r="D394" i="35"/>
  <c r="E394" i="35"/>
  <c r="F394" i="35"/>
  <c r="G394" i="35"/>
  <c r="H394" i="35"/>
  <c r="Q394" i="35" s="1"/>
  <c r="AC394" i="35" s="1"/>
  <c r="I394" i="35"/>
  <c r="J394" i="35"/>
  <c r="K394" i="35"/>
  <c r="L394" i="35"/>
  <c r="A395" i="35"/>
  <c r="B395" i="35"/>
  <c r="C395" i="35"/>
  <c r="D395" i="35"/>
  <c r="E395" i="35"/>
  <c r="F395" i="35"/>
  <c r="G395" i="35"/>
  <c r="H395" i="35"/>
  <c r="Q395" i="35" s="1"/>
  <c r="AC395" i="35" s="1"/>
  <c r="I395" i="35"/>
  <c r="J395" i="35"/>
  <c r="K395" i="35"/>
  <c r="L395" i="35"/>
  <c r="S395" i="35" s="1"/>
  <c r="A396" i="35"/>
  <c r="B396" i="35"/>
  <c r="N396" i="35" s="1"/>
  <c r="O396" i="35" s="1"/>
  <c r="C396" i="35"/>
  <c r="D396" i="35"/>
  <c r="E396" i="35"/>
  <c r="F396" i="35"/>
  <c r="G396" i="35"/>
  <c r="H396" i="35"/>
  <c r="Q396" i="35" s="1"/>
  <c r="AC396" i="35" s="1"/>
  <c r="I396" i="35"/>
  <c r="J396" i="35"/>
  <c r="K396" i="35"/>
  <c r="L396" i="35"/>
  <c r="A397" i="35"/>
  <c r="B397" i="35"/>
  <c r="C397" i="35"/>
  <c r="D397" i="35"/>
  <c r="E397" i="35"/>
  <c r="F397" i="35"/>
  <c r="G397" i="35"/>
  <c r="H397" i="35"/>
  <c r="Q397" i="35" s="1"/>
  <c r="AC397" i="35" s="1"/>
  <c r="I397" i="35"/>
  <c r="J397" i="35"/>
  <c r="K397" i="35"/>
  <c r="L397" i="35"/>
  <c r="S397" i="35" s="1"/>
  <c r="A398" i="35"/>
  <c r="B398" i="35"/>
  <c r="N398" i="35" s="1"/>
  <c r="O398" i="35" s="1"/>
  <c r="C398" i="35"/>
  <c r="D398" i="35"/>
  <c r="E398" i="35"/>
  <c r="F398" i="35"/>
  <c r="G398" i="35"/>
  <c r="H398" i="35"/>
  <c r="Q398" i="35" s="1"/>
  <c r="AC398" i="35" s="1"/>
  <c r="I398" i="35"/>
  <c r="J398" i="35"/>
  <c r="K398" i="35"/>
  <c r="L398" i="35"/>
  <c r="A399" i="35"/>
  <c r="B399" i="35"/>
  <c r="C399" i="35"/>
  <c r="D399" i="35"/>
  <c r="E399" i="35"/>
  <c r="F399" i="35"/>
  <c r="G399" i="35"/>
  <c r="H399" i="35"/>
  <c r="Q399" i="35" s="1"/>
  <c r="AC399" i="35" s="1"/>
  <c r="I399" i="35"/>
  <c r="J399" i="35"/>
  <c r="K399" i="35"/>
  <c r="L399" i="35"/>
  <c r="S399" i="35" s="1"/>
  <c r="A400" i="35"/>
  <c r="B400" i="35"/>
  <c r="N400" i="35" s="1"/>
  <c r="O400" i="35" s="1"/>
  <c r="C400" i="35"/>
  <c r="D400" i="35"/>
  <c r="E400" i="35"/>
  <c r="F400" i="35"/>
  <c r="G400" i="35"/>
  <c r="H400" i="35"/>
  <c r="Q400" i="35" s="1"/>
  <c r="AC400" i="35" s="1"/>
  <c r="I400" i="35"/>
  <c r="J400" i="35"/>
  <c r="K400" i="35"/>
  <c r="L400" i="35"/>
  <c r="A401" i="35"/>
  <c r="B401" i="35"/>
  <c r="C401" i="35"/>
  <c r="D401" i="35"/>
  <c r="E401" i="35"/>
  <c r="F401" i="35"/>
  <c r="G401" i="35"/>
  <c r="H401" i="35"/>
  <c r="Q401" i="35" s="1"/>
  <c r="AC401" i="35" s="1"/>
  <c r="I401" i="35"/>
  <c r="J401" i="35"/>
  <c r="K401" i="35"/>
  <c r="L401" i="35"/>
  <c r="S401" i="35" s="1"/>
  <c r="A402" i="35"/>
  <c r="B402" i="35"/>
  <c r="N402" i="35" s="1"/>
  <c r="O402" i="35" s="1"/>
  <c r="C402" i="35"/>
  <c r="D402" i="35"/>
  <c r="E402" i="35"/>
  <c r="F402" i="35"/>
  <c r="G402" i="35"/>
  <c r="H402" i="35"/>
  <c r="Q402" i="35" s="1"/>
  <c r="AC402" i="35" s="1"/>
  <c r="I402" i="35"/>
  <c r="J402" i="35"/>
  <c r="K402" i="35"/>
  <c r="L402" i="35"/>
  <c r="A403" i="35"/>
  <c r="B403" i="35"/>
  <c r="C403" i="35"/>
  <c r="D403" i="35"/>
  <c r="E403" i="35"/>
  <c r="F403" i="35"/>
  <c r="G403" i="35"/>
  <c r="H403" i="35"/>
  <c r="Q403" i="35" s="1"/>
  <c r="AC403" i="35" s="1"/>
  <c r="I403" i="35"/>
  <c r="J403" i="35"/>
  <c r="K403" i="35"/>
  <c r="L403" i="35"/>
  <c r="S403" i="35" s="1"/>
  <c r="A404" i="35"/>
  <c r="B404" i="35"/>
  <c r="N404" i="35" s="1"/>
  <c r="O404" i="35" s="1"/>
  <c r="C404" i="35"/>
  <c r="D404" i="35"/>
  <c r="E404" i="35"/>
  <c r="F404" i="35"/>
  <c r="G404" i="35"/>
  <c r="H404" i="35"/>
  <c r="Q404" i="35" s="1"/>
  <c r="AC404" i="35" s="1"/>
  <c r="I404" i="35"/>
  <c r="J404" i="35"/>
  <c r="K404" i="35"/>
  <c r="L404" i="35"/>
  <c r="A405" i="35"/>
  <c r="B405" i="35"/>
  <c r="C405" i="35"/>
  <c r="D405" i="35"/>
  <c r="E405" i="35"/>
  <c r="F405" i="35"/>
  <c r="G405" i="35"/>
  <c r="H405" i="35"/>
  <c r="Q405" i="35" s="1"/>
  <c r="AC405" i="35" s="1"/>
  <c r="I405" i="35"/>
  <c r="J405" i="35"/>
  <c r="K405" i="35"/>
  <c r="L405" i="35"/>
  <c r="S405" i="35" s="1"/>
  <c r="A406" i="35"/>
  <c r="B406" i="35"/>
  <c r="N406" i="35" s="1"/>
  <c r="O406" i="35" s="1"/>
  <c r="C406" i="35"/>
  <c r="D406" i="35"/>
  <c r="E406" i="35"/>
  <c r="F406" i="35"/>
  <c r="G406" i="35"/>
  <c r="H406" i="35"/>
  <c r="Q406" i="35" s="1"/>
  <c r="AC406" i="35" s="1"/>
  <c r="I406" i="35"/>
  <c r="J406" i="35"/>
  <c r="K406" i="35"/>
  <c r="L406" i="35"/>
  <c r="A407" i="35"/>
  <c r="B407" i="35"/>
  <c r="C407" i="35"/>
  <c r="D407" i="35"/>
  <c r="E407" i="35"/>
  <c r="F407" i="35"/>
  <c r="G407" i="35"/>
  <c r="H407" i="35"/>
  <c r="Q407" i="35" s="1"/>
  <c r="AC407" i="35" s="1"/>
  <c r="I407" i="35"/>
  <c r="J407" i="35"/>
  <c r="K407" i="35"/>
  <c r="L407" i="35"/>
  <c r="S407" i="35" s="1"/>
  <c r="A408" i="35"/>
  <c r="B408" i="35"/>
  <c r="N408" i="35" s="1"/>
  <c r="O408" i="35" s="1"/>
  <c r="C408" i="35"/>
  <c r="D408" i="35"/>
  <c r="E408" i="35"/>
  <c r="F408" i="35"/>
  <c r="G408" i="35"/>
  <c r="H408" i="35"/>
  <c r="Q408" i="35" s="1"/>
  <c r="AC408" i="35" s="1"/>
  <c r="I408" i="35"/>
  <c r="J408" i="35"/>
  <c r="K408" i="35"/>
  <c r="L408" i="35"/>
  <c r="A409" i="35"/>
  <c r="B409" i="35"/>
  <c r="C409" i="35"/>
  <c r="D409" i="35"/>
  <c r="E409" i="35"/>
  <c r="F409" i="35"/>
  <c r="G409" i="35"/>
  <c r="H409" i="35"/>
  <c r="Q409" i="35" s="1"/>
  <c r="AC409" i="35" s="1"/>
  <c r="I409" i="35"/>
  <c r="J409" i="35"/>
  <c r="K409" i="35"/>
  <c r="L409" i="35"/>
  <c r="S409" i="35" s="1"/>
  <c r="A410" i="35"/>
  <c r="B410" i="35"/>
  <c r="N410" i="35" s="1"/>
  <c r="O410" i="35" s="1"/>
  <c r="C410" i="35"/>
  <c r="D410" i="35"/>
  <c r="E410" i="35"/>
  <c r="F410" i="35"/>
  <c r="G410" i="35"/>
  <c r="H410" i="35"/>
  <c r="Q410" i="35" s="1"/>
  <c r="AC410" i="35" s="1"/>
  <c r="I410" i="35"/>
  <c r="J410" i="35"/>
  <c r="K410" i="35"/>
  <c r="L410" i="35"/>
  <c r="A411" i="35"/>
  <c r="B411" i="35"/>
  <c r="C411" i="35"/>
  <c r="D411" i="35"/>
  <c r="E411" i="35"/>
  <c r="F411" i="35"/>
  <c r="G411" i="35"/>
  <c r="H411" i="35"/>
  <c r="Q411" i="35" s="1"/>
  <c r="AC411" i="35" s="1"/>
  <c r="I411" i="35"/>
  <c r="J411" i="35"/>
  <c r="K411" i="35"/>
  <c r="L411" i="35"/>
  <c r="S411" i="35" s="1"/>
  <c r="A412" i="35"/>
  <c r="B412" i="35"/>
  <c r="N412" i="35" s="1"/>
  <c r="O412" i="35" s="1"/>
  <c r="C412" i="35"/>
  <c r="D412" i="35"/>
  <c r="E412" i="35"/>
  <c r="F412" i="35"/>
  <c r="G412" i="35"/>
  <c r="H412" i="35"/>
  <c r="Q412" i="35" s="1"/>
  <c r="AC412" i="35" s="1"/>
  <c r="I412" i="35"/>
  <c r="J412" i="35"/>
  <c r="K412" i="35"/>
  <c r="L412" i="35"/>
  <c r="A413" i="35"/>
  <c r="B413" i="35"/>
  <c r="C413" i="35"/>
  <c r="D413" i="35"/>
  <c r="E413" i="35"/>
  <c r="F413" i="35"/>
  <c r="G413" i="35"/>
  <c r="H413" i="35"/>
  <c r="Q413" i="35" s="1"/>
  <c r="AC413" i="35" s="1"/>
  <c r="I413" i="35"/>
  <c r="J413" i="35"/>
  <c r="K413" i="35"/>
  <c r="L413" i="35"/>
  <c r="S413" i="35" s="1"/>
  <c r="A414" i="35"/>
  <c r="B414" i="35"/>
  <c r="N414" i="35" s="1"/>
  <c r="O414" i="35" s="1"/>
  <c r="C414" i="35"/>
  <c r="D414" i="35"/>
  <c r="E414" i="35"/>
  <c r="F414" i="35"/>
  <c r="G414" i="35"/>
  <c r="H414" i="35"/>
  <c r="Q414" i="35" s="1"/>
  <c r="AC414" i="35" s="1"/>
  <c r="I414" i="35"/>
  <c r="J414" i="35"/>
  <c r="K414" i="35"/>
  <c r="L414" i="35"/>
  <c r="A415" i="35"/>
  <c r="B415" i="35"/>
  <c r="C415" i="35"/>
  <c r="D415" i="35"/>
  <c r="E415" i="35"/>
  <c r="F415" i="35"/>
  <c r="G415" i="35"/>
  <c r="H415" i="35"/>
  <c r="Q415" i="35" s="1"/>
  <c r="AC415" i="35" s="1"/>
  <c r="I415" i="35"/>
  <c r="J415" i="35"/>
  <c r="K415" i="35"/>
  <c r="L415" i="35"/>
  <c r="S415" i="35" s="1"/>
  <c r="A416" i="35"/>
  <c r="B416" i="35"/>
  <c r="N416" i="35" s="1"/>
  <c r="O416" i="35" s="1"/>
  <c r="C416" i="35"/>
  <c r="D416" i="35"/>
  <c r="E416" i="35"/>
  <c r="F416" i="35"/>
  <c r="G416" i="35"/>
  <c r="H416" i="35"/>
  <c r="Q416" i="35" s="1"/>
  <c r="AC416" i="35" s="1"/>
  <c r="I416" i="35"/>
  <c r="J416" i="35"/>
  <c r="K416" i="35"/>
  <c r="L416" i="35"/>
  <c r="A417" i="35"/>
  <c r="B417" i="35"/>
  <c r="C417" i="35"/>
  <c r="D417" i="35"/>
  <c r="E417" i="35"/>
  <c r="F417" i="35"/>
  <c r="G417" i="35"/>
  <c r="H417" i="35"/>
  <c r="Q417" i="35" s="1"/>
  <c r="AC417" i="35" s="1"/>
  <c r="I417" i="35"/>
  <c r="J417" i="35"/>
  <c r="K417" i="35"/>
  <c r="L417" i="35"/>
  <c r="S417" i="35" s="1"/>
  <c r="A418" i="35"/>
  <c r="B418" i="35"/>
  <c r="N418" i="35" s="1"/>
  <c r="O418" i="35" s="1"/>
  <c r="C418" i="35"/>
  <c r="D418" i="35"/>
  <c r="E418" i="35"/>
  <c r="F418" i="35"/>
  <c r="G418" i="35"/>
  <c r="H418" i="35"/>
  <c r="Q418" i="35" s="1"/>
  <c r="AC418" i="35" s="1"/>
  <c r="I418" i="35"/>
  <c r="J418" i="35"/>
  <c r="K418" i="35"/>
  <c r="L418" i="35"/>
  <c r="A419" i="35"/>
  <c r="B419" i="35"/>
  <c r="C419" i="35"/>
  <c r="D419" i="35"/>
  <c r="E419" i="35"/>
  <c r="F419" i="35"/>
  <c r="G419" i="35"/>
  <c r="H419" i="35"/>
  <c r="Q419" i="35" s="1"/>
  <c r="AC419" i="35" s="1"/>
  <c r="I419" i="35"/>
  <c r="J419" i="35"/>
  <c r="K419" i="35"/>
  <c r="L419" i="35"/>
  <c r="S419" i="35" s="1"/>
  <c r="A420" i="35"/>
  <c r="B420" i="35"/>
  <c r="N420" i="35" s="1"/>
  <c r="O420" i="35" s="1"/>
  <c r="C420" i="35"/>
  <c r="D420" i="35"/>
  <c r="E420" i="35"/>
  <c r="F420" i="35"/>
  <c r="G420" i="35"/>
  <c r="H420" i="35"/>
  <c r="Q420" i="35" s="1"/>
  <c r="AC420" i="35" s="1"/>
  <c r="I420" i="35"/>
  <c r="J420" i="35"/>
  <c r="K420" i="35"/>
  <c r="L420" i="35"/>
  <c r="A421" i="35"/>
  <c r="B421" i="35"/>
  <c r="C421" i="35"/>
  <c r="D421" i="35"/>
  <c r="E421" i="35"/>
  <c r="F421" i="35"/>
  <c r="G421" i="35"/>
  <c r="H421" i="35"/>
  <c r="Q421" i="35" s="1"/>
  <c r="AC421" i="35" s="1"/>
  <c r="I421" i="35"/>
  <c r="J421" i="35"/>
  <c r="K421" i="35"/>
  <c r="L421" i="35"/>
  <c r="S421" i="35" s="1"/>
  <c r="A422" i="35"/>
  <c r="B422" i="35"/>
  <c r="N422" i="35" s="1"/>
  <c r="O422" i="35" s="1"/>
  <c r="C422" i="35"/>
  <c r="D422" i="35"/>
  <c r="E422" i="35"/>
  <c r="F422" i="35"/>
  <c r="G422" i="35"/>
  <c r="H422" i="35"/>
  <c r="Q422" i="35" s="1"/>
  <c r="AC422" i="35" s="1"/>
  <c r="I422" i="35"/>
  <c r="J422" i="35"/>
  <c r="K422" i="35"/>
  <c r="L422" i="35"/>
  <c r="A423" i="35"/>
  <c r="B423" i="35"/>
  <c r="C423" i="35"/>
  <c r="D423" i="35"/>
  <c r="E423" i="35"/>
  <c r="F423" i="35"/>
  <c r="G423" i="35"/>
  <c r="H423" i="35"/>
  <c r="Q423" i="35" s="1"/>
  <c r="AC423" i="35" s="1"/>
  <c r="I423" i="35"/>
  <c r="J423" i="35"/>
  <c r="K423" i="35"/>
  <c r="L423" i="35"/>
  <c r="S423" i="35" s="1"/>
  <c r="A424" i="35"/>
  <c r="B424" i="35"/>
  <c r="N424" i="35" s="1"/>
  <c r="O424" i="35" s="1"/>
  <c r="C424" i="35"/>
  <c r="D424" i="35"/>
  <c r="E424" i="35"/>
  <c r="F424" i="35"/>
  <c r="G424" i="35"/>
  <c r="H424" i="35"/>
  <c r="Q424" i="35" s="1"/>
  <c r="AC424" i="35" s="1"/>
  <c r="I424" i="35"/>
  <c r="J424" i="35"/>
  <c r="K424" i="35"/>
  <c r="L424" i="35"/>
  <c r="A425" i="35"/>
  <c r="B425" i="35"/>
  <c r="C425" i="35"/>
  <c r="D425" i="35"/>
  <c r="E425" i="35"/>
  <c r="F425" i="35"/>
  <c r="G425" i="35"/>
  <c r="H425" i="35"/>
  <c r="Q425" i="35" s="1"/>
  <c r="AC425" i="35" s="1"/>
  <c r="I425" i="35"/>
  <c r="J425" i="35"/>
  <c r="K425" i="35"/>
  <c r="L425" i="35"/>
  <c r="S425" i="35" s="1"/>
  <c r="A426" i="35"/>
  <c r="B426" i="35"/>
  <c r="N426" i="35" s="1"/>
  <c r="O426" i="35" s="1"/>
  <c r="C426" i="35"/>
  <c r="D426" i="35"/>
  <c r="E426" i="35"/>
  <c r="F426" i="35"/>
  <c r="G426" i="35"/>
  <c r="H426" i="35"/>
  <c r="Q426" i="35" s="1"/>
  <c r="AC426" i="35" s="1"/>
  <c r="I426" i="35"/>
  <c r="J426" i="35"/>
  <c r="K426" i="35"/>
  <c r="L426" i="35"/>
  <c r="A427" i="35"/>
  <c r="B427" i="35"/>
  <c r="C427" i="35"/>
  <c r="D427" i="35"/>
  <c r="E427" i="35"/>
  <c r="F427" i="35"/>
  <c r="G427" i="35"/>
  <c r="H427" i="35"/>
  <c r="Q427" i="35" s="1"/>
  <c r="AC427" i="35" s="1"/>
  <c r="I427" i="35"/>
  <c r="J427" i="35"/>
  <c r="K427" i="35"/>
  <c r="L427" i="35"/>
  <c r="S427" i="35" s="1"/>
  <c r="A428" i="35"/>
  <c r="B428" i="35"/>
  <c r="N428" i="35" s="1"/>
  <c r="O428" i="35" s="1"/>
  <c r="C428" i="35"/>
  <c r="D428" i="35"/>
  <c r="E428" i="35"/>
  <c r="F428" i="35"/>
  <c r="G428" i="35"/>
  <c r="H428" i="35"/>
  <c r="Q428" i="35" s="1"/>
  <c r="AC428" i="35" s="1"/>
  <c r="I428" i="35"/>
  <c r="J428" i="35"/>
  <c r="K428" i="35"/>
  <c r="L428" i="35"/>
  <c r="A429" i="35"/>
  <c r="B429" i="35"/>
  <c r="C429" i="35"/>
  <c r="D429" i="35"/>
  <c r="E429" i="35"/>
  <c r="F429" i="35"/>
  <c r="G429" i="35"/>
  <c r="H429" i="35"/>
  <c r="Q429" i="35" s="1"/>
  <c r="AC429" i="35" s="1"/>
  <c r="I429" i="35"/>
  <c r="J429" i="35"/>
  <c r="K429" i="35"/>
  <c r="L429" i="35"/>
  <c r="S429" i="35" s="1"/>
  <c r="A430" i="35"/>
  <c r="B430" i="35"/>
  <c r="N430" i="35" s="1"/>
  <c r="O430" i="35" s="1"/>
  <c r="C430" i="35"/>
  <c r="D430" i="35"/>
  <c r="E430" i="35"/>
  <c r="F430" i="35"/>
  <c r="G430" i="35"/>
  <c r="H430" i="35"/>
  <c r="Q430" i="35" s="1"/>
  <c r="AC430" i="35" s="1"/>
  <c r="I430" i="35"/>
  <c r="J430" i="35"/>
  <c r="K430" i="35"/>
  <c r="L430" i="35"/>
  <c r="A431" i="35"/>
  <c r="B431" i="35"/>
  <c r="C431" i="35"/>
  <c r="D431" i="35"/>
  <c r="E431" i="35"/>
  <c r="F431" i="35"/>
  <c r="G431" i="35"/>
  <c r="H431" i="35"/>
  <c r="Q431" i="35" s="1"/>
  <c r="AC431" i="35" s="1"/>
  <c r="I431" i="35"/>
  <c r="J431" i="35"/>
  <c r="K431" i="35"/>
  <c r="L431" i="35"/>
  <c r="S431" i="35" s="1"/>
  <c r="A432" i="35"/>
  <c r="B432" i="35"/>
  <c r="C432" i="35"/>
  <c r="D432" i="35"/>
  <c r="E432" i="35"/>
  <c r="F432" i="35"/>
  <c r="G432" i="35"/>
  <c r="H432" i="35"/>
  <c r="Q432" i="35" s="1"/>
  <c r="AC432" i="35" s="1"/>
  <c r="I432" i="35"/>
  <c r="J432" i="35"/>
  <c r="K432" i="35"/>
  <c r="L432" i="35"/>
  <c r="A433" i="35"/>
  <c r="B433" i="35"/>
  <c r="C433" i="35"/>
  <c r="D433" i="35"/>
  <c r="E433" i="35"/>
  <c r="F433" i="35"/>
  <c r="G433" i="35"/>
  <c r="H433" i="35"/>
  <c r="Q433" i="35" s="1"/>
  <c r="AC433" i="35" s="1"/>
  <c r="I433" i="35"/>
  <c r="J433" i="35"/>
  <c r="K433" i="35"/>
  <c r="L433" i="35"/>
  <c r="S433" i="35" s="1"/>
  <c r="A434" i="35"/>
  <c r="B434" i="35"/>
  <c r="C434" i="35"/>
  <c r="D434" i="35"/>
  <c r="E434" i="35"/>
  <c r="F434" i="35"/>
  <c r="G434" i="35"/>
  <c r="H434" i="35"/>
  <c r="Q434" i="35" s="1"/>
  <c r="AC434" i="35" s="1"/>
  <c r="I434" i="35"/>
  <c r="J434" i="35"/>
  <c r="K434" i="35"/>
  <c r="L434" i="35"/>
  <c r="A435" i="35"/>
  <c r="B435" i="35"/>
  <c r="C435" i="35"/>
  <c r="D435" i="35"/>
  <c r="E435" i="35"/>
  <c r="F435" i="35"/>
  <c r="G435" i="35"/>
  <c r="H435" i="35"/>
  <c r="Q435" i="35" s="1"/>
  <c r="AC435" i="35" s="1"/>
  <c r="I435" i="35"/>
  <c r="J435" i="35"/>
  <c r="K435" i="35"/>
  <c r="L435" i="35"/>
  <c r="S435" i="35" s="1"/>
  <c r="A436" i="35"/>
  <c r="B436" i="35"/>
  <c r="C436" i="35"/>
  <c r="D436" i="35"/>
  <c r="E436" i="35"/>
  <c r="F436" i="35"/>
  <c r="G436" i="35"/>
  <c r="H436" i="35"/>
  <c r="Q436" i="35" s="1"/>
  <c r="AC436" i="35" s="1"/>
  <c r="I436" i="35"/>
  <c r="J436" i="35"/>
  <c r="K436" i="35"/>
  <c r="L436" i="35"/>
  <c r="A437" i="35"/>
  <c r="B437" i="35"/>
  <c r="C437" i="35"/>
  <c r="D437" i="35"/>
  <c r="E437" i="35"/>
  <c r="F437" i="35"/>
  <c r="G437" i="35"/>
  <c r="H437" i="35"/>
  <c r="Q437" i="35" s="1"/>
  <c r="AC437" i="35" s="1"/>
  <c r="I437" i="35"/>
  <c r="J437" i="35"/>
  <c r="K437" i="35"/>
  <c r="L437" i="35"/>
  <c r="S437" i="35" s="1"/>
  <c r="A438" i="35"/>
  <c r="B438" i="35"/>
  <c r="C438" i="35"/>
  <c r="D438" i="35"/>
  <c r="E438" i="35"/>
  <c r="F438" i="35"/>
  <c r="G438" i="35"/>
  <c r="H438" i="35"/>
  <c r="Q438" i="35" s="1"/>
  <c r="AC438" i="35" s="1"/>
  <c r="I438" i="35"/>
  <c r="J438" i="35"/>
  <c r="K438" i="35"/>
  <c r="L438" i="35"/>
  <c r="A439" i="35"/>
  <c r="B439" i="35"/>
  <c r="C439" i="35"/>
  <c r="D439" i="35"/>
  <c r="E439" i="35"/>
  <c r="F439" i="35"/>
  <c r="G439" i="35"/>
  <c r="H439" i="35"/>
  <c r="Q439" i="35" s="1"/>
  <c r="AC439" i="35" s="1"/>
  <c r="I439" i="35"/>
  <c r="J439" i="35"/>
  <c r="K439" i="35"/>
  <c r="L439" i="35"/>
  <c r="S439" i="35" s="1"/>
  <c r="A440" i="35"/>
  <c r="B440" i="35"/>
  <c r="C440" i="35"/>
  <c r="D440" i="35"/>
  <c r="E440" i="35"/>
  <c r="F440" i="35"/>
  <c r="G440" i="35"/>
  <c r="H440" i="35"/>
  <c r="Q440" i="35" s="1"/>
  <c r="AC440" i="35" s="1"/>
  <c r="I440" i="35"/>
  <c r="J440" i="35"/>
  <c r="K440" i="35"/>
  <c r="L440" i="35"/>
  <c r="A441" i="35"/>
  <c r="B441" i="35"/>
  <c r="C441" i="35"/>
  <c r="D441" i="35"/>
  <c r="E441" i="35"/>
  <c r="F441" i="35"/>
  <c r="G441" i="35"/>
  <c r="H441" i="35"/>
  <c r="Q441" i="35" s="1"/>
  <c r="AC441" i="35" s="1"/>
  <c r="I441" i="35"/>
  <c r="J441" i="35"/>
  <c r="K441" i="35"/>
  <c r="L441" i="35"/>
  <c r="S441" i="35" s="1"/>
  <c r="A442" i="35"/>
  <c r="B442" i="35"/>
  <c r="C442" i="35"/>
  <c r="D442" i="35"/>
  <c r="E442" i="35"/>
  <c r="F442" i="35"/>
  <c r="G442" i="35"/>
  <c r="H442" i="35"/>
  <c r="Q442" i="35" s="1"/>
  <c r="AC442" i="35" s="1"/>
  <c r="I442" i="35"/>
  <c r="J442" i="35"/>
  <c r="K442" i="35"/>
  <c r="L442" i="35"/>
  <c r="A443" i="35"/>
  <c r="B443" i="35"/>
  <c r="C443" i="35"/>
  <c r="D443" i="35"/>
  <c r="E443" i="35"/>
  <c r="F443" i="35"/>
  <c r="G443" i="35"/>
  <c r="H443" i="35"/>
  <c r="Q443" i="35" s="1"/>
  <c r="AC443" i="35" s="1"/>
  <c r="I443" i="35"/>
  <c r="J443" i="35"/>
  <c r="K443" i="35"/>
  <c r="L443" i="35"/>
  <c r="S443" i="35" s="1"/>
  <c r="A444" i="35"/>
  <c r="B444" i="35"/>
  <c r="C444" i="35"/>
  <c r="D444" i="35"/>
  <c r="E444" i="35"/>
  <c r="F444" i="35"/>
  <c r="G444" i="35"/>
  <c r="H444" i="35"/>
  <c r="Q444" i="35" s="1"/>
  <c r="AC444" i="35" s="1"/>
  <c r="I444" i="35"/>
  <c r="J444" i="35"/>
  <c r="K444" i="35"/>
  <c r="L444" i="35"/>
  <c r="A445" i="35"/>
  <c r="B445" i="35"/>
  <c r="C445" i="35"/>
  <c r="D445" i="35"/>
  <c r="E445" i="35"/>
  <c r="F445" i="35"/>
  <c r="G445" i="35"/>
  <c r="H445" i="35"/>
  <c r="Q445" i="35" s="1"/>
  <c r="AC445" i="35" s="1"/>
  <c r="I445" i="35"/>
  <c r="J445" i="35"/>
  <c r="K445" i="35"/>
  <c r="L445" i="35"/>
  <c r="S445" i="35" s="1"/>
  <c r="A446" i="35"/>
  <c r="B446" i="35"/>
  <c r="C446" i="35"/>
  <c r="D446" i="35"/>
  <c r="E446" i="35"/>
  <c r="F446" i="35"/>
  <c r="G446" i="35"/>
  <c r="H446" i="35"/>
  <c r="Q446" i="35" s="1"/>
  <c r="AC446" i="35" s="1"/>
  <c r="I446" i="35"/>
  <c r="J446" i="35"/>
  <c r="K446" i="35"/>
  <c r="L446" i="35"/>
  <c r="A447" i="35"/>
  <c r="B447" i="35"/>
  <c r="C447" i="35"/>
  <c r="D447" i="35"/>
  <c r="E447" i="35"/>
  <c r="F447" i="35"/>
  <c r="G447" i="35"/>
  <c r="H447" i="35"/>
  <c r="Q447" i="35" s="1"/>
  <c r="AC447" i="35" s="1"/>
  <c r="I447" i="35"/>
  <c r="J447" i="35"/>
  <c r="K447" i="35"/>
  <c r="L447" i="35"/>
  <c r="S447" i="35" s="1"/>
  <c r="A448" i="35"/>
  <c r="B448" i="35"/>
  <c r="C448" i="35"/>
  <c r="D448" i="35"/>
  <c r="E448" i="35"/>
  <c r="F448" i="35"/>
  <c r="G448" i="35"/>
  <c r="H448" i="35"/>
  <c r="Q448" i="35" s="1"/>
  <c r="AC448" i="35" s="1"/>
  <c r="I448" i="35"/>
  <c r="J448" i="35"/>
  <c r="K448" i="35"/>
  <c r="L448" i="35"/>
  <c r="A449" i="35"/>
  <c r="B449" i="35"/>
  <c r="C449" i="35"/>
  <c r="D449" i="35"/>
  <c r="E449" i="35"/>
  <c r="F449" i="35"/>
  <c r="G449" i="35"/>
  <c r="H449" i="35"/>
  <c r="Q449" i="35" s="1"/>
  <c r="AC449" i="35" s="1"/>
  <c r="I449" i="35"/>
  <c r="J449" i="35"/>
  <c r="K449" i="35"/>
  <c r="L449" i="35"/>
  <c r="S449" i="35" s="1"/>
  <c r="A450" i="35"/>
  <c r="B450" i="35"/>
  <c r="C450" i="35"/>
  <c r="D450" i="35"/>
  <c r="E450" i="35"/>
  <c r="F450" i="35"/>
  <c r="G450" i="35"/>
  <c r="H450" i="35"/>
  <c r="Q450" i="35" s="1"/>
  <c r="AC450" i="35" s="1"/>
  <c r="I450" i="35"/>
  <c r="J450" i="35"/>
  <c r="K450" i="35"/>
  <c r="L450" i="35"/>
  <c r="A451" i="35"/>
  <c r="B451" i="35"/>
  <c r="C451" i="35"/>
  <c r="D451" i="35"/>
  <c r="E451" i="35"/>
  <c r="F451" i="35"/>
  <c r="G451" i="35"/>
  <c r="H451" i="35"/>
  <c r="Q451" i="35" s="1"/>
  <c r="AC451" i="35" s="1"/>
  <c r="I451" i="35"/>
  <c r="J451" i="35"/>
  <c r="K451" i="35"/>
  <c r="L451" i="35"/>
  <c r="S451" i="35" s="1"/>
  <c r="A452" i="35"/>
  <c r="B452" i="35"/>
  <c r="C452" i="35"/>
  <c r="D452" i="35"/>
  <c r="E452" i="35"/>
  <c r="F452" i="35"/>
  <c r="G452" i="35"/>
  <c r="H452" i="35"/>
  <c r="Q452" i="35" s="1"/>
  <c r="AC452" i="35" s="1"/>
  <c r="I452" i="35"/>
  <c r="J452" i="35"/>
  <c r="K452" i="35"/>
  <c r="L452" i="35"/>
  <c r="A453" i="35"/>
  <c r="B453" i="35"/>
  <c r="C453" i="35"/>
  <c r="D453" i="35"/>
  <c r="E453" i="35"/>
  <c r="F453" i="35"/>
  <c r="G453" i="35"/>
  <c r="H453" i="35"/>
  <c r="Q453" i="35" s="1"/>
  <c r="AC453" i="35" s="1"/>
  <c r="I453" i="35"/>
  <c r="J453" i="35"/>
  <c r="K453" i="35"/>
  <c r="L453" i="35"/>
  <c r="S453" i="35" s="1"/>
  <c r="A454" i="35"/>
  <c r="B454" i="35"/>
  <c r="C454" i="35"/>
  <c r="D454" i="35"/>
  <c r="E454" i="35"/>
  <c r="F454" i="35"/>
  <c r="G454" i="35"/>
  <c r="H454" i="35"/>
  <c r="Q454" i="35" s="1"/>
  <c r="AC454" i="35" s="1"/>
  <c r="I454" i="35"/>
  <c r="J454" i="35"/>
  <c r="K454" i="35"/>
  <c r="L454" i="35"/>
  <c r="A455" i="35"/>
  <c r="B455" i="35"/>
  <c r="C455" i="35"/>
  <c r="D455" i="35"/>
  <c r="E455" i="35"/>
  <c r="F455" i="35"/>
  <c r="G455" i="35"/>
  <c r="H455" i="35"/>
  <c r="Q455" i="35" s="1"/>
  <c r="AC455" i="35" s="1"/>
  <c r="I455" i="35"/>
  <c r="J455" i="35"/>
  <c r="K455" i="35"/>
  <c r="L455" i="35"/>
  <c r="S455" i="35" s="1"/>
  <c r="A456" i="35"/>
  <c r="B456" i="35"/>
  <c r="C456" i="35"/>
  <c r="D456" i="35"/>
  <c r="E456" i="35"/>
  <c r="F456" i="35"/>
  <c r="G456" i="35"/>
  <c r="H456" i="35"/>
  <c r="Q456" i="35" s="1"/>
  <c r="AC456" i="35" s="1"/>
  <c r="I456" i="35"/>
  <c r="J456" i="35"/>
  <c r="K456" i="35"/>
  <c r="L456" i="35"/>
  <c r="A457" i="35"/>
  <c r="B457" i="35"/>
  <c r="C457" i="35"/>
  <c r="D457" i="35"/>
  <c r="E457" i="35"/>
  <c r="F457" i="35"/>
  <c r="G457" i="35"/>
  <c r="H457" i="35"/>
  <c r="Q457" i="35" s="1"/>
  <c r="AC457" i="35" s="1"/>
  <c r="I457" i="35"/>
  <c r="J457" i="35"/>
  <c r="K457" i="35"/>
  <c r="L457" i="35"/>
  <c r="S457" i="35" s="1"/>
  <c r="A458" i="35"/>
  <c r="B458" i="35"/>
  <c r="C458" i="35"/>
  <c r="D458" i="35"/>
  <c r="E458" i="35"/>
  <c r="F458" i="35"/>
  <c r="G458" i="35"/>
  <c r="H458" i="35"/>
  <c r="Q458" i="35" s="1"/>
  <c r="AC458" i="35" s="1"/>
  <c r="I458" i="35"/>
  <c r="J458" i="35"/>
  <c r="K458" i="35"/>
  <c r="L458" i="35"/>
  <c r="A459" i="35"/>
  <c r="B459" i="35"/>
  <c r="C459" i="35"/>
  <c r="D459" i="35"/>
  <c r="E459" i="35"/>
  <c r="F459" i="35"/>
  <c r="G459" i="35"/>
  <c r="H459" i="35"/>
  <c r="Q459" i="35" s="1"/>
  <c r="AC459" i="35" s="1"/>
  <c r="I459" i="35"/>
  <c r="J459" i="35"/>
  <c r="K459" i="35"/>
  <c r="L459" i="35"/>
  <c r="S459" i="35" s="1"/>
  <c r="A460" i="35"/>
  <c r="B460" i="35"/>
  <c r="C460" i="35"/>
  <c r="D460" i="35"/>
  <c r="E460" i="35"/>
  <c r="F460" i="35"/>
  <c r="G460" i="35"/>
  <c r="H460" i="35"/>
  <c r="Q460" i="35" s="1"/>
  <c r="AC460" i="35" s="1"/>
  <c r="I460" i="35"/>
  <c r="J460" i="35"/>
  <c r="K460" i="35"/>
  <c r="L460" i="35"/>
  <c r="A461" i="35"/>
  <c r="B461" i="35"/>
  <c r="C461" i="35"/>
  <c r="D461" i="35"/>
  <c r="E461" i="35"/>
  <c r="F461" i="35"/>
  <c r="G461" i="35"/>
  <c r="H461" i="35"/>
  <c r="Q461" i="35" s="1"/>
  <c r="AC461" i="35" s="1"/>
  <c r="I461" i="35"/>
  <c r="J461" i="35"/>
  <c r="K461" i="35"/>
  <c r="L461" i="35"/>
  <c r="S461" i="35" s="1"/>
  <c r="A462" i="35"/>
  <c r="B462" i="35"/>
  <c r="C462" i="35"/>
  <c r="D462" i="35"/>
  <c r="E462" i="35"/>
  <c r="F462" i="35"/>
  <c r="G462" i="35"/>
  <c r="H462" i="35"/>
  <c r="Q462" i="35" s="1"/>
  <c r="AC462" i="35" s="1"/>
  <c r="I462" i="35"/>
  <c r="J462" i="35"/>
  <c r="K462" i="35"/>
  <c r="L462" i="35"/>
  <c r="A463" i="35"/>
  <c r="B463" i="35"/>
  <c r="C463" i="35"/>
  <c r="D463" i="35"/>
  <c r="E463" i="35"/>
  <c r="F463" i="35"/>
  <c r="G463" i="35"/>
  <c r="H463" i="35"/>
  <c r="Q463" i="35" s="1"/>
  <c r="AC463" i="35" s="1"/>
  <c r="I463" i="35"/>
  <c r="J463" i="35"/>
  <c r="K463" i="35"/>
  <c r="L463" i="35"/>
  <c r="S463" i="35" s="1"/>
  <c r="A464" i="35"/>
  <c r="B464" i="35"/>
  <c r="C464" i="35"/>
  <c r="D464" i="35"/>
  <c r="E464" i="35"/>
  <c r="F464" i="35"/>
  <c r="G464" i="35"/>
  <c r="H464" i="35"/>
  <c r="Q464" i="35" s="1"/>
  <c r="AC464" i="35" s="1"/>
  <c r="I464" i="35"/>
  <c r="J464" i="35"/>
  <c r="K464" i="35"/>
  <c r="L464" i="35"/>
  <c r="A465" i="35"/>
  <c r="B465" i="35"/>
  <c r="C465" i="35"/>
  <c r="D465" i="35"/>
  <c r="E465" i="35"/>
  <c r="F465" i="35"/>
  <c r="G465" i="35"/>
  <c r="H465" i="35"/>
  <c r="Q465" i="35" s="1"/>
  <c r="AC465" i="35" s="1"/>
  <c r="I465" i="35"/>
  <c r="J465" i="35"/>
  <c r="K465" i="35"/>
  <c r="L465" i="35"/>
  <c r="S465" i="35" s="1"/>
  <c r="A466" i="35"/>
  <c r="B466" i="35"/>
  <c r="C466" i="35"/>
  <c r="D466" i="35"/>
  <c r="E466" i="35"/>
  <c r="F466" i="35"/>
  <c r="G466" i="35"/>
  <c r="H466" i="35"/>
  <c r="Q466" i="35" s="1"/>
  <c r="AC466" i="35" s="1"/>
  <c r="I466" i="35"/>
  <c r="J466" i="35"/>
  <c r="K466" i="35"/>
  <c r="L466" i="35"/>
  <c r="A467" i="35"/>
  <c r="B467" i="35"/>
  <c r="C467" i="35"/>
  <c r="D467" i="35"/>
  <c r="E467" i="35"/>
  <c r="F467" i="35"/>
  <c r="G467" i="35"/>
  <c r="H467" i="35"/>
  <c r="Q467" i="35" s="1"/>
  <c r="AC467" i="35" s="1"/>
  <c r="I467" i="35"/>
  <c r="J467" i="35"/>
  <c r="K467" i="35"/>
  <c r="L467" i="35"/>
  <c r="S467" i="35" s="1"/>
  <c r="A468" i="35"/>
  <c r="B468" i="35"/>
  <c r="C468" i="35"/>
  <c r="D468" i="35"/>
  <c r="E468" i="35"/>
  <c r="F468" i="35"/>
  <c r="G468" i="35"/>
  <c r="H468" i="35"/>
  <c r="Q468" i="35" s="1"/>
  <c r="AC468" i="35" s="1"/>
  <c r="I468" i="35"/>
  <c r="J468" i="35"/>
  <c r="K468" i="35"/>
  <c r="L468" i="35"/>
  <c r="A469" i="35"/>
  <c r="B469" i="35"/>
  <c r="C469" i="35"/>
  <c r="D469" i="35"/>
  <c r="E469" i="35"/>
  <c r="F469" i="35"/>
  <c r="G469" i="35"/>
  <c r="H469" i="35"/>
  <c r="Q469" i="35" s="1"/>
  <c r="AC469" i="35" s="1"/>
  <c r="I469" i="35"/>
  <c r="J469" i="35"/>
  <c r="K469" i="35"/>
  <c r="L469" i="35"/>
  <c r="S469" i="35" s="1"/>
  <c r="A470" i="35"/>
  <c r="B470" i="35"/>
  <c r="C470" i="35"/>
  <c r="D470" i="35"/>
  <c r="E470" i="35"/>
  <c r="F470" i="35"/>
  <c r="G470" i="35"/>
  <c r="H470" i="35"/>
  <c r="Q470" i="35" s="1"/>
  <c r="AC470" i="35" s="1"/>
  <c r="I470" i="35"/>
  <c r="J470" i="35"/>
  <c r="K470" i="35"/>
  <c r="L470" i="35"/>
  <c r="A471" i="35"/>
  <c r="B471" i="35"/>
  <c r="C471" i="35"/>
  <c r="D471" i="35"/>
  <c r="E471" i="35"/>
  <c r="F471" i="35"/>
  <c r="G471" i="35"/>
  <c r="H471" i="35"/>
  <c r="Q471" i="35" s="1"/>
  <c r="AC471" i="35" s="1"/>
  <c r="I471" i="35"/>
  <c r="J471" i="35"/>
  <c r="K471" i="35"/>
  <c r="L471" i="35"/>
  <c r="S471" i="35" s="1"/>
  <c r="A472" i="35"/>
  <c r="B472" i="35"/>
  <c r="C472" i="35"/>
  <c r="D472" i="35"/>
  <c r="E472" i="35"/>
  <c r="F472" i="35"/>
  <c r="G472" i="35"/>
  <c r="H472" i="35"/>
  <c r="Q472" i="35" s="1"/>
  <c r="AC472" i="35" s="1"/>
  <c r="I472" i="35"/>
  <c r="J472" i="35"/>
  <c r="K472" i="35"/>
  <c r="L472" i="35"/>
  <c r="A473" i="35"/>
  <c r="B473" i="35"/>
  <c r="C473" i="35"/>
  <c r="D473" i="35"/>
  <c r="E473" i="35"/>
  <c r="F473" i="35"/>
  <c r="G473" i="35"/>
  <c r="H473" i="35"/>
  <c r="Q473" i="35" s="1"/>
  <c r="AC473" i="35" s="1"/>
  <c r="I473" i="35"/>
  <c r="J473" i="35"/>
  <c r="K473" i="35"/>
  <c r="L473" i="35"/>
  <c r="S473" i="35" s="1"/>
  <c r="A474" i="35"/>
  <c r="B474" i="35"/>
  <c r="N474" i="35" s="1"/>
  <c r="O474" i="35" s="1"/>
  <c r="C474" i="35"/>
  <c r="D474" i="35"/>
  <c r="E474" i="35"/>
  <c r="F474" i="35"/>
  <c r="G474" i="35"/>
  <c r="H474" i="35"/>
  <c r="Q474" i="35" s="1"/>
  <c r="AC474" i="35" s="1"/>
  <c r="I474" i="35"/>
  <c r="J474" i="35"/>
  <c r="K474" i="35"/>
  <c r="L474" i="35"/>
  <c r="A475" i="35"/>
  <c r="B475" i="35"/>
  <c r="C475" i="35"/>
  <c r="D475" i="35"/>
  <c r="E475" i="35"/>
  <c r="F475" i="35"/>
  <c r="G475" i="35"/>
  <c r="H475" i="35"/>
  <c r="Q475" i="35" s="1"/>
  <c r="AC475" i="35" s="1"/>
  <c r="I475" i="35"/>
  <c r="J475" i="35"/>
  <c r="K475" i="35"/>
  <c r="L475" i="35"/>
  <c r="S475" i="35" s="1"/>
  <c r="A476" i="35"/>
  <c r="B476" i="35"/>
  <c r="N476" i="35" s="1"/>
  <c r="O476" i="35" s="1"/>
  <c r="C476" i="35"/>
  <c r="D476" i="35"/>
  <c r="E476" i="35"/>
  <c r="F476" i="35"/>
  <c r="G476" i="35"/>
  <c r="H476" i="35"/>
  <c r="Q476" i="35" s="1"/>
  <c r="AC476" i="35" s="1"/>
  <c r="I476" i="35"/>
  <c r="J476" i="35"/>
  <c r="K476" i="35"/>
  <c r="L476" i="35"/>
  <c r="A477" i="35"/>
  <c r="B477" i="35"/>
  <c r="C477" i="35"/>
  <c r="D477" i="35"/>
  <c r="E477" i="35"/>
  <c r="F477" i="35"/>
  <c r="G477" i="35"/>
  <c r="H477" i="35"/>
  <c r="Q477" i="35" s="1"/>
  <c r="AC477" i="35" s="1"/>
  <c r="I477" i="35"/>
  <c r="J477" i="35"/>
  <c r="K477" i="35"/>
  <c r="L477" i="35"/>
  <c r="S477" i="35" s="1"/>
  <c r="A478" i="35"/>
  <c r="B478" i="35"/>
  <c r="N478" i="35" s="1"/>
  <c r="O478" i="35" s="1"/>
  <c r="C478" i="35"/>
  <c r="D478" i="35"/>
  <c r="E478" i="35"/>
  <c r="F478" i="35"/>
  <c r="G478" i="35"/>
  <c r="H478" i="35"/>
  <c r="Q478" i="35" s="1"/>
  <c r="AC478" i="35" s="1"/>
  <c r="I478" i="35"/>
  <c r="J478" i="35"/>
  <c r="K478" i="35"/>
  <c r="L478" i="35"/>
  <c r="A479" i="35"/>
  <c r="B479" i="35"/>
  <c r="C479" i="35"/>
  <c r="D479" i="35"/>
  <c r="E479" i="35"/>
  <c r="F479" i="35"/>
  <c r="G479" i="35"/>
  <c r="H479" i="35"/>
  <c r="Q479" i="35" s="1"/>
  <c r="AC479" i="35" s="1"/>
  <c r="I479" i="35"/>
  <c r="J479" i="35"/>
  <c r="K479" i="35"/>
  <c r="L479" i="35"/>
  <c r="S479" i="35" s="1"/>
  <c r="A480" i="35"/>
  <c r="B480" i="35"/>
  <c r="N480" i="35" s="1"/>
  <c r="O480" i="35" s="1"/>
  <c r="C480" i="35"/>
  <c r="D480" i="35"/>
  <c r="E480" i="35"/>
  <c r="F480" i="35"/>
  <c r="G480" i="35"/>
  <c r="H480" i="35"/>
  <c r="Q480" i="35" s="1"/>
  <c r="AC480" i="35" s="1"/>
  <c r="I480" i="35"/>
  <c r="J480" i="35"/>
  <c r="K480" i="35"/>
  <c r="L480" i="35"/>
  <c r="A481" i="35"/>
  <c r="B481" i="35"/>
  <c r="C481" i="35"/>
  <c r="D481" i="35"/>
  <c r="E481" i="35"/>
  <c r="F481" i="35"/>
  <c r="G481" i="35"/>
  <c r="H481" i="35"/>
  <c r="Q481" i="35" s="1"/>
  <c r="AC481" i="35" s="1"/>
  <c r="I481" i="35"/>
  <c r="J481" i="35"/>
  <c r="K481" i="35"/>
  <c r="L481" i="35"/>
  <c r="S481" i="35" s="1"/>
  <c r="A482" i="35"/>
  <c r="B482" i="35"/>
  <c r="N482" i="35" s="1"/>
  <c r="O482" i="35" s="1"/>
  <c r="C482" i="35"/>
  <c r="D482" i="35"/>
  <c r="E482" i="35"/>
  <c r="F482" i="35"/>
  <c r="G482" i="35"/>
  <c r="H482" i="35"/>
  <c r="Q482" i="35" s="1"/>
  <c r="AC482" i="35" s="1"/>
  <c r="I482" i="35"/>
  <c r="J482" i="35"/>
  <c r="K482" i="35"/>
  <c r="L482" i="35"/>
  <c r="A483" i="35"/>
  <c r="B483" i="35"/>
  <c r="C483" i="35"/>
  <c r="D483" i="35"/>
  <c r="E483" i="35"/>
  <c r="F483" i="35"/>
  <c r="G483" i="35"/>
  <c r="H483" i="35"/>
  <c r="Q483" i="35" s="1"/>
  <c r="AC483" i="35" s="1"/>
  <c r="I483" i="35"/>
  <c r="J483" i="35"/>
  <c r="K483" i="35"/>
  <c r="L483" i="35"/>
  <c r="S483" i="35" s="1"/>
  <c r="A484" i="35"/>
  <c r="B484" i="35"/>
  <c r="N484" i="35" s="1"/>
  <c r="O484" i="35" s="1"/>
  <c r="C484" i="35"/>
  <c r="D484" i="35"/>
  <c r="E484" i="35"/>
  <c r="F484" i="35"/>
  <c r="G484" i="35"/>
  <c r="H484" i="35"/>
  <c r="Q484" i="35" s="1"/>
  <c r="AC484" i="35" s="1"/>
  <c r="I484" i="35"/>
  <c r="J484" i="35"/>
  <c r="K484" i="35"/>
  <c r="L484" i="35"/>
  <c r="A485" i="35"/>
  <c r="B485" i="35"/>
  <c r="C485" i="35"/>
  <c r="D485" i="35"/>
  <c r="E485" i="35"/>
  <c r="F485" i="35"/>
  <c r="G485" i="35"/>
  <c r="H485" i="35"/>
  <c r="Q485" i="35" s="1"/>
  <c r="AC485" i="35" s="1"/>
  <c r="I485" i="35"/>
  <c r="J485" i="35"/>
  <c r="K485" i="35"/>
  <c r="L485" i="35"/>
  <c r="S485" i="35" s="1"/>
  <c r="A486" i="35"/>
  <c r="B486" i="35"/>
  <c r="N486" i="35" s="1"/>
  <c r="O486" i="35" s="1"/>
  <c r="C486" i="35"/>
  <c r="D486" i="35"/>
  <c r="E486" i="35"/>
  <c r="F486" i="35"/>
  <c r="G486" i="35"/>
  <c r="H486" i="35"/>
  <c r="Q486" i="35" s="1"/>
  <c r="AC486" i="35" s="1"/>
  <c r="I486" i="35"/>
  <c r="J486" i="35"/>
  <c r="K486" i="35"/>
  <c r="L486" i="35"/>
  <c r="A487" i="35"/>
  <c r="B487" i="35"/>
  <c r="C487" i="35"/>
  <c r="D487" i="35"/>
  <c r="E487" i="35"/>
  <c r="F487" i="35"/>
  <c r="G487" i="35"/>
  <c r="H487" i="35"/>
  <c r="Q487" i="35" s="1"/>
  <c r="AC487" i="35" s="1"/>
  <c r="I487" i="35"/>
  <c r="J487" i="35"/>
  <c r="K487" i="35"/>
  <c r="L487" i="35"/>
  <c r="S487" i="35" s="1"/>
  <c r="A488" i="35"/>
  <c r="B488" i="35"/>
  <c r="N488" i="35" s="1"/>
  <c r="O488" i="35" s="1"/>
  <c r="C488" i="35"/>
  <c r="D488" i="35"/>
  <c r="E488" i="35"/>
  <c r="F488" i="35"/>
  <c r="G488" i="35"/>
  <c r="H488" i="35"/>
  <c r="Q488" i="35" s="1"/>
  <c r="AC488" i="35" s="1"/>
  <c r="I488" i="35"/>
  <c r="J488" i="35"/>
  <c r="K488" i="35"/>
  <c r="L488" i="35"/>
  <c r="A489" i="35"/>
  <c r="B489" i="35"/>
  <c r="C489" i="35"/>
  <c r="D489" i="35"/>
  <c r="E489" i="35"/>
  <c r="F489" i="35"/>
  <c r="G489" i="35"/>
  <c r="H489" i="35"/>
  <c r="Q489" i="35" s="1"/>
  <c r="AC489" i="35" s="1"/>
  <c r="I489" i="35"/>
  <c r="J489" i="35"/>
  <c r="K489" i="35"/>
  <c r="L489" i="35"/>
  <c r="S489" i="35" s="1"/>
  <c r="A490" i="35"/>
  <c r="B490" i="35"/>
  <c r="N490" i="35" s="1"/>
  <c r="O490" i="35" s="1"/>
  <c r="C490" i="35"/>
  <c r="D490" i="35"/>
  <c r="E490" i="35"/>
  <c r="F490" i="35"/>
  <c r="G490" i="35"/>
  <c r="H490" i="35"/>
  <c r="Q490" i="35" s="1"/>
  <c r="AC490" i="35" s="1"/>
  <c r="I490" i="35"/>
  <c r="J490" i="35"/>
  <c r="K490" i="35"/>
  <c r="L490" i="35"/>
  <c r="A491" i="35"/>
  <c r="B491" i="35"/>
  <c r="C491" i="35"/>
  <c r="D491" i="35"/>
  <c r="E491" i="35"/>
  <c r="F491" i="35"/>
  <c r="G491" i="35"/>
  <c r="H491" i="35"/>
  <c r="Q491" i="35" s="1"/>
  <c r="AC491" i="35" s="1"/>
  <c r="I491" i="35"/>
  <c r="J491" i="35"/>
  <c r="K491" i="35"/>
  <c r="L491" i="35"/>
  <c r="S491" i="35" s="1"/>
  <c r="A492" i="35"/>
  <c r="B492" i="35"/>
  <c r="N492" i="35" s="1"/>
  <c r="O492" i="35" s="1"/>
  <c r="C492" i="35"/>
  <c r="D492" i="35"/>
  <c r="E492" i="35"/>
  <c r="F492" i="35"/>
  <c r="G492" i="35"/>
  <c r="H492" i="35"/>
  <c r="Q492" i="35" s="1"/>
  <c r="AC492" i="35" s="1"/>
  <c r="I492" i="35"/>
  <c r="J492" i="35"/>
  <c r="K492" i="35"/>
  <c r="L492" i="35"/>
  <c r="A493" i="35"/>
  <c r="B493" i="35"/>
  <c r="C493" i="35"/>
  <c r="D493" i="35"/>
  <c r="E493" i="35"/>
  <c r="F493" i="35"/>
  <c r="G493" i="35"/>
  <c r="H493" i="35"/>
  <c r="Q493" i="35" s="1"/>
  <c r="AC493" i="35" s="1"/>
  <c r="I493" i="35"/>
  <c r="J493" i="35"/>
  <c r="K493" i="35"/>
  <c r="L493" i="35"/>
  <c r="S493" i="35" s="1"/>
  <c r="A494" i="35"/>
  <c r="B494" i="35"/>
  <c r="N494" i="35" s="1"/>
  <c r="O494" i="35" s="1"/>
  <c r="C494" i="35"/>
  <c r="D494" i="35"/>
  <c r="E494" i="35"/>
  <c r="F494" i="35"/>
  <c r="G494" i="35"/>
  <c r="H494" i="35"/>
  <c r="Q494" i="35" s="1"/>
  <c r="AC494" i="35" s="1"/>
  <c r="I494" i="35"/>
  <c r="J494" i="35"/>
  <c r="K494" i="35"/>
  <c r="L494" i="35"/>
  <c r="A495" i="35"/>
  <c r="B495" i="35"/>
  <c r="C495" i="35"/>
  <c r="D495" i="35"/>
  <c r="E495" i="35"/>
  <c r="F495" i="35"/>
  <c r="G495" i="35"/>
  <c r="H495" i="35"/>
  <c r="Q495" i="35" s="1"/>
  <c r="AC495" i="35" s="1"/>
  <c r="I495" i="35"/>
  <c r="J495" i="35"/>
  <c r="K495" i="35"/>
  <c r="L495" i="35"/>
  <c r="S495" i="35" s="1"/>
  <c r="A496" i="35"/>
  <c r="B496" i="35"/>
  <c r="N496" i="35" s="1"/>
  <c r="O496" i="35" s="1"/>
  <c r="C496" i="35"/>
  <c r="D496" i="35"/>
  <c r="E496" i="35"/>
  <c r="F496" i="35"/>
  <c r="G496" i="35"/>
  <c r="H496" i="35"/>
  <c r="Q496" i="35" s="1"/>
  <c r="AC496" i="35" s="1"/>
  <c r="I496" i="35"/>
  <c r="J496" i="35"/>
  <c r="K496" i="35"/>
  <c r="L496" i="35"/>
  <c r="A497" i="35"/>
  <c r="B497" i="35"/>
  <c r="C497" i="35"/>
  <c r="D497" i="35"/>
  <c r="E497" i="35"/>
  <c r="F497" i="35"/>
  <c r="G497" i="35"/>
  <c r="H497" i="35"/>
  <c r="Q497" i="35" s="1"/>
  <c r="AC497" i="35" s="1"/>
  <c r="I497" i="35"/>
  <c r="J497" i="35"/>
  <c r="K497" i="35"/>
  <c r="L497" i="35"/>
  <c r="S497" i="35" s="1"/>
  <c r="A498" i="35"/>
  <c r="B498" i="35"/>
  <c r="N498" i="35" s="1"/>
  <c r="O498" i="35" s="1"/>
  <c r="C498" i="35"/>
  <c r="D498" i="35"/>
  <c r="E498" i="35"/>
  <c r="F498" i="35"/>
  <c r="G498" i="35"/>
  <c r="H498" i="35"/>
  <c r="Q498" i="35" s="1"/>
  <c r="AC498" i="35" s="1"/>
  <c r="I498" i="35"/>
  <c r="J498" i="35"/>
  <c r="K498" i="35"/>
  <c r="L498" i="35"/>
  <c r="A499" i="35"/>
  <c r="B499" i="35"/>
  <c r="C499" i="35"/>
  <c r="D499" i="35"/>
  <c r="E499" i="35"/>
  <c r="F499" i="35"/>
  <c r="G499" i="35"/>
  <c r="H499" i="35"/>
  <c r="Q499" i="35" s="1"/>
  <c r="AC499" i="35" s="1"/>
  <c r="I499" i="35"/>
  <c r="J499" i="35"/>
  <c r="K499" i="35"/>
  <c r="L499" i="35"/>
  <c r="S499" i="35" s="1"/>
  <c r="A500" i="35"/>
  <c r="B500" i="35"/>
  <c r="N500" i="35" s="1"/>
  <c r="O500" i="35" s="1"/>
  <c r="C500" i="35"/>
  <c r="D500" i="35"/>
  <c r="E500" i="35"/>
  <c r="F500" i="35"/>
  <c r="G500" i="35"/>
  <c r="H500" i="35"/>
  <c r="Q500" i="35" s="1"/>
  <c r="AC500" i="35" s="1"/>
  <c r="I500" i="35"/>
  <c r="J500" i="35"/>
  <c r="K500" i="35"/>
  <c r="L500" i="35"/>
  <c r="A501" i="35"/>
  <c r="B501" i="35"/>
  <c r="C501" i="35"/>
  <c r="D501" i="35"/>
  <c r="E501" i="35"/>
  <c r="F501" i="35"/>
  <c r="G501" i="35"/>
  <c r="H501" i="35"/>
  <c r="Q501" i="35" s="1"/>
  <c r="AC501" i="35" s="1"/>
  <c r="I501" i="35"/>
  <c r="J501" i="35"/>
  <c r="K501" i="35"/>
  <c r="L501" i="35"/>
  <c r="S501" i="35" s="1"/>
  <c r="A502" i="35"/>
  <c r="B502" i="35"/>
  <c r="N502" i="35" s="1"/>
  <c r="O502" i="35" s="1"/>
  <c r="C502" i="35"/>
  <c r="D502" i="35"/>
  <c r="E502" i="35"/>
  <c r="F502" i="35"/>
  <c r="G502" i="35"/>
  <c r="H502" i="35"/>
  <c r="Q502" i="35" s="1"/>
  <c r="AC502" i="35" s="1"/>
  <c r="I502" i="35"/>
  <c r="J502" i="35"/>
  <c r="K502" i="35"/>
  <c r="L502" i="35"/>
  <c r="A503" i="35"/>
  <c r="B503" i="35"/>
  <c r="C503" i="35"/>
  <c r="D503" i="35"/>
  <c r="E503" i="35"/>
  <c r="F503" i="35"/>
  <c r="G503" i="35"/>
  <c r="H503" i="35"/>
  <c r="Q503" i="35" s="1"/>
  <c r="AC503" i="35" s="1"/>
  <c r="I503" i="35"/>
  <c r="J503" i="35"/>
  <c r="K503" i="35"/>
  <c r="L503" i="35"/>
  <c r="S503" i="35" s="1"/>
  <c r="A504" i="35"/>
  <c r="B504" i="35"/>
  <c r="N504" i="35" s="1"/>
  <c r="O504" i="35" s="1"/>
  <c r="C504" i="35"/>
  <c r="D504" i="35"/>
  <c r="E504" i="35"/>
  <c r="F504" i="35"/>
  <c r="G504" i="35"/>
  <c r="H504" i="35"/>
  <c r="Q504" i="35" s="1"/>
  <c r="AC504" i="35" s="1"/>
  <c r="I504" i="35"/>
  <c r="J504" i="35"/>
  <c r="K504" i="35"/>
  <c r="L504" i="35"/>
  <c r="A505" i="35"/>
  <c r="B505" i="35"/>
  <c r="C505" i="35"/>
  <c r="D505" i="35"/>
  <c r="E505" i="35"/>
  <c r="F505" i="35"/>
  <c r="G505" i="35"/>
  <c r="H505" i="35"/>
  <c r="Q505" i="35" s="1"/>
  <c r="AC505" i="35" s="1"/>
  <c r="I505" i="35"/>
  <c r="J505" i="35"/>
  <c r="K505" i="35"/>
  <c r="L505" i="35"/>
  <c r="S505" i="35" s="1"/>
  <c r="A506" i="35"/>
  <c r="B506" i="35"/>
  <c r="N506" i="35" s="1"/>
  <c r="O506" i="35" s="1"/>
  <c r="C506" i="35"/>
  <c r="D506" i="35"/>
  <c r="E506" i="35"/>
  <c r="F506" i="35"/>
  <c r="G506" i="35"/>
  <c r="H506" i="35"/>
  <c r="Q506" i="35" s="1"/>
  <c r="AC506" i="35" s="1"/>
  <c r="I506" i="35"/>
  <c r="J506" i="35"/>
  <c r="K506" i="35"/>
  <c r="L506" i="35"/>
  <c r="A507" i="35"/>
  <c r="B507" i="35"/>
  <c r="C507" i="35"/>
  <c r="D507" i="35"/>
  <c r="E507" i="35"/>
  <c r="F507" i="35"/>
  <c r="G507" i="35"/>
  <c r="H507" i="35"/>
  <c r="Q507" i="35" s="1"/>
  <c r="AC507" i="35" s="1"/>
  <c r="I507" i="35"/>
  <c r="J507" i="35"/>
  <c r="K507" i="35"/>
  <c r="L507" i="35"/>
  <c r="S507" i="35" s="1"/>
  <c r="A508" i="35"/>
  <c r="B508" i="35"/>
  <c r="N508" i="35" s="1"/>
  <c r="O508" i="35" s="1"/>
  <c r="C508" i="35"/>
  <c r="D508" i="35"/>
  <c r="E508" i="35"/>
  <c r="F508" i="35"/>
  <c r="G508" i="35"/>
  <c r="H508" i="35"/>
  <c r="Q508" i="35" s="1"/>
  <c r="AC508" i="35" s="1"/>
  <c r="I508" i="35"/>
  <c r="J508" i="35"/>
  <c r="K508" i="35"/>
  <c r="L508" i="35"/>
  <c r="A509" i="35"/>
  <c r="B509" i="35"/>
  <c r="C509" i="35"/>
  <c r="D509" i="35"/>
  <c r="E509" i="35"/>
  <c r="F509" i="35"/>
  <c r="G509" i="35"/>
  <c r="H509" i="35"/>
  <c r="Q509" i="35" s="1"/>
  <c r="AC509" i="35" s="1"/>
  <c r="I509" i="35"/>
  <c r="J509" i="35"/>
  <c r="K509" i="35"/>
  <c r="L509" i="35"/>
  <c r="S509" i="35" s="1"/>
  <c r="A510" i="35"/>
  <c r="B510" i="35"/>
  <c r="N510" i="35" s="1"/>
  <c r="O510" i="35" s="1"/>
  <c r="C510" i="35"/>
  <c r="D510" i="35"/>
  <c r="E510" i="35"/>
  <c r="F510" i="35"/>
  <c r="G510" i="35"/>
  <c r="H510" i="35"/>
  <c r="Q510" i="35" s="1"/>
  <c r="AC510" i="35" s="1"/>
  <c r="I510" i="35"/>
  <c r="J510" i="35"/>
  <c r="K510" i="35"/>
  <c r="L510" i="35"/>
  <c r="A511" i="35"/>
  <c r="B511" i="35"/>
  <c r="C511" i="35"/>
  <c r="D511" i="35"/>
  <c r="E511" i="35"/>
  <c r="F511" i="35"/>
  <c r="G511" i="35"/>
  <c r="H511" i="35"/>
  <c r="Q511" i="35" s="1"/>
  <c r="AC511" i="35" s="1"/>
  <c r="I511" i="35"/>
  <c r="J511" i="35"/>
  <c r="K511" i="35"/>
  <c r="L511" i="35"/>
  <c r="S511" i="35" s="1"/>
  <c r="A512" i="35"/>
  <c r="B512" i="35"/>
  <c r="N512" i="35" s="1"/>
  <c r="O512" i="35" s="1"/>
  <c r="C512" i="35"/>
  <c r="D512" i="35"/>
  <c r="E512" i="35"/>
  <c r="F512" i="35"/>
  <c r="G512" i="35"/>
  <c r="H512" i="35"/>
  <c r="Q512" i="35" s="1"/>
  <c r="AC512" i="35" s="1"/>
  <c r="I512" i="35"/>
  <c r="J512" i="35"/>
  <c r="K512" i="35"/>
  <c r="L512" i="35"/>
  <c r="A513" i="35"/>
  <c r="B513" i="35"/>
  <c r="C513" i="35"/>
  <c r="D513" i="35"/>
  <c r="E513" i="35"/>
  <c r="F513" i="35"/>
  <c r="G513" i="35"/>
  <c r="H513" i="35"/>
  <c r="Q513" i="35" s="1"/>
  <c r="AC513" i="35" s="1"/>
  <c r="I513" i="35"/>
  <c r="J513" i="35"/>
  <c r="K513" i="35"/>
  <c r="L513" i="35"/>
  <c r="S513" i="35" s="1"/>
  <c r="A514" i="35"/>
  <c r="B514" i="35"/>
  <c r="C514" i="35"/>
  <c r="D514" i="35"/>
  <c r="E514" i="35"/>
  <c r="F514" i="35"/>
  <c r="G514" i="35"/>
  <c r="H514" i="35"/>
  <c r="Q514" i="35" s="1"/>
  <c r="AC514" i="35" s="1"/>
  <c r="I514" i="35"/>
  <c r="J514" i="35"/>
  <c r="K514" i="35"/>
  <c r="L514" i="35"/>
  <c r="A515" i="35"/>
  <c r="B515" i="35"/>
  <c r="C515" i="35"/>
  <c r="D515" i="35"/>
  <c r="E515" i="35"/>
  <c r="F515" i="35"/>
  <c r="G515" i="35"/>
  <c r="H515" i="35"/>
  <c r="Q515" i="35" s="1"/>
  <c r="AC515" i="35" s="1"/>
  <c r="I515" i="35"/>
  <c r="J515" i="35"/>
  <c r="K515" i="35"/>
  <c r="L515" i="35"/>
  <c r="S515" i="35" s="1"/>
  <c r="A516" i="35"/>
  <c r="B516" i="35"/>
  <c r="C516" i="35"/>
  <c r="D516" i="35"/>
  <c r="E516" i="35"/>
  <c r="F516" i="35"/>
  <c r="G516" i="35"/>
  <c r="H516" i="35"/>
  <c r="Q516" i="35" s="1"/>
  <c r="AC516" i="35" s="1"/>
  <c r="I516" i="35"/>
  <c r="J516" i="35"/>
  <c r="K516" i="35"/>
  <c r="L516" i="35"/>
  <c r="A517" i="35"/>
  <c r="B517" i="35"/>
  <c r="C517" i="35"/>
  <c r="D517" i="35"/>
  <c r="E517" i="35"/>
  <c r="F517" i="35"/>
  <c r="G517" i="35"/>
  <c r="H517" i="35"/>
  <c r="Q517" i="35" s="1"/>
  <c r="AC517" i="35" s="1"/>
  <c r="I517" i="35"/>
  <c r="J517" i="35"/>
  <c r="K517" i="35"/>
  <c r="L517" i="35"/>
  <c r="S517" i="35" s="1"/>
  <c r="A518" i="35"/>
  <c r="B518" i="35"/>
  <c r="C518" i="35"/>
  <c r="D518" i="35"/>
  <c r="E518" i="35"/>
  <c r="F518" i="35"/>
  <c r="G518" i="35"/>
  <c r="H518" i="35"/>
  <c r="Q518" i="35" s="1"/>
  <c r="AC518" i="35" s="1"/>
  <c r="I518" i="35"/>
  <c r="J518" i="35"/>
  <c r="K518" i="35"/>
  <c r="L518" i="35"/>
  <c r="A519" i="35"/>
  <c r="B519" i="35"/>
  <c r="C519" i="35"/>
  <c r="D519" i="35"/>
  <c r="E519" i="35"/>
  <c r="F519" i="35"/>
  <c r="G519" i="35"/>
  <c r="H519" i="35"/>
  <c r="Q519" i="35" s="1"/>
  <c r="AC519" i="35" s="1"/>
  <c r="I519" i="35"/>
  <c r="J519" i="35"/>
  <c r="K519" i="35"/>
  <c r="L519" i="35"/>
  <c r="S519" i="35" s="1"/>
  <c r="A520" i="35"/>
  <c r="B520" i="35"/>
  <c r="C520" i="35"/>
  <c r="D520" i="35"/>
  <c r="E520" i="35"/>
  <c r="F520" i="35"/>
  <c r="G520" i="35"/>
  <c r="H520" i="35"/>
  <c r="Q520" i="35" s="1"/>
  <c r="AC520" i="35" s="1"/>
  <c r="I520" i="35"/>
  <c r="J520" i="35"/>
  <c r="K520" i="35"/>
  <c r="L520" i="35"/>
  <c r="A521" i="35"/>
  <c r="B521" i="35"/>
  <c r="C521" i="35"/>
  <c r="D521" i="35"/>
  <c r="E521" i="35"/>
  <c r="F521" i="35"/>
  <c r="G521" i="35"/>
  <c r="H521" i="35"/>
  <c r="Q521" i="35" s="1"/>
  <c r="AC521" i="35" s="1"/>
  <c r="I521" i="35"/>
  <c r="J521" i="35"/>
  <c r="K521" i="35"/>
  <c r="L521" i="35"/>
  <c r="S521" i="35" s="1"/>
  <c r="A522" i="35"/>
  <c r="B522" i="35"/>
  <c r="C522" i="35"/>
  <c r="D522" i="35"/>
  <c r="E522" i="35"/>
  <c r="F522" i="35"/>
  <c r="G522" i="35"/>
  <c r="H522" i="35"/>
  <c r="Q522" i="35" s="1"/>
  <c r="AC522" i="35" s="1"/>
  <c r="I522" i="35"/>
  <c r="J522" i="35"/>
  <c r="K522" i="35"/>
  <c r="L522" i="35"/>
  <c r="A523" i="35"/>
  <c r="B523" i="35"/>
  <c r="C523" i="35"/>
  <c r="D523" i="35"/>
  <c r="E523" i="35"/>
  <c r="F523" i="35"/>
  <c r="G523" i="35"/>
  <c r="H523" i="35"/>
  <c r="Q523" i="35" s="1"/>
  <c r="AC523" i="35" s="1"/>
  <c r="I523" i="35"/>
  <c r="J523" i="35"/>
  <c r="K523" i="35"/>
  <c r="L523" i="35"/>
  <c r="S523" i="35" s="1"/>
  <c r="A524" i="35"/>
  <c r="B524" i="35"/>
  <c r="C524" i="35"/>
  <c r="D524" i="35"/>
  <c r="E524" i="35"/>
  <c r="F524" i="35"/>
  <c r="G524" i="35"/>
  <c r="H524" i="35"/>
  <c r="Q524" i="35" s="1"/>
  <c r="AC524" i="35" s="1"/>
  <c r="I524" i="35"/>
  <c r="J524" i="35"/>
  <c r="K524" i="35"/>
  <c r="L524" i="35"/>
  <c r="A525" i="35"/>
  <c r="B525" i="35"/>
  <c r="C525" i="35"/>
  <c r="D525" i="35"/>
  <c r="E525" i="35"/>
  <c r="F525" i="35"/>
  <c r="G525" i="35"/>
  <c r="H525" i="35"/>
  <c r="Q525" i="35" s="1"/>
  <c r="AC525" i="35" s="1"/>
  <c r="I525" i="35"/>
  <c r="J525" i="35"/>
  <c r="K525" i="35"/>
  <c r="L525" i="35"/>
  <c r="S525" i="35" s="1"/>
  <c r="A526" i="35"/>
  <c r="B526" i="35"/>
  <c r="C526" i="35"/>
  <c r="D526" i="35"/>
  <c r="E526" i="35"/>
  <c r="F526" i="35"/>
  <c r="G526" i="35"/>
  <c r="H526" i="35"/>
  <c r="Q526" i="35" s="1"/>
  <c r="AC526" i="35" s="1"/>
  <c r="I526" i="35"/>
  <c r="J526" i="35"/>
  <c r="K526" i="35"/>
  <c r="L526" i="35"/>
  <c r="A527" i="35"/>
  <c r="B527" i="35"/>
  <c r="C527" i="35"/>
  <c r="D527" i="35"/>
  <c r="E527" i="35"/>
  <c r="F527" i="35"/>
  <c r="G527" i="35"/>
  <c r="H527" i="35"/>
  <c r="Q527" i="35" s="1"/>
  <c r="AC527" i="35" s="1"/>
  <c r="I527" i="35"/>
  <c r="J527" i="35"/>
  <c r="K527" i="35"/>
  <c r="L527" i="35"/>
  <c r="S527" i="35" s="1"/>
  <c r="A528" i="35"/>
  <c r="B528" i="35"/>
  <c r="C528" i="35"/>
  <c r="D528" i="35"/>
  <c r="E528" i="35"/>
  <c r="F528" i="35"/>
  <c r="G528" i="35"/>
  <c r="H528" i="35"/>
  <c r="Q528" i="35" s="1"/>
  <c r="AC528" i="35" s="1"/>
  <c r="I528" i="35"/>
  <c r="J528" i="35"/>
  <c r="K528" i="35"/>
  <c r="L528" i="35"/>
  <c r="A529" i="35"/>
  <c r="B529" i="35"/>
  <c r="C529" i="35"/>
  <c r="D529" i="35"/>
  <c r="E529" i="35"/>
  <c r="F529" i="35"/>
  <c r="G529" i="35"/>
  <c r="H529" i="35"/>
  <c r="Q529" i="35" s="1"/>
  <c r="AC529" i="35" s="1"/>
  <c r="I529" i="35"/>
  <c r="J529" i="35"/>
  <c r="K529" i="35"/>
  <c r="L529" i="35"/>
  <c r="S529" i="35" s="1"/>
  <c r="A530" i="35"/>
  <c r="B530" i="35"/>
  <c r="C530" i="35"/>
  <c r="D530" i="35"/>
  <c r="E530" i="35"/>
  <c r="F530" i="35"/>
  <c r="G530" i="35"/>
  <c r="H530" i="35"/>
  <c r="Q530" i="35" s="1"/>
  <c r="AC530" i="35" s="1"/>
  <c r="I530" i="35"/>
  <c r="J530" i="35"/>
  <c r="K530" i="35"/>
  <c r="L530" i="35"/>
  <c r="A531" i="35"/>
  <c r="B531" i="35"/>
  <c r="C531" i="35"/>
  <c r="D531" i="35"/>
  <c r="E531" i="35"/>
  <c r="F531" i="35"/>
  <c r="G531" i="35"/>
  <c r="H531" i="35"/>
  <c r="Q531" i="35" s="1"/>
  <c r="AC531" i="35" s="1"/>
  <c r="I531" i="35"/>
  <c r="J531" i="35"/>
  <c r="K531" i="35"/>
  <c r="L531" i="35"/>
  <c r="S531" i="35" s="1"/>
  <c r="A532" i="35"/>
  <c r="B532" i="35"/>
  <c r="C532" i="35"/>
  <c r="D532" i="35"/>
  <c r="E532" i="35"/>
  <c r="F532" i="35"/>
  <c r="G532" i="35"/>
  <c r="H532" i="35"/>
  <c r="Q532" i="35" s="1"/>
  <c r="AC532" i="35" s="1"/>
  <c r="I532" i="35"/>
  <c r="J532" i="35"/>
  <c r="K532" i="35"/>
  <c r="L532" i="35"/>
  <c r="A533" i="35"/>
  <c r="B533" i="35"/>
  <c r="C533" i="35"/>
  <c r="D533" i="35"/>
  <c r="E533" i="35"/>
  <c r="F533" i="35"/>
  <c r="G533" i="35"/>
  <c r="H533" i="35"/>
  <c r="Q533" i="35" s="1"/>
  <c r="AC533" i="35" s="1"/>
  <c r="I533" i="35"/>
  <c r="J533" i="35"/>
  <c r="K533" i="35"/>
  <c r="L533" i="35"/>
  <c r="S533" i="35" s="1"/>
  <c r="A534" i="35"/>
  <c r="B534" i="35"/>
  <c r="C534" i="35"/>
  <c r="D534" i="35"/>
  <c r="E534" i="35"/>
  <c r="F534" i="35"/>
  <c r="G534" i="35"/>
  <c r="H534" i="35"/>
  <c r="Q534" i="35" s="1"/>
  <c r="AC534" i="35" s="1"/>
  <c r="I534" i="35"/>
  <c r="J534" i="35"/>
  <c r="K534" i="35"/>
  <c r="L534" i="35"/>
  <c r="A535" i="35"/>
  <c r="B535" i="35"/>
  <c r="C535" i="35"/>
  <c r="D535" i="35"/>
  <c r="E535" i="35"/>
  <c r="F535" i="35"/>
  <c r="G535" i="35"/>
  <c r="H535" i="35"/>
  <c r="Q535" i="35" s="1"/>
  <c r="AC535" i="35" s="1"/>
  <c r="I535" i="35"/>
  <c r="J535" i="35"/>
  <c r="K535" i="35"/>
  <c r="L535" i="35"/>
  <c r="S535" i="35" s="1"/>
  <c r="A536" i="35"/>
  <c r="B536" i="35"/>
  <c r="C536" i="35"/>
  <c r="D536" i="35"/>
  <c r="E536" i="35"/>
  <c r="F536" i="35"/>
  <c r="G536" i="35"/>
  <c r="H536" i="35"/>
  <c r="Q536" i="35" s="1"/>
  <c r="AC536" i="35" s="1"/>
  <c r="I536" i="35"/>
  <c r="J536" i="35"/>
  <c r="K536" i="35"/>
  <c r="L536" i="35"/>
  <c r="A537" i="35"/>
  <c r="B537" i="35"/>
  <c r="C537" i="35"/>
  <c r="D537" i="35"/>
  <c r="E537" i="35"/>
  <c r="F537" i="35"/>
  <c r="G537" i="35"/>
  <c r="H537" i="35"/>
  <c r="Q537" i="35" s="1"/>
  <c r="AC537" i="35" s="1"/>
  <c r="I537" i="35"/>
  <c r="J537" i="35"/>
  <c r="K537" i="35"/>
  <c r="L537" i="35"/>
  <c r="S537" i="35" s="1"/>
  <c r="A538" i="35"/>
  <c r="B538" i="35"/>
  <c r="C538" i="35"/>
  <c r="D538" i="35"/>
  <c r="E538" i="35"/>
  <c r="F538" i="35"/>
  <c r="G538" i="35"/>
  <c r="H538" i="35"/>
  <c r="Q538" i="35" s="1"/>
  <c r="AC538" i="35" s="1"/>
  <c r="I538" i="35"/>
  <c r="J538" i="35"/>
  <c r="K538" i="35"/>
  <c r="L538" i="35"/>
  <c r="A539" i="35"/>
  <c r="B539" i="35"/>
  <c r="C539" i="35"/>
  <c r="D539" i="35"/>
  <c r="E539" i="35"/>
  <c r="F539" i="35"/>
  <c r="G539" i="35"/>
  <c r="H539" i="35"/>
  <c r="Q539" i="35" s="1"/>
  <c r="AC539" i="35" s="1"/>
  <c r="I539" i="35"/>
  <c r="J539" i="35"/>
  <c r="K539" i="35"/>
  <c r="L539" i="35"/>
  <c r="S539" i="35" s="1"/>
  <c r="A540" i="35"/>
  <c r="B540" i="35"/>
  <c r="C540" i="35"/>
  <c r="D540" i="35"/>
  <c r="E540" i="35"/>
  <c r="F540" i="35"/>
  <c r="G540" i="35"/>
  <c r="H540" i="35"/>
  <c r="Q540" i="35" s="1"/>
  <c r="AC540" i="35" s="1"/>
  <c r="I540" i="35"/>
  <c r="J540" i="35"/>
  <c r="K540" i="35"/>
  <c r="L540" i="35"/>
  <c r="A541" i="35"/>
  <c r="B541" i="35"/>
  <c r="C541" i="35"/>
  <c r="D541" i="35"/>
  <c r="E541" i="35"/>
  <c r="F541" i="35"/>
  <c r="G541" i="35"/>
  <c r="H541" i="35"/>
  <c r="Q541" i="35" s="1"/>
  <c r="AC541" i="35" s="1"/>
  <c r="I541" i="35"/>
  <c r="J541" i="35"/>
  <c r="K541" i="35"/>
  <c r="L541" i="35"/>
  <c r="S541" i="35" s="1"/>
  <c r="A542" i="35"/>
  <c r="B542" i="35"/>
  <c r="C542" i="35"/>
  <c r="D542" i="35"/>
  <c r="E542" i="35"/>
  <c r="F542" i="35"/>
  <c r="G542" i="35"/>
  <c r="H542" i="35"/>
  <c r="Q542" i="35" s="1"/>
  <c r="AC542" i="35" s="1"/>
  <c r="I542" i="35"/>
  <c r="J542" i="35"/>
  <c r="K542" i="35"/>
  <c r="L542" i="35"/>
  <c r="A543" i="35"/>
  <c r="B543" i="35"/>
  <c r="C543" i="35"/>
  <c r="D543" i="35"/>
  <c r="E543" i="35"/>
  <c r="F543" i="35"/>
  <c r="G543" i="35"/>
  <c r="H543" i="35"/>
  <c r="Q543" i="35" s="1"/>
  <c r="AC543" i="35" s="1"/>
  <c r="I543" i="35"/>
  <c r="J543" i="35"/>
  <c r="K543" i="35"/>
  <c r="L543" i="35"/>
  <c r="S543" i="35" s="1"/>
  <c r="A544" i="35"/>
  <c r="B544" i="35"/>
  <c r="C544" i="35"/>
  <c r="D544" i="35"/>
  <c r="E544" i="35"/>
  <c r="F544" i="35"/>
  <c r="G544" i="35"/>
  <c r="H544" i="35"/>
  <c r="Q544" i="35" s="1"/>
  <c r="AC544" i="35" s="1"/>
  <c r="I544" i="35"/>
  <c r="J544" i="35"/>
  <c r="K544" i="35"/>
  <c r="L544" i="35"/>
  <c r="A545" i="35"/>
  <c r="B545" i="35"/>
  <c r="C545" i="35"/>
  <c r="D545" i="35"/>
  <c r="E545" i="35"/>
  <c r="F545" i="35"/>
  <c r="G545" i="35"/>
  <c r="H545" i="35"/>
  <c r="Q545" i="35" s="1"/>
  <c r="AC545" i="35" s="1"/>
  <c r="I545" i="35"/>
  <c r="J545" i="35"/>
  <c r="K545" i="35"/>
  <c r="L545" i="35"/>
  <c r="S545" i="35" s="1"/>
  <c r="A546" i="35"/>
  <c r="B546" i="35"/>
  <c r="C546" i="35"/>
  <c r="D546" i="35"/>
  <c r="E546" i="35"/>
  <c r="F546" i="35"/>
  <c r="G546" i="35"/>
  <c r="H546" i="35"/>
  <c r="Q546" i="35" s="1"/>
  <c r="AC546" i="35" s="1"/>
  <c r="I546" i="35"/>
  <c r="J546" i="35"/>
  <c r="K546" i="35"/>
  <c r="L546" i="35"/>
  <c r="A547" i="35"/>
  <c r="B547" i="35"/>
  <c r="C547" i="35"/>
  <c r="D547" i="35"/>
  <c r="E547" i="35"/>
  <c r="F547" i="35"/>
  <c r="G547" i="35"/>
  <c r="H547" i="35"/>
  <c r="Q547" i="35" s="1"/>
  <c r="AC547" i="35" s="1"/>
  <c r="I547" i="35"/>
  <c r="J547" i="35"/>
  <c r="K547" i="35"/>
  <c r="L547" i="35"/>
  <c r="S547" i="35" s="1"/>
  <c r="A548" i="35"/>
  <c r="B548" i="35"/>
  <c r="C548" i="35"/>
  <c r="D548" i="35"/>
  <c r="E548" i="35"/>
  <c r="F548" i="35"/>
  <c r="G548" i="35"/>
  <c r="H548" i="35"/>
  <c r="Q548" i="35" s="1"/>
  <c r="AC548" i="35" s="1"/>
  <c r="I548" i="35"/>
  <c r="J548" i="35"/>
  <c r="K548" i="35"/>
  <c r="L548" i="35"/>
  <c r="A549" i="35"/>
  <c r="B549" i="35"/>
  <c r="C549" i="35"/>
  <c r="D549" i="35"/>
  <c r="E549" i="35"/>
  <c r="F549" i="35"/>
  <c r="G549" i="35"/>
  <c r="H549" i="35"/>
  <c r="Q549" i="35" s="1"/>
  <c r="AC549" i="35" s="1"/>
  <c r="I549" i="35"/>
  <c r="J549" i="35"/>
  <c r="K549" i="35"/>
  <c r="L549" i="35"/>
  <c r="S549" i="35" s="1"/>
  <c r="A550" i="35"/>
  <c r="B550" i="35"/>
  <c r="C550" i="35"/>
  <c r="D550" i="35"/>
  <c r="E550" i="35"/>
  <c r="F550" i="35"/>
  <c r="G550" i="35"/>
  <c r="H550" i="35"/>
  <c r="Q550" i="35" s="1"/>
  <c r="AC550" i="35" s="1"/>
  <c r="I550" i="35"/>
  <c r="J550" i="35"/>
  <c r="K550" i="35"/>
  <c r="L550" i="35"/>
  <c r="A551" i="35"/>
  <c r="B551" i="35"/>
  <c r="C551" i="35"/>
  <c r="D551" i="35"/>
  <c r="E551" i="35"/>
  <c r="F551" i="35"/>
  <c r="G551" i="35"/>
  <c r="H551" i="35"/>
  <c r="Q551" i="35" s="1"/>
  <c r="AC551" i="35" s="1"/>
  <c r="I551" i="35"/>
  <c r="J551" i="35"/>
  <c r="K551" i="35"/>
  <c r="L551" i="35"/>
  <c r="S551" i="35" s="1"/>
  <c r="A552" i="35"/>
  <c r="B552" i="35"/>
  <c r="C552" i="35"/>
  <c r="D552" i="35"/>
  <c r="E552" i="35"/>
  <c r="F552" i="35"/>
  <c r="G552" i="35"/>
  <c r="H552" i="35"/>
  <c r="Q552" i="35" s="1"/>
  <c r="AC552" i="35" s="1"/>
  <c r="I552" i="35"/>
  <c r="J552" i="35"/>
  <c r="K552" i="35"/>
  <c r="L552" i="35"/>
  <c r="A553" i="35"/>
  <c r="B553" i="35"/>
  <c r="C553" i="35"/>
  <c r="D553" i="35"/>
  <c r="E553" i="35"/>
  <c r="F553" i="35"/>
  <c r="G553" i="35"/>
  <c r="H553" i="35"/>
  <c r="Q553" i="35" s="1"/>
  <c r="AC553" i="35" s="1"/>
  <c r="I553" i="35"/>
  <c r="J553" i="35"/>
  <c r="K553" i="35"/>
  <c r="L553" i="35"/>
  <c r="S553" i="35" s="1"/>
  <c r="A554" i="35"/>
  <c r="B554" i="35"/>
  <c r="N554" i="35" s="1"/>
  <c r="O554" i="35" s="1"/>
  <c r="C554" i="35"/>
  <c r="D554" i="35"/>
  <c r="E554" i="35"/>
  <c r="F554" i="35"/>
  <c r="G554" i="35"/>
  <c r="H554" i="35"/>
  <c r="Q554" i="35" s="1"/>
  <c r="AC554" i="35" s="1"/>
  <c r="I554" i="35"/>
  <c r="J554" i="35"/>
  <c r="K554" i="35"/>
  <c r="L554" i="35"/>
  <c r="A555" i="35"/>
  <c r="B555" i="35"/>
  <c r="C555" i="35"/>
  <c r="D555" i="35"/>
  <c r="E555" i="35"/>
  <c r="F555" i="35"/>
  <c r="G555" i="35"/>
  <c r="H555" i="35"/>
  <c r="Q555" i="35" s="1"/>
  <c r="AC555" i="35" s="1"/>
  <c r="I555" i="35"/>
  <c r="J555" i="35"/>
  <c r="K555" i="35"/>
  <c r="L555" i="35"/>
  <c r="S555" i="35" s="1"/>
  <c r="A556" i="35"/>
  <c r="B556" i="35"/>
  <c r="N556" i="35" s="1"/>
  <c r="O556" i="35" s="1"/>
  <c r="C556" i="35"/>
  <c r="D556" i="35"/>
  <c r="E556" i="35"/>
  <c r="F556" i="35"/>
  <c r="G556" i="35"/>
  <c r="H556" i="35"/>
  <c r="Q556" i="35" s="1"/>
  <c r="AC556" i="35" s="1"/>
  <c r="I556" i="35"/>
  <c r="J556" i="35"/>
  <c r="K556" i="35"/>
  <c r="L556" i="35"/>
  <c r="A557" i="35"/>
  <c r="B557" i="35"/>
  <c r="C557" i="35"/>
  <c r="D557" i="35"/>
  <c r="E557" i="35"/>
  <c r="F557" i="35"/>
  <c r="G557" i="35"/>
  <c r="H557" i="35"/>
  <c r="Q557" i="35" s="1"/>
  <c r="AC557" i="35" s="1"/>
  <c r="I557" i="35"/>
  <c r="J557" i="35"/>
  <c r="K557" i="35"/>
  <c r="L557" i="35"/>
  <c r="S557" i="35" s="1"/>
  <c r="A558" i="35"/>
  <c r="B558" i="35"/>
  <c r="N558" i="35" s="1"/>
  <c r="O558" i="35" s="1"/>
  <c r="C558" i="35"/>
  <c r="D558" i="35"/>
  <c r="E558" i="35"/>
  <c r="F558" i="35"/>
  <c r="G558" i="35"/>
  <c r="H558" i="35"/>
  <c r="Q558" i="35" s="1"/>
  <c r="AC558" i="35" s="1"/>
  <c r="I558" i="35"/>
  <c r="J558" i="35"/>
  <c r="K558" i="35"/>
  <c r="L558" i="35"/>
  <c r="A559" i="35"/>
  <c r="B559" i="35"/>
  <c r="C559" i="35"/>
  <c r="D559" i="35"/>
  <c r="E559" i="35"/>
  <c r="F559" i="35"/>
  <c r="G559" i="35"/>
  <c r="H559" i="35"/>
  <c r="Q559" i="35" s="1"/>
  <c r="AC559" i="35" s="1"/>
  <c r="I559" i="35"/>
  <c r="J559" i="35"/>
  <c r="K559" i="35"/>
  <c r="L559" i="35"/>
  <c r="S559" i="35" s="1"/>
  <c r="A560" i="35"/>
  <c r="B560" i="35"/>
  <c r="N560" i="35" s="1"/>
  <c r="O560" i="35" s="1"/>
  <c r="C560" i="35"/>
  <c r="D560" i="35"/>
  <c r="E560" i="35"/>
  <c r="F560" i="35"/>
  <c r="G560" i="35"/>
  <c r="H560" i="35"/>
  <c r="Q560" i="35" s="1"/>
  <c r="AC560" i="35" s="1"/>
  <c r="I560" i="35"/>
  <c r="J560" i="35"/>
  <c r="K560" i="35"/>
  <c r="L560" i="35"/>
  <c r="A561" i="35"/>
  <c r="B561" i="35"/>
  <c r="C561" i="35"/>
  <c r="D561" i="35"/>
  <c r="E561" i="35"/>
  <c r="F561" i="35"/>
  <c r="G561" i="35"/>
  <c r="H561" i="35"/>
  <c r="Q561" i="35" s="1"/>
  <c r="AC561" i="35" s="1"/>
  <c r="I561" i="35"/>
  <c r="J561" i="35"/>
  <c r="K561" i="35"/>
  <c r="L561" i="35"/>
  <c r="S561" i="35" s="1"/>
  <c r="A562" i="35"/>
  <c r="B562" i="35"/>
  <c r="C562" i="35"/>
  <c r="D562" i="35"/>
  <c r="E562" i="35"/>
  <c r="F562" i="35"/>
  <c r="G562" i="35"/>
  <c r="H562" i="35"/>
  <c r="Q562" i="35" s="1"/>
  <c r="AC562" i="35" s="1"/>
  <c r="I562" i="35"/>
  <c r="J562" i="35"/>
  <c r="K562" i="35"/>
  <c r="L562" i="35"/>
  <c r="A563" i="35"/>
  <c r="B563" i="35"/>
  <c r="C563" i="35"/>
  <c r="D563" i="35"/>
  <c r="E563" i="35"/>
  <c r="F563" i="35"/>
  <c r="G563" i="35"/>
  <c r="H563" i="35"/>
  <c r="Q563" i="35" s="1"/>
  <c r="AC563" i="35" s="1"/>
  <c r="I563" i="35"/>
  <c r="J563" i="35"/>
  <c r="K563" i="35"/>
  <c r="L563" i="35"/>
  <c r="S563" i="35" s="1"/>
  <c r="A564" i="35"/>
  <c r="B564" i="35"/>
  <c r="C564" i="35"/>
  <c r="D564" i="35"/>
  <c r="E564" i="35"/>
  <c r="F564" i="35"/>
  <c r="G564" i="35"/>
  <c r="H564" i="35"/>
  <c r="Q564" i="35" s="1"/>
  <c r="AC564" i="35" s="1"/>
  <c r="I564" i="35"/>
  <c r="J564" i="35"/>
  <c r="K564" i="35"/>
  <c r="L564" i="35"/>
  <c r="A565" i="35"/>
  <c r="B565" i="35"/>
  <c r="C565" i="35"/>
  <c r="D565" i="35"/>
  <c r="E565" i="35"/>
  <c r="F565" i="35"/>
  <c r="G565" i="35"/>
  <c r="H565" i="35"/>
  <c r="Q565" i="35" s="1"/>
  <c r="AC565" i="35" s="1"/>
  <c r="I565" i="35"/>
  <c r="J565" i="35"/>
  <c r="K565" i="35"/>
  <c r="L565" i="35"/>
  <c r="S565" i="35" s="1"/>
  <c r="A566" i="35"/>
  <c r="B566" i="35"/>
  <c r="C566" i="35"/>
  <c r="D566" i="35"/>
  <c r="E566" i="35"/>
  <c r="F566" i="35"/>
  <c r="G566" i="35"/>
  <c r="H566" i="35"/>
  <c r="Q566" i="35" s="1"/>
  <c r="AC566" i="35" s="1"/>
  <c r="I566" i="35"/>
  <c r="J566" i="35"/>
  <c r="K566" i="35"/>
  <c r="L566" i="35"/>
  <c r="A567" i="35"/>
  <c r="B567" i="35"/>
  <c r="C567" i="35"/>
  <c r="D567" i="35"/>
  <c r="E567" i="35"/>
  <c r="F567" i="35"/>
  <c r="G567" i="35"/>
  <c r="H567" i="35"/>
  <c r="Q567" i="35" s="1"/>
  <c r="AC567" i="35" s="1"/>
  <c r="I567" i="35"/>
  <c r="J567" i="35"/>
  <c r="K567" i="35"/>
  <c r="L567" i="35"/>
  <c r="S567" i="35" s="1"/>
  <c r="A568" i="35"/>
  <c r="B568" i="35"/>
  <c r="C568" i="35"/>
  <c r="D568" i="35"/>
  <c r="E568" i="35"/>
  <c r="F568" i="35"/>
  <c r="G568" i="35"/>
  <c r="H568" i="35"/>
  <c r="Q568" i="35" s="1"/>
  <c r="AC568" i="35" s="1"/>
  <c r="I568" i="35"/>
  <c r="J568" i="35"/>
  <c r="K568" i="35"/>
  <c r="L568" i="35"/>
  <c r="A569" i="35"/>
  <c r="B569" i="35"/>
  <c r="C569" i="35"/>
  <c r="D569" i="35"/>
  <c r="E569" i="35"/>
  <c r="F569" i="35"/>
  <c r="G569" i="35"/>
  <c r="H569" i="35"/>
  <c r="Q569" i="35" s="1"/>
  <c r="AC569" i="35" s="1"/>
  <c r="I569" i="35"/>
  <c r="J569" i="35"/>
  <c r="K569" i="35"/>
  <c r="L569" i="35"/>
  <c r="S569" i="35" s="1"/>
  <c r="A570" i="35"/>
  <c r="B570" i="35"/>
  <c r="C570" i="35"/>
  <c r="D570" i="35"/>
  <c r="E570" i="35"/>
  <c r="F570" i="35"/>
  <c r="G570" i="35"/>
  <c r="H570" i="35"/>
  <c r="Q570" i="35" s="1"/>
  <c r="AC570" i="35" s="1"/>
  <c r="I570" i="35"/>
  <c r="J570" i="35"/>
  <c r="K570" i="35"/>
  <c r="L570" i="35"/>
  <c r="A571" i="35"/>
  <c r="B571" i="35"/>
  <c r="C571" i="35"/>
  <c r="D571" i="35"/>
  <c r="E571" i="35"/>
  <c r="F571" i="35"/>
  <c r="G571" i="35"/>
  <c r="H571" i="35"/>
  <c r="Q571" i="35" s="1"/>
  <c r="AC571" i="35" s="1"/>
  <c r="I571" i="35"/>
  <c r="J571" i="35"/>
  <c r="K571" i="35"/>
  <c r="L571" i="35"/>
  <c r="S571" i="35" s="1"/>
  <c r="A572" i="35"/>
  <c r="B572" i="35"/>
  <c r="C572" i="35"/>
  <c r="D572" i="35"/>
  <c r="E572" i="35"/>
  <c r="F572" i="35"/>
  <c r="G572" i="35"/>
  <c r="H572" i="35"/>
  <c r="Q572" i="35" s="1"/>
  <c r="AC572" i="35" s="1"/>
  <c r="I572" i="35"/>
  <c r="J572" i="35"/>
  <c r="K572" i="35"/>
  <c r="L572" i="35"/>
  <c r="A573" i="35"/>
  <c r="B573" i="35"/>
  <c r="C573" i="35"/>
  <c r="D573" i="35"/>
  <c r="E573" i="35"/>
  <c r="F573" i="35"/>
  <c r="G573" i="35"/>
  <c r="H573" i="35"/>
  <c r="Q573" i="35" s="1"/>
  <c r="AC573" i="35" s="1"/>
  <c r="I573" i="35"/>
  <c r="J573" i="35"/>
  <c r="K573" i="35"/>
  <c r="L573" i="35"/>
  <c r="S573" i="35" s="1"/>
  <c r="A574" i="35"/>
  <c r="B574" i="35"/>
  <c r="C574" i="35"/>
  <c r="D574" i="35"/>
  <c r="E574" i="35"/>
  <c r="F574" i="35"/>
  <c r="G574" i="35"/>
  <c r="H574" i="35"/>
  <c r="Q574" i="35" s="1"/>
  <c r="AC574" i="35" s="1"/>
  <c r="I574" i="35"/>
  <c r="J574" i="35"/>
  <c r="K574" i="35"/>
  <c r="L574" i="35"/>
  <c r="A575" i="35"/>
  <c r="B575" i="35"/>
  <c r="C575" i="35"/>
  <c r="D575" i="35"/>
  <c r="E575" i="35"/>
  <c r="F575" i="35"/>
  <c r="G575" i="35"/>
  <c r="H575" i="35"/>
  <c r="Q575" i="35" s="1"/>
  <c r="AC575" i="35" s="1"/>
  <c r="I575" i="35"/>
  <c r="J575" i="35"/>
  <c r="K575" i="35"/>
  <c r="L575" i="35"/>
  <c r="S575" i="35" s="1"/>
  <c r="A576" i="35"/>
  <c r="B576" i="35"/>
  <c r="C576" i="35"/>
  <c r="D576" i="35"/>
  <c r="E576" i="35"/>
  <c r="F576" i="35"/>
  <c r="G576" i="35"/>
  <c r="H576" i="35"/>
  <c r="Q576" i="35" s="1"/>
  <c r="AC576" i="35" s="1"/>
  <c r="I576" i="35"/>
  <c r="J576" i="35"/>
  <c r="K576" i="35"/>
  <c r="L576" i="35"/>
  <c r="A577" i="35"/>
  <c r="B577" i="35"/>
  <c r="C577" i="35"/>
  <c r="D577" i="35"/>
  <c r="E577" i="35"/>
  <c r="F577" i="35"/>
  <c r="G577" i="35"/>
  <c r="H577" i="35"/>
  <c r="Q577" i="35" s="1"/>
  <c r="AC577" i="35" s="1"/>
  <c r="I577" i="35"/>
  <c r="J577" i="35"/>
  <c r="K577" i="35"/>
  <c r="L577" i="35"/>
  <c r="S577" i="35" s="1"/>
  <c r="A578" i="35"/>
  <c r="B578" i="35"/>
  <c r="C578" i="35"/>
  <c r="D578" i="35"/>
  <c r="E578" i="35"/>
  <c r="F578" i="35"/>
  <c r="G578" i="35"/>
  <c r="H578" i="35"/>
  <c r="Q578" i="35" s="1"/>
  <c r="AC578" i="35" s="1"/>
  <c r="I578" i="35"/>
  <c r="J578" i="35"/>
  <c r="K578" i="35"/>
  <c r="L578" i="35"/>
  <c r="A579" i="35"/>
  <c r="B579" i="35"/>
  <c r="C579" i="35"/>
  <c r="D579" i="35"/>
  <c r="E579" i="35"/>
  <c r="F579" i="35"/>
  <c r="G579" i="35"/>
  <c r="H579" i="35"/>
  <c r="Q579" i="35" s="1"/>
  <c r="AC579" i="35" s="1"/>
  <c r="I579" i="35"/>
  <c r="J579" i="35"/>
  <c r="K579" i="35"/>
  <c r="L579" i="35"/>
  <c r="S579" i="35" s="1"/>
  <c r="A580" i="35"/>
  <c r="B580" i="35"/>
  <c r="C580" i="35"/>
  <c r="D580" i="35"/>
  <c r="E580" i="35"/>
  <c r="F580" i="35"/>
  <c r="G580" i="35"/>
  <c r="H580" i="35"/>
  <c r="Q580" i="35" s="1"/>
  <c r="AC580" i="35" s="1"/>
  <c r="I580" i="35"/>
  <c r="J580" i="35"/>
  <c r="K580" i="35"/>
  <c r="L580" i="35"/>
  <c r="A581" i="35"/>
  <c r="B581" i="35"/>
  <c r="C581" i="35"/>
  <c r="D581" i="35"/>
  <c r="E581" i="35"/>
  <c r="F581" i="35"/>
  <c r="G581" i="35"/>
  <c r="H581" i="35"/>
  <c r="Q581" i="35" s="1"/>
  <c r="AC581" i="35" s="1"/>
  <c r="I581" i="35"/>
  <c r="J581" i="35"/>
  <c r="K581" i="35"/>
  <c r="L581" i="35"/>
  <c r="S581" i="35" s="1"/>
  <c r="A582" i="35"/>
  <c r="B582" i="35"/>
  <c r="C582" i="35"/>
  <c r="D582" i="35"/>
  <c r="E582" i="35"/>
  <c r="F582" i="35"/>
  <c r="G582" i="35"/>
  <c r="H582" i="35"/>
  <c r="Q582" i="35" s="1"/>
  <c r="AC582" i="35" s="1"/>
  <c r="I582" i="35"/>
  <c r="J582" i="35"/>
  <c r="K582" i="35"/>
  <c r="L582" i="35"/>
  <c r="A583" i="35"/>
  <c r="B583" i="35"/>
  <c r="C583" i="35"/>
  <c r="D583" i="35"/>
  <c r="E583" i="35"/>
  <c r="F583" i="35"/>
  <c r="G583" i="35"/>
  <c r="H583" i="35"/>
  <c r="Q583" i="35" s="1"/>
  <c r="AC583" i="35" s="1"/>
  <c r="I583" i="35"/>
  <c r="J583" i="35"/>
  <c r="K583" i="35"/>
  <c r="L583" i="35"/>
  <c r="S583" i="35" s="1"/>
  <c r="A584" i="35"/>
  <c r="B584" i="35"/>
  <c r="C584" i="35"/>
  <c r="D584" i="35"/>
  <c r="E584" i="35"/>
  <c r="F584" i="35"/>
  <c r="G584" i="35"/>
  <c r="H584" i="35"/>
  <c r="Q584" i="35" s="1"/>
  <c r="AC584" i="35" s="1"/>
  <c r="I584" i="35"/>
  <c r="J584" i="35"/>
  <c r="K584" i="35"/>
  <c r="L584" i="35"/>
  <c r="A585" i="35"/>
  <c r="B585" i="35"/>
  <c r="C585" i="35"/>
  <c r="D585" i="35"/>
  <c r="E585" i="35"/>
  <c r="F585" i="35"/>
  <c r="G585" i="35"/>
  <c r="H585" i="35"/>
  <c r="Q585" i="35" s="1"/>
  <c r="AC585" i="35" s="1"/>
  <c r="I585" i="35"/>
  <c r="J585" i="35"/>
  <c r="K585" i="35"/>
  <c r="L585" i="35"/>
  <c r="S585" i="35" s="1"/>
  <c r="A586" i="35"/>
  <c r="B586" i="35"/>
  <c r="C586" i="35"/>
  <c r="D586" i="35"/>
  <c r="E586" i="35"/>
  <c r="F586" i="35"/>
  <c r="G586" i="35"/>
  <c r="H586" i="35"/>
  <c r="Q586" i="35" s="1"/>
  <c r="AC586" i="35" s="1"/>
  <c r="I586" i="35"/>
  <c r="J586" i="35"/>
  <c r="K586" i="35"/>
  <c r="L586" i="35"/>
  <c r="A587" i="35"/>
  <c r="B587" i="35"/>
  <c r="C587" i="35"/>
  <c r="D587" i="35"/>
  <c r="E587" i="35"/>
  <c r="F587" i="35"/>
  <c r="G587" i="35"/>
  <c r="H587" i="35"/>
  <c r="Q587" i="35" s="1"/>
  <c r="AC587" i="35" s="1"/>
  <c r="I587" i="35"/>
  <c r="J587" i="35"/>
  <c r="K587" i="35"/>
  <c r="L587" i="35"/>
  <c r="S587" i="35" s="1"/>
  <c r="A588" i="35"/>
  <c r="B588" i="35"/>
  <c r="C588" i="35"/>
  <c r="D588" i="35"/>
  <c r="E588" i="35"/>
  <c r="F588" i="35"/>
  <c r="G588" i="35"/>
  <c r="H588" i="35"/>
  <c r="Q588" i="35" s="1"/>
  <c r="AC588" i="35" s="1"/>
  <c r="I588" i="35"/>
  <c r="J588" i="35"/>
  <c r="K588" i="35"/>
  <c r="L588" i="35"/>
  <c r="A589" i="35"/>
  <c r="B589" i="35"/>
  <c r="C589" i="35"/>
  <c r="D589" i="35"/>
  <c r="E589" i="35"/>
  <c r="F589" i="35"/>
  <c r="G589" i="35"/>
  <c r="H589" i="35"/>
  <c r="Q589" i="35" s="1"/>
  <c r="AC589" i="35" s="1"/>
  <c r="I589" i="35"/>
  <c r="J589" i="35"/>
  <c r="K589" i="35"/>
  <c r="L589" i="35"/>
  <c r="S589" i="35" s="1"/>
  <c r="A590" i="35"/>
  <c r="B590" i="35"/>
  <c r="C590" i="35"/>
  <c r="D590" i="35"/>
  <c r="E590" i="35"/>
  <c r="F590" i="35"/>
  <c r="G590" i="35"/>
  <c r="H590" i="35"/>
  <c r="Q590" i="35" s="1"/>
  <c r="AC590" i="35" s="1"/>
  <c r="I590" i="35"/>
  <c r="J590" i="35"/>
  <c r="K590" i="35"/>
  <c r="L590" i="35"/>
  <c r="A591" i="35"/>
  <c r="B591" i="35"/>
  <c r="C591" i="35"/>
  <c r="D591" i="35"/>
  <c r="E591" i="35"/>
  <c r="F591" i="35"/>
  <c r="G591" i="35"/>
  <c r="H591" i="35"/>
  <c r="Q591" i="35" s="1"/>
  <c r="AC591" i="35" s="1"/>
  <c r="I591" i="35"/>
  <c r="J591" i="35"/>
  <c r="K591" i="35"/>
  <c r="L591" i="35"/>
  <c r="S591" i="35" s="1"/>
  <c r="A592" i="35"/>
  <c r="B592" i="35"/>
  <c r="C592" i="35"/>
  <c r="D592" i="35"/>
  <c r="E592" i="35"/>
  <c r="F592" i="35"/>
  <c r="G592" i="35"/>
  <c r="H592" i="35"/>
  <c r="Q592" i="35" s="1"/>
  <c r="AC592" i="35" s="1"/>
  <c r="I592" i="35"/>
  <c r="J592" i="35"/>
  <c r="K592" i="35"/>
  <c r="L592" i="35"/>
  <c r="A593" i="35"/>
  <c r="B593" i="35"/>
  <c r="C593" i="35"/>
  <c r="D593" i="35"/>
  <c r="E593" i="35"/>
  <c r="F593" i="35"/>
  <c r="G593" i="35"/>
  <c r="H593" i="35"/>
  <c r="Q593" i="35" s="1"/>
  <c r="AC593" i="35" s="1"/>
  <c r="I593" i="35"/>
  <c r="J593" i="35"/>
  <c r="K593" i="35"/>
  <c r="L593" i="35"/>
  <c r="S593" i="35" s="1"/>
  <c r="A594" i="35"/>
  <c r="B594" i="35"/>
  <c r="C594" i="35"/>
  <c r="D594" i="35"/>
  <c r="E594" i="35"/>
  <c r="F594" i="35"/>
  <c r="G594" i="35"/>
  <c r="H594" i="35"/>
  <c r="Q594" i="35" s="1"/>
  <c r="AC594" i="35" s="1"/>
  <c r="I594" i="35"/>
  <c r="J594" i="35"/>
  <c r="K594" i="35"/>
  <c r="L594" i="35"/>
  <c r="A595" i="35"/>
  <c r="B595" i="35"/>
  <c r="C595" i="35"/>
  <c r="D595" i="35"/>
  <c r="E595" i="35"/>
  <c r="F595" i="35"/>
  <c r="G595" i="35"/>
  <c r="H595" i="35"/>
  <c r="Q595" i="35" s="1"/>
  <c r="AC595" i="35" s="1"/>
  <c r="I595" i="35"/>
  <c r="J595" i="35"/>
  <c r="K595" i="35"/>
  <c r="L595" i="35"/>
  <c r="S595" i="35" s="1"/>
  <c r="A596" i="35"/>
  <c r="B596" i="35"/>
  <c r="C596" i="35"/>
  <c r="D596" i="35"/>
  <c r="E596" i="35"/>
  <c r="F596" i="35"/>
  <c r="G596" i="35"/>
  <c r="H596" i="35"/>
  <c r="Q596" i="35" s="1"/>
  <c r="AC596" i="35" s="1"/>
  <c r="I596" i="35"/>
  <c r="J596" i="35"/>
  <c r="K596" i="35"/>
  <c r="L596" i="35"/>
  <c r="A597" i="35"/>
  <c r="B597" i="35"/>
  <c r="C597" i="35"/>
  <c r="D597" i="35"/>
  <c r="E597" i="35"/>
  <c r="F597" i="35"/>
  <c r="G597" i="35"/>
  <c r="H597" i="35"/>
  <c r="Q597" i="35" s="1"/>
  <c r="AC597" i="35" s="1"/>
  <c r="I597" i="35"/>
  <c r="J597" i="35"/>
  <c r="K597" i="35"/>
  <c r="L597" i="35"/>
  <c r="S597" i="35" s="1"/>
  <c r="A598" i="35"/>
  <c r="B598" i="35"/>
  <c r="C598" i="35"/>
  <c r="D598" i="35"/>
  <c r="E598" i="35"/>
  <c r="F598" i="35"/>
  <c r="G598" i="35"/>
  <c r="H598" i="35"/>
  <c r="Q598" i="35" s="1"/>
  <c r="AC598" i="35" s="1"/>
  <c r="I598" i="35"/>
  <c r="J598" i="35"/>
  <c r="K598" i="35"/>
  <c r="L598" i="35"/>
  <c r="A599" i="35"/>
  <c r="B599" i="35"/>
  <c r="C599" i="35"/>
  <c r="D599" i="35"/>
  <c r="E599" i="35"/>
  <c r="F599" i="35"/>
  <c r="G599" i="35"/>
  <c r="H599" i="35"/>
  <c r="Q599" i="35" s="1"/>
  <c r="AC599" i="35" s="1"/>
  <c r="I599" i="35"/>
  <c r="J599" i="35"/>
  <c r="K599" i="35"/>
  <c r="L599" i="35"/>
  <c r="S599" i="35" s="1"/>
  <c r="A600" i="35"/>
  <c r="B600" i="35"/>
  <c r="C600" i="35"/>
  <c r="D600" i="35"/>
  <c r="E600" i="35"/>
  <c r="F600" i="35"/>
  <c r="G600" i="35"/>
  <c r="H600" i="35"/>
  <c r="Q600" i="35" s="1"/>
  <c r="AC600" i="35" s="1"/>
  <c r="I600" i="35"/>
  <c r="J600" i="35"/>
  <c r="K600" i="35"/>
  <c r="L600" i="35"/>
  <c r="A601" i="35"/>
  <c r="B601" i="35"/>
  <c r="C601" i="35"/>
  <c r="D601" i="35"/>
  <c r="E601" i="35"/>
  <c r="F601" i="35"/>
  <c r="G601" i="35"/>
  <c r="H601" i="35"/>
  <c r="Q601" i="35" s="1"/>
  <c r="AC601" i="35" s="1"/>
  <c r="I601" i="35"/>
  <c r="J601" i="35"/>
  <c r="K601" i="35"/>
  <c r="L601" i="35"/>
  <c r="S601" i="35" s="1"/>
  <c r="A602" i="35"/>
  <c r="B602" i="35"/>
  <c r="C602" i="35"/>
  <c r="D602" i="35"/>
  <c r="E602" i="35"/>
  <c r="F602" i="35"/>
  <c r="G602" i="35"/>
  <c r="H602" i="35"/>
  <c r="Q602" i="35" s="1"/>
  <c r="AC602" i="35" s="1"/>
  <c r="I602" i="35"/>
  <c r="J602" i="35"/>
  <c r="K602" i="35"/>
  <c r="L602" i="35"/>
  <c r="A603" i="35"/>
  <c r="B603" i="35"/>
  <c r="C603" i="35"/>
  <c r="D603" i="35"/>
  <c r="E603" i="35"/>
  <c r="F603" i="35"/>
  <c r="G603" i="35"/>
  <c r="H603" i="35"/>
  <c r="Q603" i="35" s="1"/>
  <c r="AC603" i="35" s="1"/>
  <c r="I603" i="35"/>
  <c r="J603" i="35"/>
  <c r="K603" i="35"/>
  <c r="L603" i="35"/>
  <c r="S603" i="35" s="1"/>
  <c r="A604" i="35"/>
  <c r="B604" i="35"/>
  <c r="C604" i="35"/>
  <c r="D604" i="35"/>
  <c r="E604" i="35"/>
  <c r="F604" i="35"/>
  <c r="G604" i="35"/>
  <c r="H604" i="35"/>
  <c r="Q604" i="35" s="1"/>
  <c r="AC604" i="35" s="1"/>
  <c r="I604" i="35"/>
  <c r="J604" i="35"/>
  <c r="K604" i="35"/>
  <c r="L604" i="35"/>
  <c r="A605" i="35"/>
  <c r="B605" i="35"/>
  <c r="C605" i="35"/>
  <c r="D605" i="35"/>
  <c r="E605" i="35"/>
  <c r="F605" i="35"/>
  <c r="G605" i="35"/>
  <c r="H605" i="35"/>
  <c r="Q605" i="35" s="1"/>
  <c r="AC605" i="35" s="1"/>
  <c r="I605" i="35"/>
  <c r="J605" i="35"/>
  <c r="K605" i="35"/>
  <c r="L605" i="35"/>
  <c r="S605" i="35" s="1"/>
  <c r="A606" i="35"/>
  <c r="B606" i="35"/>
  <c r="C606" i="35"/>
  <c r="D606" i="35"/>
  <c r="E606" i="35"/>
  <c r="F606" i="35"/>
  <c r="G606" i="35"/>
  <c r="H606" i="35"/>
  <c r="Q606" i="35" s="1"/>
  <c r="AC606" i="35" s="1"/>
  <c r="I606" i="35"/>
  <c r="J606" i="35"/>
  <c r="K606" i="35"/>
  <c r="L606" i="35"/>
  <c r="A607" i="35"/>
  <c r="B607" i="35"/>
  <c r="C607" i="35"/>
  <c r="D607" i="35"/>
  <c r="E607" i="35"/>
  <c r="F607" i="35"/>
  <c r="G607" i="35"/>
  <c r="H607" i="35"/>
  <c r="Q607" i="35" s="1"/>
  <c r="AC607" i="35" s="1"/>
  <c r="I607" i="35"/>
  <c r="J607" i="35"/>
  <c r="K607" i="35"/>
  <c r="L607" i="35"/>
  <c r="S607" i="35" s="1"/>
  <c r="A608" i="35"/>
  <c r="B608" i="35"/>
  <c r="C608" i="35"/>
  <c r="D608" i="35"/>
  <c r="E608" i="35"/>
  <c r="F608" i="35"/>
  <c r="G608" i="35"/>
  <c r="H608" i="35"/>
  <c r="Q608" i="35" s="1"/>
  <c r="AC608" i="35" s="1"/>
  <c r="I608" i="35"/>
  <c r="J608" i="35"/>
  <c r="K608" i="35"/>
  <c r="L608" i="35"/>
  <c r="A609" i="35"/>
  <c r="B609" i="35"/>
  <c r="C609" i="35"/>
  <c r="D609" i="35"/>
  <c r="E609" i="35"/>
  <c r="F609" i="35"/>
  <c r="G609" i="35"/>
  <c r="H609" i="35"/>
  <c r="Q609" i="35" s="1"/>
  <c r="AC609" i="35" s="1"/>
  <c r="I609" i="35"/>
  <c r="J609" i="35"/>
  <c r="K609" i="35"/>
  <c r="L609" i="35"/>
  <c r="S609" i="35" s="1"/>
  <c r="A610" i="35"/>
  <c r="B610" i="35"/>
  <c r="C610" i="35"/>
  <c r="D610" i="35"/>
  <c r="E610" i="35"/>
  <c r="F610" i="35"/>
  <c r="G610" i="35"/>
  <c r="H610" i="35"/>
  <c r="Q610" i="35" s="1"/>
  <c r="AC610" i="35" s="1"/>
  <c r="I610" i="35"/>
  <c r="J610" i="35"/>
  <c r="K610" i="35"/>
  <c r="L610" i="35"/>
  <c r="A611" i="35"/>
  <c r="B611" i="35"/>
  <c r="C611" i="35"/>
  <c r="D611" i="35"/>
  <c r="E611" i="35"/>
  <c r="F611" i="35"/>
  <c r="G611" i="35"/>
  <c r="H611" i="35"/>
  <c r="Q611" i="35" s="1"/>
  <c r="AC611" i="35" s="1"/>
  <c r="I611" i="35"/>
  <c r="J611" i="35"/>
  <c r="K611" i="35"/>
  <c r="L611" i="35"/>
  <c r="S611" i="35" s="1"/>
  <c r="A612" i="35"/>
  <c r="B612" i="35"/>
  <c r="C612" i="35"/>
  <c r="D612" i="35"/>
  <c r="E612" i="35"/>
  <c r="F612" i="35"/>
  <c r="G612" i="35"/>
  <c r="H612" i="35"/>
  <c r="Q612" i="35" s="1"/>
  <c r="AC612" i="35" s="1"/>
  <c r="I612" i="35"/>
  <c r="J612" i="35"/>
  <c r="K612" i="35"/>
  <c r="L612" i="35"/>
  <c r="A613" i="35"/>
  <c r="B613" i="35"/>
  <c r="C613" i="35"/>
  <c r="D613" i="35"/>
  <c r="E613" i="35"/>
  <c r="F613" i="35"/>
  <c r="G613" i="35"/>
  <c r="H613" i="35"/>
  <c r="Q613" i="35" s="1"/>
  <c r="AC613" i="35" s="1"/>
  <c r="I613" i="35"/>
  <c r="J613" i="35"/>
  <c r="K613" i="35"/>
  <c r="L613" i="35"/>
  <c r="S613" i="35" s="1"/>
  <c r="A614" i="35"/>
  <c r="B614" i="35"/>
  <c r="C614" i="35"/>
  <c r="D614" i="35"/>
  <c r="E614" i="35"/>
  <c r="F614" i="35"/>
  <c r="G614" i="35"/>
  <c r="H614" i="35"/>
  <c r="Q614" i="35" s="1"/>
  <c r="AC614" i="35" s="1"/>
  <c r="I614" i="35"/>
  <c r="J614" i="35"/>
  <c r="K614" i="35"/>
  <c r="L614" i="35"/>
  <c r="A615" i="35"/>
  <c r="B615" i="35"/>
  <c r="C615" i="35"/>
  <c r="D615" i="35"/>
  <c r="E615" i="35"/>
  <c r="F615" i="35"/>
  <c r="G615" i="35"/>
  <c r="H615" i="35"/>
  <c r="Q615" i="35" s="1"/>
  <c r="AC615" i="35" s="1"/>
  <c r="I615" i="35"/>
  <c r="J615" i="35"/>
  <c r="K615" i="35"/>
  <c r="L615" i="35"/>
  <c r="S615" i="35" s="1"/>
  <c r="A616" i="35"/>
  <c r="B616" i="35"/>
  <c r="C616" i="35"/>
  <c r="D616" i="35"/>
  <c r="E616" i="35"/>
  <c r="F616" i="35"/>
  <c r="G616" i="35"/>
  <c r="H616" i="35"/>
  <c r="Q616" i="35" s="1"/>
  <c r="AC616" i="35" s="1"/>
  <c r="I616" i="35"/>
  <c r="J616" i="35"/>
  <c r="K616" i="35"/>
  <c r="L616" i="35"/>
  <c r="A617" i="35"/>
  <c r="B617" i="35"/>
  <c r="C617" i="35"/>
  <c r="D617" i="35"/>
  <c r="E617" i="35"/>
  <c r="F617" i="35"/>
  <c r="G617" i="35"/>
  <c r="H617" i="35"/>
  <c r="Q617" i="35" s="1"/>
  <c r="AC617" i="35" s="1"/>
  <c r="I617" i="35"/>
  <c r="J617" i="35"/>
  <c r="K617" i="35"/>
  <c r="L617" i="35"/>
  <c r="S617" i="35" s="1"/>
  <c r="A618" i="35"/>
  <c r="B618" i="35"/>
  <c r="C618" i="35"/>
  <c r="D618" i="35"/>
  <c r="E618" i="35"/>
  <c r="F618" i="35"/>
  <c r="G618" i="35"/>
  <c r="H618" i="35"/>
  <c r="Q618" i="35" s="1"/>
  <c r="AC618" i="35" s="1"/>
  <c r="I618" i="35"/>
  <c r="J618" i="35"/>
  <c r="K618" i="35"/>
  <c r="L618" i="35"/>
  <c r="A619" i="35"/>
  <c r="B619" i="35"/>
  <c r="C619" i="35"/>
  <c r="D619" i="35"/>
  <c r="E619" i="35"/>
  <c r="F619" i="35"/>
  <c r="G619" i="35"/>
  <c r="H619" i="35"/>
  <c r="Q619" i="35" s="1"/>
  <c r="AC619" i="35" s="1"/>
  <c r="I619" i="35"/>
  <c r="J619" i="35"/>
  <c r="K619" i="35"/>
  <c r="L619" i="35"/>
  <c r="S619" i="35" s="1"/>
  <c r="A620" i="35"/>
  <c r="B620" i="35"/>
  <c r="C620" i="35"/>
  <c r="D620" i="35"/>
  <c r="E620" i="35"/>
  <c r="F620" i="35"/>
  <c r="G620" i="35"/>
  <c r="H620" i="35"/>
  <c r="Q620" i="35" s="1"/>
  <c r="AC620" i="35" s="1"/>
  <c r="I620" i="35"/>
  <c r="J620" i="35"/>
  <c r="K620" i="35"/>
  <c r="L620" i="35"/>
  <c r="A621" i="35"/>
  <c r="B621" i="35"/>
  <c r="C621" i="35"/>
  <c r="D621" i="35"/>
  <c r="E621" i="35"/>
  <c r="F621" i="35"/>
  <c r="G621" i="35"/>
  <c r="H621" i="35"/>
  <c r="Q621" i="35" s="1"/>
  <c r="AC621" i="35" s="1"/>
  <c r="I621" i="35"/>
  <c r="J621" i="35"/>
  <c r="K621" i="35"/>
  <c r="L621" i="35"/>
  <c r="S621" i="35" s="1"/>
  <c r="A622" i="35"/>
  <c r="B622" i="35"/>
  <c r="C622" i="35"/>
  <c r="D622" i="35"/>
  <c r="E622" i="35"/>
  <c r="F622" i="35"/>
  <c r="G622" i="35"/>
  <c r="H622" i="35"/>
  <c r="Q622" i="35" s="1"/>
  <c r="AC622" i="35" s="1"/>
  <c r="I622" i="35"/>
  <c r="J622" i="35"/>
  <c r="K622" i="35"/>
  <c r="L622" i="35"/>
  <c r="A623" i="35"/>
  <c r="B623" i="35"/>
  <c r="C623" i="35"/>
  <c r="D623" i="35"/>
  <c r="E623" i="35"/>
  <c r="F623" i="35"/>
  <c r="G623" i="35"/>
  <c r="H623" i="35"/>
  <c r="Q623" i="35" s="1"/>
  <c r="AC623" i="35" s="1"/>
  <c r="I623" i="35"/>
  <c r="J623" i="35"/>
  <c r="K623" i="35"/>
  <c r="L623" i="35"/>
  <c r="S623" i="35" s="1"/>
  <c r="A624" i="35"/>
  <c r="B624" i="35"/>
  <c r="C624" i="35"/>
  <c r="D624" i="35"/>
  <c r="E624" i="35"/>
  <c r="F624" i="35"/>
  <c r="G624" i="35"/>
  <c r="H624" i="35"/>
  <c r="Q624" i="35" s="1"/>
  <c r="AC624" i="35" s="1"/>
  <c r="I624" i="35"/>
  <c r="J624" i="35"/>
  <c r="K624" i="35"/>
  <c r="L624" i="35"/>
  <c r="A625" i="35"/>
  <c r="B625" i="35"/>
  <c r="C625" i="35"/>
  <c r="D625" i="35"/>
  <c r="E625" i="35"/>
  <c r="F625" i="35"/>
  <c r="G625" i="35"/>
  <c r="H625" i="35"/>
  <c r="Q625" i="35" s="1"/>
  <c r="AC625" i="35" s="1"/>
  <c r="I625" i="35"/>
  <c r="J625" i="35"/>
  <c r="K625" i="35"/>
  <c r="L625" i="35"/>
  <c r="S625" i="35" s="1"/>
  <c r="A626" i="35"/>
  <c r="B626" i="35"/>
  <c r="C626" i="35"/>
  <c r="D626" i="35"/>
  <c r="E626" i="35"/>
  <c r="F626" i="35"/>
  <c r="G626" i="35"/>
  <c r="H626" i="35"/>
  <c r="Q626" i="35" s="1"/>
  <c r="AC626" i="35" s="1"/>
  <c r="I626" i="35"/>
  <c r="J626" i="35"/>
  <c r="K626" i="35"/>
  <c r="L626" i="35"/>
  <c r="A627" i="35"/>
  <c r="B627" i="35"/>
  <c r="C627" i="35"/>
  <c r="D627" i="35"/>
  <c r="E627" i="35"/>
  <c r="F627" i="35"/>
  <c r="G627" i="35"/>
  <c r="H627" i="35"/>
  <c r="Q627" i="35" s="1"/>
  <c r="AC627" i="35" s="1"/>
  <c r="I627" i="35"/>
  <c r="J627" i="35"/>
  <c r="K627" i="35"/>
  <c r="L627" i="35"/>
  <c r="S627" i="35" s="1"/>
  <c r="A628" i="35"/>
  <c r="B628" i="35"/>
  <c r="C628" i="35"/>
  <c r="D628" i="35"/>
  <c r="E628" i="35"/>
  <c r="F628" i="35"/>
  <c r="G628" i="35"/>
  <c r="H628" i="35"/>
  <c r="Q628" i="35" s="1"/>
  <c r="AC628" i="35" s="1"/>
  <c r="I628" i="35"/>
  <c r="J628" i="35"/>
  <c r="K628" i="35"/>
  <c r="L628" i="35"/>
  <c r="A629" i="35"/>
  <c r="B629" i="35"/>
  <c r="C629" i="35"/>
  <c r="D629" i="35"/>
  <c r="E629" i="35"/>
  <c r="F629" i="35"/>
  <c r="G629" i="35"/>
  <c r="H629" i="35"/>
  <c r="Q629" i="35" s="1"/>
  <c r="AC629" i="35" s="1"/>
  <c r="I629" i="35"/>
  <c r="J629" i="35"/>
  <c r="K629" i="35"/>
  <c r="L629" i="35"/>
  <c r="S629" i="35" s="1"/>
  <c r="A630" i="35"/>
  <c r="B630" i="35"/>
  <c r="C630" i="35"/>
  <c r="D630" i="35"/>
  <c r="E630" i="35"/>
  <c r="F630" i="35"/>
  <c r="G630" i="35"/>
  <c r="H630" i="35"/>
  <c r="Q630" i="35" s="1"/>
  <c r="AC630" i="35" s="1"/>
  <c r="I630" i="35"/>
  <c r="J630" i="35"/>
  <c r="K630" i="35"/>
  <c r="L630" i="35"/>
  <c r="A631" i="35"/>
  <c r="B631" i="35"/>
  <c r="C631" i="35"/>
  <c r="D631" i="35"/>
  <c r="E631" i="35"/>
  <c r="F631" i="35"/>
  <c r="G631" i="35"/>
  <c r="H631" i="35"/>
  <c r="Q631" i="35" s="1"/>
  <c r="AC631" i="35" s="1"/>
  <c r="I631" i="35"/>
  <c r="J631" i="35"/>
  <c r="K631" i="35"/>
  <c r="L631" i="35"/>
  <c r="S631" i="35" s="1"/>
  <c r="A632" i="35"/>
  <c r="B632" i="35"/>
  <c r="C632" i="35"/>
  <c r="D632" i="35"/>
  <c r="E632" i="35"/>
  <c r="F632" i="35"/>
  <c r="G632" i="35"/>
  <c r="H632" i="35"/>
  <c r="Q632" i="35" s="1"/>
  <c r="AC632" i="35" s="1"/>
  <c r="I632" i="35"/>
  <c r="J632" i="35"/>
  <c r="K632" i="35"/>
  <c r="L632" i="35"/>
  <c r="A633" i="35"/>
  <c r="B633" i="35"/>
  <c r="C633" i="35"/>
  <c r="D633" i="35"/>
  <c r="E633" i="35"/>
  <c r="F633" i="35"/>
  <c r="G633" i="35"/>
  <c r="H633" i="35"/>
  <c r="Q633" i="35" s="1"/>
  <c r="AC633" i="35" s="1"/>
  <c r="I633" i="35"/>
  <c r="J633" i="35"/>
  <c r="K633" i="35"/>
  <c r="L633" i="35"/>
  <c r="S633" i="35" s="1"/>
  <c r="A634" i="35"/>
  <c r="B634" i="35"/>
  <c r="C634" i="35"/>
  <c r="D634" i="35"/>
  <c r="E634" i="35"/>
  <c r="F634" i="35"/>
  <c r="G634" i="35"/>
  <c r="H634" i="35"/>
  <c r="Q634" i="35" s="1"/>
  <c r="AC634" i="35" s="1"/>
  <c r="I634" i="35"/>
  <c r="J634" i="35"/>
  <c r="K634" i="35"/>
  <c r="L634" i="35"/>
  <c r="A635" i="35"/>
  <c r="B635" i="35"/>
  <c r="C635" i="35"/>
  <c r="D635" i="35"/>
  <c r="E635" i="35"/>
  <c r="F635" i="35"/>
  <c r="G635" i="35"/>
  <c r="H635" i="35"/>
  <c r="Q635" i="35" s="1"/>
  <c r="AC635" i="35" s="1"/>
  <c r="I635" i="35"/>
  <c r="J635" i="35"/>
  <c r="K635" i="35"/>
  <c r="L635" i="35"/>
  <c r="S635" i="35" s="1"/>
  <c r="A636" i="35"/>
  <c r="B636" i="35"/>
  <c r="C636" i="35"/>
  <c r="D636" i="35"/>
  <c r="E636" i="35"/>
  <c r="F636" i="35"/>
  <c r="G636" i="35"/>
  <c r="H636" i="35"/>
  <c r="Q636" i="35" s="1"/>
  <c r="AC636" i="35" s="1"/>
  <c r="I636" i="35"/>
  <c r="J636" i="35"/>
  <c r="K636" i="35"/>
  <c r="L636" i="35"/>
  <c r="A637" i="35"/>
  <c r="B637" i="35"/>
  <c r="C637" i="35"/>
  <c r="D637" i="35"/>
  <c r="E637" i="35"/>
  <c r="F637" i="35"/>
  <c r="G637" i="35"/>
  <c r="H637" i="35"/>
  <c r="Q637" i="35" s="1"/>
  <c r="AC637" i="35" s="1"/>
  <c r="I637" i="35"/>
  <c r="J637" i="35"/>
  <c r="K637" i="35"/>
  <c r="L637" i="35"/>
  <c r="S637" i="35" s="1"/>
  <c r="A638" i="35"/>
  <c r="B638" i="35"/>
  <c r="C638" i="35"/>
  <c r="D638" i="35"/>
  <c r="E638" i="35"/>
  <c r="F638" i="35"/>
  <c r="G638" i="35"/>
  <c r="H638" i="35"/>
  <c r="Q638" i="35" s="1"/>
  <c r="AC638" i="35" s="1"/>
  <c r="I638" i="35"/>
  <c r="J638" i="35"/>
  <c r="K638" i="35"/>
  <c r="L638" i="35"/>
  <c r="A639" i="35"/>
  <c r="B639" i="35"/>
  <c r="C639" i="35"/>
  <c r="D639" i="35"/>
  <c r="E639" i="35"/>
  <c r="F639" i="35"/>
  <c r="G639" i="35"/>
  <c r="H639" i="35"/>
  <c r="Q639" i="35" s="1"/>
  <c r="AC639" i="35" s="1"/>
  <c r="I639" i="35"/>
  <c r="J639" i="35"/>
  <c r="K639" i="35"/>
  <c r="L639" i="35"/>
  <c r="S639" i="35" s="1"/>
  <c r="A640" i="35"/>
  <c r="B640" i="35"/>
  <c r="C640" i="35"/>
  <c r="D640" i="35"/>
  <c r="E640" i="35"/>
  <c r="F640" i="35"/>
  <c r="G640" i="35"/>
  <c r="H640" i="35"/>
  <c r="Q640" i="35" s="1"/>
  <c r="AC640" i="35" s="1"/>
  <c r="I640" i="35"/>
  <c r="J640" i="35"/>
  <c r="K640" i="35"/>
  <c r="L640" i="35"/>
  <c r="A641" i="35"/>
  <c r="B641" i="35"/>
  <c r="C641" i="35"/>
  <c r="D641" i="35"/>
  <c r="E641" i="35"/>
  <c r="F641" i="35"/>
  <c r="G641" i="35"/>
  <c r="H641" i="35"/>
  <c r="Q641" i="35" s="1"/>
  <c r="AC641" i="35" s="1"/>
  <c r="I641" i="35"/>
  <c r="J641" i="35"/>
  <c r="K641" i="35"/>
  <c r="L641" i="35"/>
  <c r="S641" i="35" s="1"/>
  <c r="A642" i="35"/>
  <c r="B642" i="35"/>
  <c r="C642" i="35"/>
  <c r="D642" i="35"/>
  <c r="E642" i="35"/>
  <c r="F642" i="35"/>
  <c r="G642" i="35"/>
  <c r="H642" i="35"/>
  <c r="Q642" i="35" s="1"/>
  <c r="AC642" i="35" s="1"/>
  <c r="I642" i="35"/>
  <c r="J642" i="35"/>
  <c r="K642" i="35"/>
  <c r="L642" i="35"/>
  <c r="A643" i="35"/>
  <c r="B643" i="35"/>
  <c r="C643" i="35"/>
  <c r="D643" i="35"/>
  <c r="E643" i="35"/>
  <c r="F643" i="35"/>
  <c r="G643" i="35"/>
  <c r="H643" i="35"/>
  <c r="Q643" i="35" s="1"/>
  <c r="AC643" i="35" s="1"/>
  <c r="I643" i="35"/>
  <c r="J643" i="35"/>
  <c r="K643" i="35"/>
  <c r="L643" i="35"/>
  <c r="S643" i="35" s="1"/>
  <c r="A644" i="35"/>
  <c r="B644" i="35"/>
  <c r="C644" i="35"/>
  <c r="D644" i="35"/>
  <c r="E644" i="35"/>
  <c r="F644" i="35"/>
  <c r="G644" i="35"/>
  <c r="H644" i="35"/>
  <c r="Q644" i="35" s="1"/>
  <c r="AC644" i="35" s="1"/>
  <c r="I644" i="35"/>
  <c r="J644" i="35"/>
  <c r="K644" i="35"/>
  <c r="L644" i="35"/>
  <c r="A645" i="35"/>
  <c r="B645" i="35"/>
  <c r="C645" i="35"/>
  <c r="D645" i="35"/>
  <c r="E645" i="35"/>
  <c r="F645" i="35"/>
  <c r="G645" i="35"/>
  <c r="H645" i="35"/>
  <c r="Q645" i="35" s="1"/>
  <c r="AC645" i="35" s="1"/>
  <c r="I645" i="35"/>
  <c r="J645" i="35"/>
  <c r="K645" i="35"/>
  <c r="L645" i="35"/>
  <c r="S645" i="35" s="1"/>
  <c r="A646" i="35"/>
  <c r="B646" i="35"/>
  <c r="C646" i="35"/>
  <c r="D646" i="35"/>
  <c r="E646" i="35"/>
  <c r="F646" i="35"/>
  <c r="G646" i="35"/>
  <c r="H646" i="35"/>
  <c r="Q646" i="35" s="1"/>
  <c r="AC646" i="35" s="1"/>
  <c r="I646" i="35"/>
  <c r="J646" i="35"/>
  <c r="K646" i="35"/>
  <c r="L646" i="35"/>
  <c r="A647" i="35"/>
  <c r="B647" i="35"/>
  <c r="C647" i="35"/>
  <c r="D647" i="35"/>
  <c r="E647" i="35"/>
  <c r="F647" i="35"/>
  <c r="G647" i="35"/>
  <c r="H647" i="35"/>
  <c r="Q647" i="35" s="1"/>
  <c r="AC647" i="35" s="1"/>
  <c r="I647" i="35"/>
  <c r="J647" i="35"/>
  <c r="K647" i="35"/>
  <c r="L647" i="35"/>
  <c r="S647" i="35" s="1"/>
  <c r="A648" i="35"/>
  <c r="B648" i="35"/>
  <c r="C648" i="35"/>
  <c r="D648" i="35"/>
  <c r="E648" i="35"/>
  <c r="F648" i="35"/>
  <c r="G648" i="35"/>
  <c r="H648" i="35"/>
  <c r="Q648" i="35" s="1"/>
  <c r="AC648" i="35" s="1"/>
  <c r="I648" i="35"/>
  <c r="J648" i="35"/>
  <c r="K648" i="35"/>
  <c r="L648" i="35"/>
  <c r="A649" i="35"/>
  <c r="B649" i="35"/>
  <c r="C649" i="35"/>
  <c r="D649" i="35"/>
  <c r="E649" i="35"/>
  <c r="F649" i="35"/>
  <c r="G649" i="35"/>
  <c r="H649" i="35"/>
  <c r="Q649" i="35" s="1"/>
  <c r="AC649" i="35" s="1"/>
  <c r="I649" i="35"/>
  <c r="J649" i="35"/>
  <c r="K649" i="35"/>
  <c r="L649" i="35"/>
  <c r="S649" i="35" s="1"/>
  <c r="A650" i="35"/>
  <c r="B650" i="35"/>
  <c r="C650" i="35"/>
  <c r="D650" i="35"/>
  <c r="E650" i="35"/>
  <c r="F650" i="35"/>
  <c r="G650" i="35"/>
  <c r="H650" i="35"/>
  <c r="Q650" i="35" s="1"/>
  <c r="AC650" i="35" s="1"/>
  <c r="I650" i="35"/>
  <c r="J650" i="35"/>
  <c r="K650" i="35"/>
  <c r="L650" i="35"/>
  <c r="A651" i="35"/>
  <c r="B651" i="35"/>
  <c r="C651" i="35"/>
  <c r="D651" i="35"/>
  <c r="E651" i="35"/>
  <c r="F651" i="35"/>
  <c r="G651" i="35"/>
  <c r="H651" i="35"/>
  <c r="Q651" i="35" s="1"/>
  <c r="AC651" i="35" s="1"/>
  <c r="I651" i="35"/>
  <c r="J651" i="35"/>
  <c r="K651" i="35"/>
  <c r="L651" i="35"/>
  <c r="S651" i="35" s="1"/>
  <c r="A652" i="35"/>
  <c r="B652" i="35"/>
  <c r="C652" i="35"/>
  <c r="D652" i="35"/>
  <c r="E652" i="35"/>
  <c r="F652" i="35"/>
  <c r="G652" i="35"/>
  <c r="H652" i="35"/>
  <c r="Q652" i="35" s="1"/>
  <c r="AC652" i="35" s="1"/>
  <c r="I652" i="35"/>
  <c r="J652" i="35"/>
  <c r="K652" i="35"/>
  <c r="L652" i="35"/>
  <c r="A653" i="35"/>
  <c r="B653" i="35"/>
  <c r="C653" i="35"/>
  <c r="D653" i="35"/>
  <c r="E653" i="35"/>
  <c r="F653" i="35"/>
  <c r="G653" i="35"/>
  <c r="H653" i="35"/>
  <c r="Q653" i="35" s="1"/>
  <c r="AC653" i="35" s="1"/>
  <c r="I653" i="35"/>
  <c r="J653" i="35"/>
  <c r="K653" i="35"/>
  <c r="L653" i="35"/>
  <c r="S653" i="35" s="1"/>
  <c r="A654" i="35"/>
  <c r="B654" i="35"/>
  <c r="C654" i="35"/>
  <c r="D654" i="35"/>
  <c r="E654" i="35"/>
  <c r="F654" i="35"/>
  <c r="G654" i="35"/>
  <c r="H654" i="35"/>
  <c r="Q654" i="35" s="1"/>
  <c r="AC654" i="35" s="1"/>
  <c r="I654" i="35"/>
  <c r="J654" i="35"/>
  <c r="K654" i="35"/>
  <c r="L654" i="35"/>
  <c r="A655" i="35"/>
  <c r="B655" i="35"/>
  <c r="C655" i="35"/>
  <c r="D655" i="35"/>
  <c r="E655" i="35"/>
  <c r="F655" i="35"/>
  <c r="G655" i="35"/>
  <c r="H655" i="35"/>
  <c r="Q655" i="35" s="1"/>
  <c r="AC655" i="35" s="1"/>
  <c r="I655" i="35"/>
  <c r="J655" i="35"/>
  <c r="K655" i="35"/>
  <c r="L655" i="35"/>
  <c r="S655" i="35" s="1"/>
  <c r="A656" i="35"/>
  <c r="B656" i="35"/>
  <c r="C656" i="35"/>
  <c r="D656" i="35"/>
  <c r="E656" i="35"/>
  <c r="F656" i="35"/>
  <c r="G656" i="35"/>
  <c r="H656" i="35"/>
  <c r="Q656" i="35" s="1"/>
  <c r="AC656" i="35" s="1"/>
  <c r="I656" i="35"/>
  <c r="J656" i="35"/>
  <c r="K656" i="35"/>
  <c r="L656" i="35"/>
  <c r="A657" i="35"/>
  <c r="B657" i="35"/>
  <c r="C657" i="35"/>
  <c r="D657" i="35"/>
  <c r="E657" i="35"/>
  <c r="F657" i="35"/>
  <c r="G657" i="35"/>
  <c r="H657" i="35"/>
  <c r="Q657" i="35" s="1"/>
  <c r="AC657" i="35" s="1"/>
  <c r="I657" i="35"/>
  <c r="J657" i="35"/>
  <c r="K657" i="35"/>
  <c r="L657" i="35"/>
  <c r="S657" i="35" s="1"/>
  <c r="A658" i="35"/>
  <c r="B658" i="35"/>
  <c r="C658" i="35"/>
  <c r="D658" i="35"/>
  <c r="E658" i="35"/>
  <c r="F658" i="35"/>
  <c r="G658" i="35"/>
  <c r="H658" i="35"/>
  <c r="Q658" i="35" s="1"/>
  <c r="AC658" i="35" s="1"/>
  <c r="I658" i="35"/>
  <c r="J658" i="35"/>
  <c r="K658" i="35"/>
  <c r="L658" i="35"/>
  <c r="A659" i="35"/>
  <c r="B659" i="35"/>
  <c r="C659" i="35"/>
  <c r="D659" i="35"/>
  <c r="E659" i="35"/>
  <c r="F659" i="35"/>
  <c r="G659" i="35"/>
  <c r="H659" i="35"/>
  <c r="Q659" i="35" s="1"/>
  <c r="AC659" i="35" s="1"/>
  <c r="I659" i="35"/>
  <c r="J659" i="35"/>
  <c r="K659" i="35"/>
  <c r="L659" i="35"/>
  <c r="S659" i="35" s="1"/>
  <c r="A660" i="35"/>
  <c r="B660" i="35"/>
  <c r="C660" i="35"/>
  <c r="D660" i="35"/>
  <c r="E660" i="35"/>
  <c r="F660" i="35"/>
  <c r="G660" i="35"/>
  <c r="H660" i="35"/>
  <c r="Q660" i="35" s="1"/>
  <c r="AC660" i="35" s="1"/>
  <c r="I660" i="35"/>
  <c r="J660" i="35"/>
  <c r="K660" i="35"/>
  <c r="L660" i="35"/>
  <c r="A661" i="35"/>
  <c r="B661" i="35"/>
  <c r="C661" i="35"/>
  <c r="D661" i="35"/>
  <c r="E661" i="35"/>
  <c r="F661" i="35"/>
  <c r="G661" i="35"/>
  <c r="H661" i="35"/>
  <c r="Q661" i="35" s="1"/>
  <c r="AC661" i="35" s="1"/>
  <c r="I661" i="35"/>
  <c r="J661" i="35"/>
  <c r="K661" i="35"/>
  <c r="L661" i="35"/>
  <c r="S661" i="35" s="1"/>
  <c r="A662" i="35"/>
  <c r="B662" i="35"/>
  <c r="C662" i="35"/>
  <c r="D662" i="35"/>
  <c r="E662" i="35"/>
  <c r="F662" i="35"/>
  <c r="G662" i="35"/>
  <c r="H662" i="35"/>
  <c r="Q662" i="35" s="1"/>
  <c r="AC662" i="35" s="1"/>
  <c r="I662" i="35"/>
  <c r="J662" i="35"/>
  <c r="K662" i="35"/>
  <c r="L662" i="35"/>
  <c r="A663" i="35"/>
  <c r="B663" i="35"/>
  <c r="C663" i="35"/>
  <c r="D663" i="35"/>
  <c r="E663" i="35"/>
  <c r="F663" i="35"/>
  <c r="G663" i="35"/>
  <c r="H663" i="35"/>
  <c r="Q663" i="35" s="1"/>
  <c r="AC663" i="35" s="1"/>
  <c r="I663" i="35"/>
  <c r="J663" i="35"/>
  <c r="K663" i="35"/>
  <c r="L663" i="35"/>
  <c r="S663" i="35" s="1"/>
  <c r="A664" i="35"/>
  <c r="B664" i="35"/>
  <c r="C664" i="35"/>
  <c r="D664" i="35"/>
  <c r="E664" i="35"/>
  <c r="F664" i="35"/>
  <c r="G664" i="35"/>
  <c r="H664" i="35"/>
  <c r="Q664" i="35" s="1"/>
  <c r="AC664" i="35" s="1"/>
  <c r="I664" i="35"/>
  <c r="J664" i="35"/>
  <c r="K664" i="35"/>
  <c r="L664" i="35"/>
  <c r="A665" i="35"/>
  <c r="B665" i="35"/>
  <c r="C665" i="35"/>
  <c r="D665" i="35"/>
  <c r="E665" i="35"/>
  <c r="F665" i="35"/>
  <c r="G665" i="35"/>
  <c r="H665" i="35"/>
  <c r="Q665" i="35" s="1"/>
  <c r="AC665" i="35" s="1"/>
  <c r="I665" i="35"/>
  <c r="J665" i="35"/>
  <c r="K665" i="35"/>
  <c r="L665" i="35"/>
  <c r="S665" i="35" s="1"/>
  <c r="A666" i="35"/>
  <c r="B666" i="35"/>
  <c r="C666" i="35"/>
  <c r="D666" i="35"/>
  <c r="E666" i="35"/>
  <c r="F666" i="35"/>
  <c r="G666" i="35"/>
  <c r="H666" i="35"/>
  <c r="Q666" i="35" s="1"/>
  <c r="AC666" i="35" s="1"/>
  <c r="I666" i="35"/>
  <c r="J666" i="35"/>
  <c r="K666" i="35"/>
  <c r="L666" i="35"/>
  <c r="A667" i="35"/>
  <c r="B667" i="35"/>
  <c r="C667" i="35"/>
  <c r="D667" i="35"/>
  <c r="E667" i="35"/>
  <c r="F667" i="35"/>
  <c r="G667" i="35"/>
  <c r="H667" i="35"/>
  <c r="Q667" i="35" s="1"/>
  <c r="AC667" i="35" s="1"/>
  <c r="I667" i="35"/>
  <c r="J667" i="35"/>
  <c r="K667" i="35"/>
  <c r="L667" i="35"/>
  <c r="S667" i="35" s="1"/>
  <c r="A668" i="35"/>
  <c r="B668" i="35"/>
  <c r="C668" i="35"/>
  <c r="D668" i="35"/>
  <c r="E668" i="35"/>
  <c r="F668" i="35"/>
  <c r="G668" i="35"/>
  <c r="H668" i="35"/>
  <c r="Q668" i="35" s="1"/>
  <c r="AC668" i="35" s="1"/>
  <c r="I668" i="35"/>
  <c r="J668" i="35"/>
  <c r="K668" i="35"/>
  <c r="L668" i="35"/>
  <c r="A669" i="35"/>
  <c r="B669" i="35"/>
  <c r="C669" i="35"/>
  <c r="D669" i="35"/>
  <c r="E669" i="35"/>
  <c r="F669" i="35"/>
  <c r="G669" i="35"/>
  <c r="H669" i="35"/>
  <c r="Q669" i="35" s="1"/>
  <c r="AC669" i="35" s="1"/>
  <c r="I669" i="35"/>
  <c r="J669" i="35"/>
  <c r="K669" i="35"/>
  <c r="L669" i="35"/>
  <c r="S669" i="35" s="1"/>
  <c r="A670" i="35"/>
  <c r="B670" i="35"/>
  <c r="C670" i="35"/>
  <c r="D670" i="35"/>
  <c r="E670" i="35"/>
  <c r="F670" i="35"/>
  <c r="G670" i="35"/>
  <c r="H670" i="35"/>
  <c r="Q670" i="35" s="1"/>
  <c r="AC670" i="35" s="1"/>
  <c r="I670" i="35"/>
  <c r="J670" i="35"/>
  <c r="K670" i="35"/>
  <c r="L670" i="35"/>
  <c r="A671" i="35"/>
  <c r="B671" i="35"/>
  <c r="C671" i="35"/>
  <c r="D671" i="35"/>
  <c r="E671" i="35"/>
  <c r="F671" i="35"/>
  <c r="G671" i="35"/>
  <c r="H671" i="35"/>
  <c r="Q671" i="35" s="1"/>
  <c r="AC671" i="35" s="1"/>
  <c r="I671" i="35"/>
  <c r="J671" i="35"/>
  <c r="K671" i="35"/>
  <c r="L671" i="35"/>
  <c r="S671" i="35" s="1"/>
  <c r="A672" i="35"/>
  <c r="B672" i="35"/>
  <c r="C672" i="35"/>
  <c r="D672" i="35"/>
  <c r="E672" i="35"/>
  <c r="F672" i="35"/>
  <c r="G672" i="35"/>
  <c r="H672" i="35"/>
  <c r="Q672" i="35" s="1"/>
  <c r="AC672" i="35" s="1"/>
  <c r="I672" i="35"/>
  <c r="J672" i="35"/>
  <c r="K672" i="35"/>
  <c r="L672" i="35"/>
  <c r="A673" i="35"/>
  <c r="B673" i="35"/>
  <c r="C673" i="35"/>
  <c r="D673" i="35"/>
  <c r="E673" i="35"/>
  <c r="F673" i="35"/>
  <c r="G673" i="35"/>
  <c r="H673" i="35"/>
  <c r="Q673" i="35" s="1"/>
  <c r="AC673" i="35" s="1"/>
  <c r="I673" i="35"/>
  <c r="J673" i="35"/>
  <c r="K673" i="35"/>
  <c r="L673" i="35"/>
  <c r="S673" i="35" s="1"/>
  <c r="A674" i="35"/>
  <c r="B674" i="35"/>
  <c r="C674" i="35"/>
  <c r="D674" i="35"/>
  <c r="E674" i="35"/>
  <c r="F674" i="35"/>
  <c r="G674" i="35"/>
  <c r="H674" i="35"/>
  <c r="Q674" i="35" s="1"/>
  <c r="AC674" i="35" s="1"/>
  <c r="I674" i="35"/>
  <c r="J674" i="35"/>
  <c r="K674" i="35"/>
  <c r="L674" i="35"/>
  <c r="A675" i="35"/>
  <c r="B675" i="35"/>
  <c r="C675" i="35"/>
  <c r="D675" i="35"/>
  <c r="E675" i="35"/>
  <c r="F675" i="35"/>
  <c r="G675" i="35"/>
  <c r="H675" i="35"/>
  <c r="Q675" i="35" s="1"/>
  <c r="AC675" i="35" s="1"/>
  <c r="I675" i="35"/>
  <c r="J675" i="35"/>
  <c r="K675" i="35"/>
  <c r="L675" i="35"/>
  <c r="S675" i="35" s="1"/>
  <c r="A676" i="35"/>
  <c r="B676" i="35"/>
  <c r="C676" i="35"/>
  <c r="D676" i="35"/>
  <c r="E676" i="35"/>
  <c r="F676" i="35"/>
  <c r="G676" i="35"/>
  <c r="H676" i="35"/>
  <c r="Q676" i="35" s="1"/>
  <c r="AC676" i="35" s="1"/>
  <c r="I676" i="35"/>
  <c r="J676" i="35"/>
  <c r="K676" i="35"/>
  <c r="L676" i="35"/>
  <c r="A677" i="35"/>
  <c r="B677" i="35"/>
  <c r="C677" i="35"/>
  <c r="D677" i="35"/>
  <c r="E677" i="35"/>
  <c r="F677" i="35"/>
  <c r="G677" i="35"/>
  <c r="H677" i="35"/>
  <c r="Q677" i="35" s="1"/>
  <c r="AC677" i="35" s="1"/>
  <c r="I677" i="35"/>
  <c r="J677" i="35"/>
  <c r="K677" i="35"/>
  <c r="L677" i="35"/>
  <c r="S677" i="35" s="1"/>
  <c r="A678" i="35"/>
  <c r="B678" i="35"/>
  <c r="C678" i="35"/>
  <c r="D678" i="35"/>
  <c r="E678" i="35"/>
  <c r="F678" i="35"/>
  <c r="G678" i="35"/>
  <c r="H678" i="35"/>
  <c r="Q678" i="35" s="1"/>
  <c r="AC678" i="35" s="1"/>
  <c r="I678" i="35"/>
  <c r="J678" i="35"/>
  <c r="K678" i="35"/>
  <c r="L678" i="35"/>
  <c r="A679" i="35"/>
  <c r="B679" i="35"/>
  <c r="C679" i="35"/>
  <c r="D679" i="35"/>
  <c r="E679" i="35"/>
  <c r="F679" i="35"/>
  <c r="G679" i="35"/>
  <c r="H679" i="35"/>
  <c r="Q679" i="35" s="1"/>
  <c r="AC679" i="35" s="1"/>
  <c r="I679" i="35"/>
  <c r="J679" i="35"/>
  <c r="K679" i="35"/>
  <c r="L679" i="35"/>
  <c r="S679" i="35" s="1"/>
  <c r="A680" i="35"/>
  <c r="B680" i="35"/>
  <c r="C680" i="35"/>
  <c r="D680" i="35"/>
  <c r="E680" i="35"/>
  <c r="F680" i="35"/>
  <c r="G680" i="35"/>
  <c r="H680" i="35"/>
  <c r="Q680" i="35" s="1"/>
  <c r="AC680" i="35" s="1"/>
  <c r="I680" i="35"/>
  <c r="J680" i="35"/>
  <c r="K680" i="35"/>
  <c r="L680" i="35"/>
  <c r="A681" i="35"/>
  <c r="B681" i="35"/>
  <c r="C681" i="35"/>
  <c r="D681" i="35"/>
  <c r="E681" i="35"/>
  <c r="F681" i="35"/>
  <c r="G681" i="35"/>
  <c r="H681" i="35"/>
  <c r="Q681" i="35" s="1"/>
  <c r="AC681" i="35" s="1"/>
  <c r="I681" i="35"/>
  <c r="J681" i="35"/>
  <c r="K681" i="35"/>
  <c r="L681" i="35"/>
  <c r="S681" i="35" s="1"/>
  <c r="A682" i="35"/>
  <c r="B682" i="35"/>
  <c r="C682" i="35"/>
  <c r="D682" i="35"/>
  <c r="E682" i="35"/>
  <c r="F682" i="35"/>
  <c r="G682" i="35"/>
  <c r="H682" i="35"/>
  <c r="Q682" i="35" s="1"/>
  <c r="AC682" i="35" s="1"/>
  <c r="I682" i="35"/>
  <c r="J682" i="35"/>
  <c r="K682" i="35"/>
  <c r="L682" i="35"/>
  <c r="A683" i="35"/>
  <c r="B683" i="35"/>
  <c r="C683" i="35"/>
  <c r="D683" i="35"/>
  <c r="E683" i="35"/>
  <c r="F683" i="35"/>
  <c r="G683" i="35"/>
  <c r="H683" i="35"/>
  <c r="Q683" i="35" s="1"/>
  <c r="AC683" i="35" s="1"/>
  <c r="I683" i="35"/>
  <c r="J683" i="35"/>
  <c r="K683" i="35"/>
  <c r="L683" i="35"/>
  <c r="S683" i="35" s="1"/>
  <c r="A684" i="35"/>
  <c r="B684" i="35"/>
  <c r="C684" i="35"/>
  <c r="D684" i="35"/>
  <c r="E684" i="35"/>
  <c r="F684" i="35"/>
  <c r="G684" i="35"/>
  <c r="H684" i="35"/>
  <c r="Q684" i="35" s="1"/>
  <c r="AC684" i="35" s="1"/>
  <c r="I684" i="35"/>
  <c r="J684" i="35"/>
  <c r="K684" i="35"/>
  <c r="L684" i="35"/>
  <c r="A685" i="35"/>
  <c r="B685" i="35"/>
  <c r="C685" i="35"/>
  <c r="D685" i="35"/>
  <c r="E685" i="35"/>
  <c r="F685" i="35"/>
  <c r="G685" i="35"/>
  <c r="H685" i="35"/>
  <c r="Q685" i="35" s="1"/>
  <c r="AC685" i="35" s="1"/>
  <c r="I685" i="35"/>
  <c r="J685" i="35"/>
  <c r="K685" i="35"/>
  <c r="L685" i="35"/>
  <c r="S685" i="35" s="1"/>
  <c r="A686" i="35"/>
  <c r="B686" i="35"/>
  <c r="C686" i="35"/>
  <c r="D686" i="35"/>
  <c r="E686" i="35"/>
  <c r="F686" i="35"/>
  <c r="G686" i="35"/>
  <c r="H686" i="35"/>
  <c r="Q686" i="35" s="1"/>
  <c r="AC686" i="35" s="1"/>
  <c r="I686" i="35"/>
  <c r="J686" i="35"/>
  <c r="K686" i="35"/>
  <c r="L686" i="35"/>
  <c r="A687" i="35"/>
  <c r="B687" i="35"/>
  <c r="C687" i="35"/>
  <c r="D687" i="35"/>
  <c r="E687" i="35"/>
  <c r="F687" i="35"/>
  <c r="G687" i="35"/>
  <c r="H687" i="35"/>
  <c r="Q687" i="35" s="1"/>
  <c r="AC687" i="35" s="1"/>
  <c r="I687" i="35"/>
  <c r="J687" i="35"/>
  <c r="K687" i="35"/>
  <c r="L687" i="35"/>
  <c r="S687" i="35" s="1"/>
  <c r="A688" i="35"/>
  <c r="B688" i="35"/>
  <c r="C688" i="35"/>
  <c r="D688" i="35"/>
  <c r="E688" i="35"/>
  <c r="F688" i="35"/>
  <c r="G688" i="35"/>
  <c r="H688" i="35"/>
  <c r="Q688" i="35" s="1"/>
  <c r="AC688" i="35" s="1"/>
  <c r="I688" i="35"/>
  <c r="J688" i="35"/>
  <c r="K688" i="35"/>
  <c r="L688" i="35"/>
  <c r="A689" i="35"/>
  <c r="B689" i="35"/>
  <c r="C689" i="35"/>
  <c r="D689" i="35"/>
  <c r="E689" i="35"/>
  <c r="F689" i="35"/>
  <c r="G689" i="35"/>
  <c r="H689" i="35"/>
  <c r="Q689" i="35" s="1"/>
  <c r="AC689" i="35" s="1"/>
  <c r="I689" i="35"/>
  <c r="J689" i="35"/>
  <c r="K689" i="35"/>
  <c r="L689" i="35"/>
  <c r="S689" i="35" s="1"/>
  <c r="A690" i="35"/>
  <c r="B690" i="35"/>
  <c r="C690" i="35"/>
  <c r="D690" i="35"/>
  <c r="E690" i="35"/>
  <c r="F690" i="35"/>
  <c r="G690" i="35"/>
  <c r="H690" i="35"/>
  <c r="Q690" i="35" s="1"/>
  <c r="AC690" i="35" s="1"/>
  <c r="I690" i="35"/>
  <c r="J690" i="35"/>
  <c r="K690" i="35"/>
  <c r="L690" i="35"/>
  <c r="A691" i="35"/>
  <c r="B691" i="35"/>
  <c r="C691" i="35"/>
  <c r="D691" i="35"/>
  <c r="E691" i="35"/>
  <c r="F691" i="35"/>
  <c r="G691" i="35"/>
  <c r="H691" i="35"/>
  <c r="Q691" i="35" s="1"/>
  <c r="AC691" i="35" s="1"/>
  <c r="I691" i="35"/>
  <c r="J691" i="35"/>
  <c r="K691" i="35"/>
  <c r="L691" i="35"/>
  <c r="S691" i="35" s="1"/>
  <c r="A692" i="35"/>
  <c r="B692" i="35"/>
  <c r="C692" i="35"/>
  <c r="D692" i="35"/>
  <c r="E692" i="35"/>
  <c r="F692" i="35"/>
  <c r="G692" i="35"/>
  <c r="H692" i="35"/>
  <c r="Q692" i="35" s="1"/>
  <c r="AC692" i="35" s="1"/>
  <c r="I692" i="35"/>
  <c r="J692" i="35"/>
  <c r="K692" i="35"/>
  <c r="L692" i="35"/>
  <c r="A693" i="35"/>
  <c r="B693" i="35"/>
  <c r="C693" i="35"/>
  <c r="D693" i="35"/>
  <c r="E693" i="35"/>
  <c r="F693" i="35"/>
  <c r="G693" i="35"/>
  <c r="H693" i="35"/>
  <c r="Q693" i="35" s="1"/>
  <c r="AC693" i="35" s="1"/>
  <c r="I693" i="35"/>
  <c r="J693" i="35"/>
  <c r="K693" i="35"/>
  <c r="L693" i="35"/>
  <c r="S693" i="35" s="1"/>
  <c r="A694" i="35"/>
  <c r="B694" i="35"/>
  <c r="C694" i="35"/>
  <c r="D694" i="35"/>
  <c r="E694" i="35"/>
  <c r="F694" i="35"/>
  <c r="G694" i="35"/>
  <c r="H694" i="35"/>
  <c r="Q694" i="35" s="1"/>
  <c r="AC694" i="35" s="1"/>
  <c r="I694" i="35"/>
  <c r="J694" i="35"/>
  <c r="K694" i="35"/>
  <c r="L694" i="35"/>
  <c r="A695" i="35"/>
  <c r="B695" i="35"/>
  <c r="C695" i="35"/>
  <c r="D695" i="35"/>
  <c r="E695" i="35"/>
  <c r="F695" i="35"/>
  <c r="G695" i="35"/>
  <c r="H695" i="35"/>
  <c r="Q695" i="35" s="1"/>
  <c r="AC695" i="35" s="1"/>
  <c r="I695" i="35"/>
  <c r="J695" i="35"/>
  <c r="K695" i="35"/>
  <c r="L695" i="35"/>
  <c r="S695" i="35" s="1"/>
  <c r="A696" i="35"/>
  <c r="B696" i="35"/>
  <c r="C696" i="35"/>
  <c r="D696" i="35"/>
  <c r="E696" i="35"/>
  <c r="F696" i="35"/>
  <c r="G696" i="35"/>
  <c r="H696" i="35"/>
  <c r="Q696" i="35" s="1"/>
  <c r="AC696" i="35" s="1"/>
  <c r="I696" i="35"/>
  <c r="J696" i="35"/>
  <c r="K696" i="35"/>
  <c r="L696" i="35"/>
  <c r="A697" i="35"/>
  <c r="B697" i="35"/>
  <c r="C697" i="35"/>
  <c r="D697" i="35"/>
  <c r="E697" i="35"/>
  <c r="F697" i="35"/>
  <c r="G697" i="35"/>
  <c r="H697" i="35"/>
  <c r="Q697" i="35" s="1"/>
  <c r="AC697" i="35" s="1"/>
  <c r="I697" i="35"/>
  <c r="J697" i="35"/>
  <c r="K697" i="35"/>
  <c r="L697" i="35"/>
  <c r="S697" i="35" s="1"/>
  <c r="A698" i="35"/>
  <c r="B698" i="35"/>
  <c r="C698" i="35"/>
  <c r="D698" i="35"/>
  <c r="E698" i="35"/>
  <c r="F698" i="35"/>
  <c r="G698" i="35"/>
  <c r="H698" i="35"/>
  <c r="Q698" i="35" s="1"/>
  <c r="AC698" i="35" s="1"/>
  <c r="I698" i="35"/>
  <c r="J698" i="35"/>
  <c r="K698" i="35"/>
  <c r="L698" i="35"/>
  <c r="A699" i="35"/>
  <c r="B699" i="35"/>
  <c r="C699" i="35"/>
  <c r="D699" i="35"/>
  <c r="E699" i="35"/>
  <c r="F699" i="35"/>
  <c r="G699" i="35"/>
  <c r="H699" i="35"/>
  <c r="Q699" i="35" s="1"/>
  <c r="AC699" i="35" s="1"/>
  <c r="I699" i="35"/>
  <c r="J699" i="35"/>
  <c r="K699" i="35"/>
  <c r="L699" i="35"/>
  <c r="S699" i="35" s="1"/>
  <c r="A700" i="35"/>
  <c r="B700" i="35"/>
  <c r="C700" i="35"/>
  <c r="D700" i="35"/>
  <c r="E700" i="35"/>
  <c r="F700" i="35"/>
  <c r="G700" i="35"/>
  <c r="H700" i="35"/>
  <c r="Q700" i="35" s="1"/>
  <c r="AC700" i="35" s="1"/>
  <c r="I700" i="35"/>
  <c r="J700" i="35"/>
  <c r="K700" i="35"/>
  <c r="L700" i="35"/>
  <c r="A701" i="35"/>
  <c r="B701" i="35"/>
  <c r="C701" i="35"/>
  <c r="D701" i="35"/>
  <c r="E701" i="35"/>
  <c r="F701" i="35"/>
  <c r="G701" i="35"/>
  <c r="H701" i="35"/>
  <c r="Q701" i="35" s="1"/>
  <c r="AC701" i="35" s="1"/>
  <c r="I701" i="35"/>
  <c r="J701" i="35"/>
  <c r="K701" i="35"/>
  <c r="L701" i="35"/>
  <c r="S701" i="35" s="1"/>
  <c r="B14" i="35"/>
  <c r="N14" i="35" s="1"/>
  <c r="O14" i="35" s="1"/>
  <c r="C14" i="35"/>
  <c r="D14" i="35"/>
  <c r="E14" i="35"/>
  <c r="F14" i="35"/>
  <c r="G14" i="35"/>
  <c r="H14" i="35"/>
  <c r="I14" i="35"/>
  <c r="J14" i="35"/>
  <c r="K14" i="35"/>
  <c r="L14" i="35"/>
  <c r="B15" i="35"/>
  <c r="C15" i="35"/>
  <c r="D15" i="35"/>
  <c r="E15" i="35"/>
  <c r="F15" i="35"/>
  <c r="G15" i="35"/>
  <c r="H15" i="35"/>
  <c r="Q15" i="35" s="1"/>
  <c r="I15" i="35"/>
  <c r="J15" i="35"/>
  <c r="K15" i="35"/>
  <c r="L15" i="35"/>
  <c r="B16" i="35"/>
  <c r="C16" i="35"/>
  <c r="D16" i="35"/>
  <c r="E16" i="35"/>
  <c r="F16" i="35"/>
  <c r="G16" i="35"/>
  <c r="H16" i="35"/>
  <c r="Q16" i="35" s="1"/>
  <c r="I16" i="35"/>
  <c r="J16" i="35"/>
  <c r="K16" i="35"/>
  <c r="L16" i="35"/>
  <c r="B17" i="35"/>
  <c r="C17" i="35"/>
  <c r="D17" i="35"/>
  <c r="E17" i="35"/>
  <c r="F17" i="35"/>
  <c r="G17" i="35"/>
  <c r="H17" i="35"/>
  <c r="Q17" i="35" s="1"/>
  <c r="I17" i="35"/>
  <c r="J17" i="35"/>
  <c r="K17" i="35"/>
  <c r="L17" i="35"/>
  <c r="B18" i="35"/>
  <c r="N18" i="35" s="1"/>
  <c r="O18" i="35" s="1"/>
  <c r="C18" i="35"/>
  <c r="D18" i="35"/>
  <c r="E18" i="35"/>
  <c r="F18" i="35"/>
  <c r="G18" i="35"/>
  <c r="H18" i="35"/>
  <c r="Q18" i="35" s="1"/>
  <c r="I18" i="35"/>
  <c r="J18" i="35"/>
  <c r="K18" i="35"/>
  <c r="L18" i="35"/>
  <c r="B19" i="35"/>
  <c r="C19" i="35"/>
  <c r="D19" i="35"/>
  <c r="E19" i="35"/>
  <c r="F19" i="35"/>
  <c r="G19" i="35"/>
  <c r="H19" i="35"/>
  <c r="Q19" i="35" s="1"/>
  <c r="I19" i="35"/>
  <c r="J19" i="35"/>
  <c r="K19" i="35"/>
  <c r="L19" i="35"/>
  <c r="B20" i="35"/>
  <c r="C20" i="35"/>
  <c r="D20" i="35"/>
  <c r="E20" i="35"/>
  <c r="F20" i="35"/>
  <c r="G20" i="35"/>
  <c r="H20" i="35"/>
  <c r="I20" i="35"/>
  <c r="J20" i="35"/>
  <c r="K20" i="35"/>
  <c r="L20" i="35"/>
  <c r="B21" i="35"/>
  <c r="C21" i="35"/>
  <c r="D21" i="35"/>
  <c r="E21" i="35"/>
  <c r="F21" i="35"/>
  <c r="G21" i="35"/>
  <c r="H21" i="35"/>
  <c r="Q21" i="35" s="1"/>
  <c r="I21" i="35"/>
  <c r="J21" i="35"/>
  <c r="K21" i="35"/>
  <c r="L21" i="35"/>
  <c r="S21" i="35" s="1"/>
  <c r="B22" i="35"/>
  <c r="N22" i="35" s="1"/>
  <c r="O22" i="35" s="1"/>
  <c r="C22" i="35"/>
  <c r="D22" i="35"/>
  <c r="E22" i="35"/>
  <c r="F22" i="35"/>
  <c r="G22" i="35"/>
  <c r="H22" i="35"/>
  <c r="I22" i="35"/>
  <c r="J22" i="35"/>
  <c r="K22" i="35"/>
  <c r="L22" i="35"/>
  <c r="B23" i="35"/>
  <c r="C23" i="35"/>
  <c r="D23" i="35"/>
  <c r="E23" i="35"/>
  <c r="F23" i="35"/>
  <c r="G23" i="35"/>
  <c r="H23" i="35"/>
  <c r="Q23" i="35" s="1"/>
  <c r="I23" i="35"/>
  <c r="J23" i="35"/>
  <c r="K23" i="35"/>
  <c r="L23" i="35"/>
  <c r="A24" i="35"/>
  <c r="B24" i="35"/>
  <c r="N24" i="35" s="1"/>
  <c r="O24" i="35" s="1"/>
  <c r="C24" i="35"/>
  <c r="D24" i="35"/>
  <c r="E24" i="35"/>
  <c r="F24" i="35"/>
  <c r="G24" i="35"/>
  <c r="H24" i="35"/>
  <c r="Q24" i="35" s="1"/>
  <c r="I24" i="35"/>
  <c r="J24" i="35"/>
  <c r="K24" i="35"/>
  <c r="L24" i="35"/>
  <c r="A25" i="35"/>
  <c r="B25" i="35"/>
  <c r="C25" i="35"/>
  <c r="D25" i="35"/>
  <c r="E25" i="35"/>
  <c r="F25" i="35"/>
  <c r="G25" i="35"/>
  <c r="H25" i="35"/>
  <c r="Q25" i="35" s="1"/>
  <c r="I25" i="35"/>
  <c r="J25" i="35"/>
  <c r="K25" i="35"/>
  <c r="L25" i="35"/>
  <c r="A26" i="35"/>
  <c r="B26" i="35"/>
  <c r="N26" i="35" s="1"/>
  <c r="O26" i="35" s="1"/>
  <c r="C26" i="35"/>
  <c r="D26" i="35"/>
  <c r="E26" i="35"/>
  <c r="F26" i="35"/>
  <c r="G26" i="35"/>
  <c r="H26" i="35"/>
  <c r="I26" i="35"/>
  <c r="J26" i="35"/>
  <c r="K26" i="35"/>
  <c r="L26" i="35"/>
  <c r="A27" i="35"/>
  <c r="B27" i="35"/>
  <c r="C27" i="35"/>
  <c r="D27" i="35"/>
  <c r="E27" i="35"/>
  <c r="F27" i="35"/>
  <c r="G27" i="35"/>
  <c r="H27" i="35"/>
  <c r="Q27" i="35" s="1"/>
  <c r="I27" i="35"/>
  <c r="J27" i="35"/>
  <c r="K27" i="35"/>
  <c r="L27" i="35"/>
  <c r="A28" i="35"/>
  <c r="B28" i="35"/>
  <c r="N28" i="35" s="1"/>
  <c r="O28" i="35" s="1"/>
  <c r="C28" i="35"/>
  <c r="D28" i="35"/>
  <c r="E28" i="35"/>
  <c r="F28" i="35"/>
  <c r="G28" i="35"/>
  <c r="H28" i="35"/>
  <c r="I28" i="35"/>
  <c r="J28" i="35"/>
  <c r="K28" i="35"/>
  <c r="L28" i="35"/>
  <c r="A29" i="35"/>
  <c r="B29" i="35"/>
  <c r="C29" i="35"/>
  <c r="D29" i="35"/>
  <c r="E29" i="35"/>
  <c r="F29" i="35"/>
  <c r="G29" i="35"/>
  <c r="H29" i="35"/>
  <c r="Q29" i="35" s="1"/>
  <c r="I29" i="35"/>
  <c r="J29" i="35"/>
  <c r="K29" i="35"/>
  <c r="L29" i="35"/>
  <c r="A30" i="35"/>
  <c r="B30" i="35"/>
  <c r="N30" i="35" s="1"/>
  <c r="O30" i="35" s="1"/>
  <c r="C30" i="35"/>
  <c r="D30" i="35"/>
  <c r="E30" i="35"/>
  <c r="F30" i="35"/>
  <c r="G30" i="35"/>
  <c r="H30" i="35"/>
  <c r="I30" i="35"/>
  <c r="J30" i="35"/>
  <c r="K30" i="35"/>
  <c r="L30" i="35"/>
  <c r="A31" i="35"/>
  <c r="B31" i="35"/>
  <c r="C31" i="35"/>
  <c r="D31" i="35"/>
  <c r="E31" i="35"/>
  <c r="F31" i="35"/>
  <c r="G31" i="35"/>
  <c r="H31" i="35"/>
  <c r="Q31" i="35" s="1"/>
  <c r="I31" i="35"/>
  <c r="J31" i="35"/>
  <c r="K31" i="35"/>
  <c r="L31" i="35"/>
  <c r="A32" i="35"/>
  <c r="B32" i="35"/>
  <c r="C32" i="35"/>
  <c r="D32" i="35"/>
  <c r="E32" i="35"/>
  <c r="F32" i="35"/>
  <c r="G32" i="35"/>
  <c r="H32" i="35"/>
  <c r="Q32" i="35" s="1"/>
  <c r="I32" i="35"/>
  <c r="J32" i="35"/>
  <c r="K32" i="35"/>
  <c r="L32" i="35"/>
  <c r="S32" i="35" s="1"/>
  <c r="A33" i="35"/>
  <c r="B33" i="35"/>
  <c r="C33" i="35"/>
  <c r="D33" i="35"/>
  <c r="E33" i="35"/>
  <c r="F33" i="35"/>
  <c r="G33" i="35"/>
  <c r="H33" i="35"/>
  <c r="Q33" i="35" s="1"/>
  <c r="I33" i="35"/>
  <c r="J33" i="35"/>
  <c r="K33" i="35"/>
  <c r="L33" i="35"/>
  <c r="A34" i="35"/>
  <c r="B34" i="35"/>
  <c r="N34" i="35" s="1"/>
  <c r="O34" i="35" s="1"/>
  <c r="C34" i="35"/>
  <c r="D34" i="35"/>
  <c r="E34" i="35"/>
  <c r="F34" i="35"/>
  <c r="G34" i="35"/>
  <c r="H34" i="35"/>
  <c r="Q34" i="35" s="1"/>
  <c r="I34" i="35"/>
  <c r="J34" i="35"/>
  <c r="K34" i="35"/>
  <c r="L34" i="35"/>
  <c r="S34" i="35" s="1"/>
  <c r="A35" i="35"/>
  <c r="B35" i="35"/>
  <c r="C35" i="35"/>
  <c r="D35" i="35"/>
  <c r="E35" i="35"/>
  <c r="F35" i="35"/>
  <c r="G35" i="35"/>
  <c r="H35" i="35"/>
  <c r="Q35" i="35" s="1"/>
  <c r="I35" i="35"/>
  <c r="J35" i="35"/>
  <c r="K35" i="35"/>
  <c r="L35" i="35"/>
  <c r="A36" i="35"/>
  <c r="B36" i="35"/>
  <c r="N36" i="35" s="1"/>
  <c r="O36" i="35" s="1"/>
  <c r="C36" i="35"/>
  <c r="D36" i="35"/>
  <c r="E36" i="35"/>
  <c r="F36" i="35"/>
  <c r="G36" i="35"/>
  <c r="H36" i="35"/>
  <c r="Q36" i="35" s="1"/>
  <c r="I36" i="35"/>
  <c r="J36" i="35"/>
  <c r="K36" i="35"/>
  <c r="L36" i="35"/>
  <c r="S36" i="35" s="1"/>
  <c r="A37" i="35"/>
  <c r="B37" i="35"/>
  <c r="C37" i="35"/>
  <c r="D37" i="35"/>
  <c r="E37" i="35"/>
  <c r="F37" i="35"/>
  <c r="G37" i="35"/>
  <c r="H37" i="35"/>
  <c r="Q37" i="35" s="1"/>
  <c r="I37" i="35"/>
  <c r="J37" i="35"/>
  <c r="K37" i="35"/>
  <c r="L37" i="35"/>
  <c r="A38" i="35"/>
  <c r="B38" i="35"/>
  <c r="N38" i="35" s="1"/>
  <c r="O38" i="35" s="1"/>
  <c r="C38" i="35"/>
  <c r="D38" i="35"/>
  <c r="E38" i="35"/>
  <c r="F38" i="35"/>
  <c r="G38" i="35"/>
  <c r="H38" i="35"/>
  <c r="I38" i="35"/>
  <c r="J38" i="35"/>
  <c r="K38" i="35"/>
  <c r="L38" i="35"/>
  <c r="A39" i="35"/>
  <c r="B39" i="35"/>
  <c r="C39" i="35"/>
  <c r="D39" i="35"/>
  <c r="E39" i="35"/>
  <c r="F39" i="35"/>
  <c r="G39" i="35"/>
  <c r="H39" i="35"/>
  <c r="Q39" i="35" s="1"/>
  <c r="I39" i="35"/>
  <c r="J39" i="35"/>
  <c r="K39" i="35"/>
  <c r="L39" i="35"/>
  <c r="A40" i="35"/>
  <c r="B40" i="35"/>
  <c r="N40" i="35" s="1"/>
  <c r="O40" i="35" s="1"/>
  <c r="C40" i="35"/>
  <c r="D40" i="35"/>
  <c r="E40" i="35"/>
  <c r="F40" i="35"/>
  <c r="G40" i="35"/>
  <c r="H40" i="35"/>
  <c r="Q40" i="35" s="1"/>
  <c r="I40" i="35"/>
  <c r="J40" i="35"/>
  <c r="K40" i="35"/>
  <c r="L40" i="35"/>
  <c r="S40" i="35" s="1"/>
  <c r="A41" i="35"/>
  <c r="B41" i="35"/>
  <c r="C41" i="35"/>
  <c r="D41" i="35"/>
  <c r="E41" i="35"/>
  <c r="F41" i="35"/>
  <c r="G41" i="35"/>
  <c r="H41" i="35"/>
  <c r="Q41" i="35" s="1"/>
  <c r="I41" i="35"/>
  <c r="J41" i="35"/>
  <c r="K41" i="35"/>
  <c r="L41" i="35"/>
  <c r="A42" i="35"/>
  <c r="B42" i="35"/>
  <c r="N42" i="35" s="1"/>
  <c r="O42" i="35" s="1"/>
  <c r="C42" i="35"/>
  <c r="D42" i="35"/>
  <c r="E42" i="35"/>
  <c r="F42" i="35"/>
  <c r="G42" i="35"/>
  <c r="H42" i="35"/>
  <c r="Q42" i="35" s="1"/>
  <c r="I42" i="35"/>
  <c r="J42" i="35"/>
  <c r="K42" i="35"/>
  <c r="L42" i="35"/>
  <c r="S42" i="35" s="1"/>
  <c r="A43" i="35"/>
  <c r="B43" i="35"/>
  <c r="C43" i="35"/>
  <c r="D43" i="35"/>
  <c r="E43" i="35"/>
  <c r="F43" i="35"/>
  <c r="G43" i="35"/>
  <c r="H43" i="35"/>
  <c r="Q43" i="35" s="1"/>
  <c r="I43" i="35"/>
  <c r="J43" i="35"/>
  <c r="K43" i="35"/>
  <c r="L43" i="35"/>
  <c r="A44" i="35"/>
  <c r="B44" i="35"/>
  <c r="N44" i="35" s="1"/>
  <c r="O44" i="35" s="1"/>
  <c r="C44" i="35"/>
  <c r="D44" i="35"/>
  <c r="E44" i="35"/>
  <c r="F44" i="35"/>
  <c r="G44" i="35"/>
  <c r="H44" i="35"/>
  <c r="Q44" i="35" s="1"/>
  <c r="I44" i="35"/>
  <c r="J44" i="35"/>
  <c r="K44" i="35"/>
  <c r="L44" i="35"/>
  <c r="A45" i="35"/>
  <c r="B45" i="35"/>
  <c r="C45" i="35"/>
  <c r="D45" i="35"/>
  <c r="E45" i="35"/>
  <c r="F45" i="35"/>
  <c r="G45" i="35"/>
  <c r="H45" i="35"/>
  <c r="Q45" i="35" s="1"/>
  <c r="I45" i="35"/>
  <c r="J45" i="35"/>
  <c r="K45" i="35"/>
  <c r="L45" i="35"/>
  <c r="A46" i="35"/>
  <c r="B46" i="35"/>
  <c r="N46" i="35" s="1"/>
  <c r="O46" i="35" s="1"/>
  <c r="C46" i="35"/>
  <c r="D46" i="35"/>
  <c r="E46" i="35"/>
  <c r="F46" i="35"/>
  <c r="G46" i="35"/>
  <c r="H46" i="35"/>
  <c r="I46" i="35"/>
  <c r="J46" i="35"/>
  <c r="K46" i="35"/>
  <c r="L46" i="35"/>
  <c r="A47" i="35"/>
  <c r="B47" i="35"/>
  <c r="C47" i="35"/>
  <c r="D47" i="35"/>
  <c r="E47" i="35"/>
  <c r="F47" i="35"/>
  <c r="G47" i="35"/>
  <c r="H47" i="35"/>
  <c r="Q47" i="35" s="1"/>
  <c r="I47" i="35"/>
  <c r="J47" i="35"/>
  <c r="K47" i="35"/>
  <c r="L47" i="35"/>
  <c r="A48" i="35"/>
  <c r="B48" i="35"/>
  <c r="N48" i="35" s="1"/>
  <c r="O48" i="35" s="1"/>
  <c r="C48" i="35"/>
  <c r="D48" i="35"/>
  <c r="E48" i="35"/>
  <c r="F48" i="35"/>
  <c r="G48" i="35"/>
  <c r="H48" i="35"/>
  <c r="Q48" i="35" s="1"/>
  <c r="I48" i="35"/>
  <c r="J48" i="35"/>
  <c r="K48" i="35"/>
  <c r="L48" i="35"/>
  <c r="S48" i="35" s="1"/>
  <c r="A49" i="35"/>
  <c r="B49" i="35"/>
  <c r="C49" i="35"/>
  <c r="D49" i="35"/>
  <c r="E49" i="35"/>
  <c r="F49" i="35"/>
  <c r="G49" i="35"/>
  <c r="H49" i="35"/>
  <c r="Q49" i="35" s="1"/>
  <c r="I49" i="35"/>
  <c r="J49" i="35"/>
  <c r="K49" i="35"/>
  <c r="L49" i="35"/>
  <c r="A50" i="35"/>
  <c r="B50" i="35"/>
  <c r="N50" i="35" s="1"/>
  <c r="O50" i="35" s="1"/>
  <c r="C50" i="35"/>
  <c r="D50" i="35"/>
  <c r="E50" i="35"/>
  <c r="F50" i="35"/>
  <c r="G50" i="35"/>
  <c r="H50" i="35"/>
  <c r="I50" i="35"/>
  <c r="J50" i="35"/>
  <c r="K50" i="35"/>
  <c r="L50" i="35"/>
  <c r="A51" i="35"/>
  <c r="B51" i="35"/>
  <c r="C51" i="35"/>
  <c r="D51" i="35"/>
  <c r="E51" i="35"/>
  <c r="F51" i="35"/>
  <c r="G51" i="35"/>
  <c r="H51" i="35"/>
  <c r="Q51" i="35" s="1"/>
  <c r="I51" i="35"/>
  <c r="J51" i="35"/>
  <c r="K51" i="35"/>
  <c r="L51" i="35"/>
  <c r="A52" i="35"/>
  <c r="B52" i="35"/>
  <c r="N52" i="35" s="1"/>
  <c r="O52" i="35" s="1"/>
  <c r="C52" i="35"/>
  <c r="D52" i="35"/>
  <c r="E52" i="35"/>
  <c r="F52" i="35"/>
  <c r="G52" i="35"/>
  <c r="H52" i="35"/>
  <c r="I52" i="35"/>
  <c r="J52" i="35"/>
  <c r="K52" i="35"/>
  <c r="L52" i="35"/>
  <c r="A53" i="35"/>
  <c r="B53" i="35"/>
  <c r="C53" i="35"/>
  <c r="D53" i="35"/>
  <c r="E53" i="35"/>
  <c r="F53" i="35"/>
  <c r="G53" i="35"/>
  <c r="H53" i="35"/>
  <c r="Q53" i="35" s="1"/>
  <c r="I53" i="35"/>
  <c r="J53" i="35"/>
  <c r="K53" i="35"/>
  <c r="L53" i="35"/>
  <c r="A54" i="35"/>
  <c r="B54" i="35"/>
  <c r="N54" i="35" s="1"/>
  <c r="O54" i="35" s="1"/>
  <c r="C54" i="35"/>
  <c r="D54" i="35"/>
  <c r="E54" i="35"/>
  <c r="F54" i="35"/>
  <c r="G54" i="35"/>
  <c r="H54" i="35"/>
  <c r="I54" i="35"/>
  <c r="J54" i="35"/>
  <c r="K54" i="35"/>
  <c r="L54" i="35"/>
  <c r="A55" i="35"/>
  <c r="B55" i="35"/>
  <c r="C55" i="35"/>
  <c r="D55" i="35"/>
  <c r="E55" i="35"/>
  <c r="F55" i="35"/>
  <c r="G55" i="35"/>
  <c r="H55" i="35"/>
  <c r="Q55" i="35" s="1"/>
  <c r="I55" i="35"/>
  <c r="J55" i="35"/>
  <c r="K55" i="35"/>
  <c r="L55" i="35"/>
  <c r="A56" i="35"/>
  <c r="B56" i="35"/>
  <c r="N56" i="35" s="1"/>
  <c r="O56" i="35" s="1"/>
  <c r="C56" i="35"/>
  <c r="D56" i="35"/>
  <c r="E56" i="35"/>
  <c r="F56" i="35"/>
  <c r="G56" i="35"/>
  <c r="H56" i="35"/>
  <c r="Q56" i="35" s="1"/>
  <c r="I56" i="35"/>
  <c r="J56" i="35"/>
  <c r="K56" i="35"/>
  <c r="L56" i="35"/>
  <c r="S56" i="35" s="1"/>
  <c r="A57" i="35"/>
  <c r="B57" i="35"/>
  <c r="C57" i="35"/>
  <c r="D57" i="35"/>
  <c r="E57" i="35"/>
  <c r="F57" i="35"/>
  <c r="G57" i="35"/>
  <c r="H57" i="35"/>
  <c r="Q57" i="35" s="1"/>
  <c r="I57" i="35"/>
  <c r="J57" i="35"/>
  <c r="K57" i="35"/>
  <c r="L57" i="35"/>
  <c r="A58" i="35"/>
  <c r="B58" i="35"/>
  <c r="N58" i="35" s="1"/>
  <c r="O58" i="35" s="1"/>
  <c r="C58" i="35"/>
  <c r="D58" i="35"/>
  <c r="E58" i="35"/>
  <c r="F58" i="35"/>
  <c r="G58" i="35"/>
  <c r="H58" i="35"/>
  <c r="Q58" i="35" s="1"/>
  <c r="I58" i="35"/>
  <c r="J58" i="35"/>
  <c r="K58" i="35"/>
  <c r="L58" i="35"/>
  <c r="A59" i="35"/>
  <c r="B59" i="35"/>
  <c r="C59" i="35"/>
  <c r="D59" i="35"/>
  <c r="E59" i="35"/>
  <c r="F59" i="35"/>
  <c r="G59" i="35"/>
  <c r="H59" i="35"/>
  <c r="Q59" i="35" s="1"/>
  <c r="I59" i="35"/>
  <c r="J59" i="35"/>
  <c r="K59" i="35"/>
  <c r="L59" i="35"/>
  <c r="A60" i="35"/>
  <c r="B60" i="35"/>
  <c r="N60" i="35" s="1"/>
  <c r="O60" i="35" s="1"/>
  <c r="C60" i="35"/>
  <c r="D60" i="35"/>
  <c r="E60" i="35"/>
  <c r="F60" i="35"/>
  <c r="G60" i="35"/>
  <c r="H60" i="35"/>
  <c r="I60" i="35"/>
  <c r="J60" i="35"/>
  <c r="K60" i="35"/>
  <c r="L60" i="35"/>
  <c r="A61" i="35"/>
  <c r="B61" i="35"/>
  <c r="N61" i="35" s="1"/>
  <c r="O61" i="35" s="1"/>
  <c r="C61" i="35"/>
  <c r="D61" i="35"/>
  <c r="E61" i="35"/>
  <c r="F61" i="35"/>
  <c r="G61" i="35"/>
  <c r="H61" i="35"/>
  <c r="Q61" i="35" s="1"/>
  <c r="I61" i="35"/>
  <c r="J61" i="35"/>
  <c r="K61" i="35"/>
  <c r="L61" i="35"/>
  <c r="A62" i="35"/>
  <c r="B62" i="35"/>
  <c r="N62" i="35" s="1"/>
  <c r="O62" i="35" s="1"/>
  <c r="C62" i="35"/>
  <c r="D62" i="35"/>
  <c r="E62" i="35"/>
  <c r="F62" i="35"/>
  <c r="G62" i="35"/>
  <c r="H62" i="35"/>
  <c r="Q62" i="35" s="1"/>
  <c r="I62" i="35"/>
  <c r="J62" i="35"/>
  <c r="K62" i="35"/>
  <c r="L62" i="35"/>
  <c r="S62" i="35" s="1"/>
  <c r="A63" i="35"/>
  <c r="B63" i="35"/>
  <c r="C63" i="35"/>
  <c r="D63" i="35"/>
  <c r="E63" i="35"/>
  <c r="F63" i="35"/>
  <c r="G63" i="35"/>
  <c r="H63" i="35"/>
  <c r="Q63" i="35" s="1"/>
  <c r="I63" i="35"/>
  <c r="J63" i="35"/>
  <c r="K63" i="35"/>
  <c r="L63" i="35"/>
  <c r="A64" i="35"/>
  <c r="B64" i="35"/>
  <c r="N64" i="35" s="1"/>
  <c r="O64" i="35" s="1"/>
  <c r="C64" i="35"/>
  <c r="D64" i="35"/>
  <c r="E64" i="35"/>
  <c r="F64" i="35"/>
  <c r="G64" i="35"/>
  <c r="H64" i="35"/>
  <c r="Q64" i="35" s="1"/>
  <c r="I64" i="35"/>
  <c r="J64" i="35"/>
  <c r="K64" i="35"/>
  <c r="L64" i="35"/>
  <c r="S64" i="35" s="1"/>
  <c r="A65" i="35"/>
  <c r="B65" i="35"/>
  <c r="C65" i="35"/>
  <c r="D65" i="35"/>
  <c r="E65" i="35"/>
  <c r="F65" i="35"/>
  <c r="G65" i="35"/>
  <c r="H65" i="35"/>
  <c r="Q65" i="35" s="1"/>
  <c r="I65" i="35"/>
  <c r="J65" i="35"/>
  <c r="K65" i="35"/>
  <c r="L65" i="35"/>
  <c r="A66" i="35"/>
  <c r="B66" i="35"/>
  <c r="N66" i="35" s="1"/>
  <c r="O66" i="35" s="1"/>
  <c r="C66" i="35"/>
  <c r="D66" i="35"/>
  <c r="E66" i="35"/>
  <c r="F66" i="35"/>
  <c r="G66" i="35"/>
  <c r="H66" i="35"/>
  <c r="I66" i="35"/>
  <c r="J66" i="35"/>
  <c r="K66" i="35"/>
  <c r="L66" i="35"/>
  <c r="A67" i="35"/>
  <c r="B67" i="35"/>
  <c r="C67" i="35"/>
  <c r="D67" i="35"/>
  <c r="E67" i="35"/>
  <c r="F67" i="35"/>
  <c r="G67" i="35"/>
  <c r="H67" i="35"/>
  <c r="Q67" i="35" s="1"/>
  <c r="I67" i="35"/>
  <c r="J67" i="35"/>
  <c r="K67" i="35"/>
  <c r="L67" i="35"/>
  <c r="A68" i="35"/>
  <c r="B68" i="35"/>
  <c r="N68" i="35" s="1"/>
  <c r="O68" i="35" s="1"/>
  <c r="C68" i="35"/>
  <c r="D68" i="35"/>
  <c r="E68" i="35"/>
  <c r="F68" i="35"/>
  <c r="G68" i="35"/>
  <c r="H68" i="35"/>
  <c r="I68" i="35"/>
  <c r="J68" i="35"/>
  <c r="K68" i="35"/>
  <c r="L68" i="35"/>
  <c r="A69" i="35"/>
  <c r="B69" i="35"/>
  <c r="C69" i="35"/>
  <c r="D69" i="35"/>
  <c r="E69" i="35"/>
  <c r="F69" i="35"/>
  <c r="G69" i="35"/>
  <c r="H69" i="35"/>
  <c r="Q69" i="35" s="1"/>
  <c r="I69" i="35"/>
  <c r="J69" i="35"/>
  <c r="K69" i="35"/>
  <c r="L69" i="35"/>
  <c r="A70" i="35"/>
  <c r="B70" i="35"/>
  <c r="N70" i="35" s="1"/>
  <c r="O70" i="35" s="1"/>
  <c r="C70" i="35"/>
  <c r="D70" i="35"/>
  <c r="E70" i="35"/>
  <c r="F70" i="35"/>
  <c r="G70" i="35"/>
  <c r="H70" i="35"/>
  <c r="Q70" i="35" s="1"/>
  <c r="I70" i="35"/>
  <c r="J70" i="35"/>
  <c r="K70" i="35"/>
  <c r="L70" i="35"/>
  <c r="S70" i="35" s="1"/>
  <c r="A71" i="35"/>
  <c r="B71" i="35"/>
  <c r="C71" i="35"/>
  <c r="D71" i="35"/>
  <c r="E71" i="35"/>
  <c r="F71" i="35"/>
  <c r="G71" i="35"/>
  <c r="H71" i="35"/>
  <c r="Q71" i="35" s="1"/>
  <c r="I71" i="35"/>
  <c r="J71" i="35"/>
  <c r="K71" i="35"/>
  <c r="L71" i="35"/>
  <c r="A72" i="35"/>
  <c r="B72" i="35"/>
  <c r="N72" i="35" s="1"/>
  <c r="O72" i="35" s="1"/>
  <c r="C72" i="35"/>
  <c r="D72" i="35"/>
  <c r="E72" i="35"/>
  <c r="F72" i="35"/>
  <c r="G72" i="35"/>
  <c r="H72" i="35"/>
  <c r="Q72" i="35" s="1"/>
  <c r="I72" i="35"/>
  <c r="J72" i="35"/>
  <c r="K72" i="35"/>
  <c r="L72" i="35"/>
  <c r="S72" i="35" s="1"/>
  <c r="A73" i="35"/>
  <c r="B73" i="35"/>
  <c r="C73" i="35"/>
  <c r="D73" i="35"/>
  <c r="E73" i="35"/>
  <c r="F73" i="35"/>
  <c r="G73" i="35"/>
  <c r="H73" i="35"/>
  <c r="Q73" i="35" s="1"/>
  <c r="I73" i="35"/>
  <c r="J73" i="35"/>
  <c r="K73" i="35"/>
  <c r="L73" i="35"/>
  <c r="A74" i="35"/>
  <c r="B74" i="35"/>
  <c r="N74" i="35" s="1"/>
  <c r="O74" i="35" s="1"/>
  <c r="C74" i="35"/>
  <c r="D74" i="35"/>
  <c r="E74" i="35"/>
  <c r="F74" i="35"/>
  <c r="G74" i="35"/>
  <c r="H74" i="35"/>
  <c r="Q74" i="35" s="1"/>
  <c r="I74" i="35"/>
  <c r="J74" i="35"/>
  <c r="K74" i="35"/>
  <c r="L74" i="35"/>
  <c r="A75" i="35"/>
  <c r="B75" i="35"/>
  <c r="C75" i="35"/>
  <c r="D75" i="35"/>
  <c r="E75" i="35"/>
  <c r="F75" i="35"/>
  <c r="G75" i="35"/>
  <c r="H75" i="35"/>
  <c r="Q75" i="35" s="1"/>
  <c r="I75" i="35"/>
  <c r="J75" i="35"/>
  <c r="K75" i="35"/>
  <c r="L75" i="35"/>
  <c r="A76" i="35"/>
  <c r="B76" i="35"/>
  <c r="N76" i="35" s="1"/>
  <c r="O76" i="35" s="1"/>
  <c r="C76" i="35"/>
  <c r="D76" i="35"/>
  <c r="E76" i="35"/>
  <c r="F76" i="35"/>
  <c r="G76" i="35"/>
  <c r="H76" i="35"/>
  <c r="Q76" i="35" s="1"/>
  <c r="I76" i="35"/>
  <c r="J76" i="35"/>
  <c r="K76" i="35"/>
  <c r="L76" i="35"/>
  <c r="S76" i="35" s="1"/>
  <c r="A77" i="35"/>
  <c r="B77" i="35"/>
  <c r="C77" i="35"/>
  <c r="D77" i="35"/>
  <c r="E77" i="35"/>
  <c r="F77" i="35"/>
  <c r="G77" i="35"/>
  <c r="H77" i="35"/>
  <c r="Q77" i="35" s="1"/>
  <c r="I77" i="35"/>
  <c r="J77" i="35"/>
  <c r="K77" i="35"/>
  <c r="L77" i="35"/>
  <c r="A78" i="35"/>
  <c r="B78" i="35"/>
  <c r="C78" i="35"/>
  <c r="D78" i="35"/>
  <c r="E78" i="35"/>
  <c r="F78" i="35"/>
  <c r="G78" i="35"/>
  <c r="H78" i="35"/>
  <c r="Q78" i="35" s="1"/>
  <c r="I78" i="35"/>
  <c r="J78" i="35"/>
  <c r="K78" i="35"/>
  <c r="L78" i="35"/>
  <c r="S78" i="35" s="1"/>
  <c r="A79" i="35"/>
  <c r="B79" i="35"/>
  <c r="C79" i="35"/>
  <c r="D79" i="35"/>
  <c r="E79" i="35"/>
  <c r="F79" i="35"/>
  <c r="G79" i="35"/>
  <c r="H79" i="35"/>
  <c r="Q79" i="35" s="1"/>
  <c r="I79" i="35"/>
  <c r="J79" i="35"/>
  <c r="K79" i="35"/>
  <c r="L79" i="35"/>
  <c r="A80" i="35"/>
  <c r="B80" i="35"/>
  <c r="C80" i="35"/>
  <c r="D80" i="35"/>
  <c r="E80" i="35"/>
  <c r="F80" i="35"/>
  <c r="G80" i="35"/>
  <c r="H80" i="35"/>
  <c r="I80" i="35"/>
  <c r="J80" i="35"/>
  <c r="K80" i="35"/>
  <c r="L80" i="35"/>
  <c r="A81" i="35"/>
  <c r="B81" i="35"/>
  <c r="C81" i="35"/>
  <c r="D81" i="35"/>
  <c r="E81" i="35"/>
  <c r="F81" i="35"/>
  <c r="G81" i="35"/>
  <c r="H81" i="35"/>
  <c r="Q81" i="35" s="1"/>
  <c r="I81" i="35"/>
  <c r="J81" i="35"/>
  <c r="K81" i="35"/>
  <c r="L81" i="35"/>
  <c r="A82" i="35"/>
  <c r="B82" i="35"/>
  <c r="C82" i="35"/>
  <c r="D82" i="35"/>
  <c r="E82" i="35"/>
  <c r="F82" i="35"/>
  <c r="G82" i="35"/>
  <c r="H82" i="35"/>
  <c r="Q82" i="35" s="1"/>
  <c r="I82" i="35"/>
  <c r="J82" i="35"/>
  <c r="K82" i="35"/>
  <c r="L82" i="35"/>
  <c r="A83" i="35"/>
  <c r="B83" i="35"/>
  <c r="C83" i="35"/>
  <c r="D83" i="35"/>
  <c r="E83" i="35"/>
  <c r="F83" i="35"/>
  <c r="G83" i="35"/>
  <c r="H83" i="35"/>
  <c r="Q83" i="35" s="1"/>
  <c r="I83" i="35"/>
  <c r="J83" i="35"/>
  <c r="K83" i="35"/>
  <c r="L83" i="35"/>
  <c r="A84" i="35"/>
  <c r="B84" i="35"/>
  <c r="C84" i="35"/>
  <c r="D84" i="35"/>
  <c r="E84" i="35"/>
  <c r="F84" i="35"/>
  <c r="G84" i="35"/>
  <c r="H84" i="35"/>
  <c r="I84" i="35"/>
  <c r="J84" i="35"/>
  <c r="K84" i="35"/>
  <c r="L84" i="35"/>
  <c r="A85" i="35"/>
  <c r="B85" i="35"/>
  <c r="C85" i="35"/>
  <c r="D85" i="35"/>
  <c r="E85" i="35"/>
  <c r="F85" i="35"/>
  <c r="G85" i="35"/>
  <c r="H85" i="35"/>
  <c r="Q85" i="35" s="1"/>
  <c r="I85" i="35"/>
  <c r="J85" i="35"/>
  <c r="K85" i="35"/>
  <c r="L85" i="35"/>
  <c r="A86" i="35"/>
  <c r="B86" i="35"/>
  <c r="N86" i="35" s="1"/>
  <c r="O86" i="35" s="1"/>
  <c r="C86" i="35"/>
  <c r="D86" i="35"/>
  <c r="E86" i="35"/>
  <c r="F86" i="35"/>
  <c r="G86" i="35"/>
  <c r="H86" i="35"/>
  <c r="Q86" i="35" s="1"/>
  <c r="I86" i="35"/>
  <c r="J86" i="35"/>
  <c r="K86" i="35"/>
  <c r="L86" i="35"/>
  <c r="A87" i="35"/>
  <c r="B87" i="35"/>
  <c r="C87" i="35"/>
  <c r="D87" i="35"/>
  <c r="E87" i="35"/>
  <c r="F87" i="35"/>
  <c r="G87" i="35"/>
  <c r="H87" i="35"/>
  <c r="Q87" i="35" s="1"/>
  <c r="I87" i="35"/>
  <c r="J87" i="35"/>
  <c r="K87" i="35"/>
  <c r="L87" i="35"/>
  <c r="A88" i="35"/>
  <c r="B88" i="35"/>
  <c r="N88" i="35" s="1"/>
  <c r="O88" i="35" s="1"/>
  <c r="C88" i="35"/>
  <c r="D88" i="35"/>
  <c r="E88" i="35"/>
  <c r="F88" i="35"/>
  <c r="G88" i="35"/>
  <c r="H88" i="35"/>
  <c r="Q88" i="35" s="1"/>
  <c r="I88" i="35"/>
  <c r="J88" i="35"/>
  <c r="K88" i="35"/>
  <c r="L88" i="35"/>
  <c r="S88" i="35" s="1"/>
  <c r="A89" i="35"/>
  <c r="B89" i="35"/>
  <c r="C89" i="35"/>
  <c r="D89" i="35"/>
  <c r="E89" i="35"/>
  <c r="F89" i="35"/>
  <c r="G89" i="35"/>
  <c r="H89" i="35"/>
  <c r="Q89" i="35" s="1"/>
  <c r="I89" i="35"/>
  <c r="J89" i="35"/>
  <c r="K89" i="35"/>
  <c r="L89" i="35"/>
  <c r="A90" i="35"/>
  <c r="B90" i="35"/>
  <c r="N90" i="35" s="1"/>
  <c r="O90" i="35" s="1"/>
  <c r="C90" i="35"/>
  <c r="D90" i="35"/>
  <c r="E90" i="35"/>
  <c r="F90" i="35"/>
  <c r="G90" i="35"/>
  <c r="H90" i="35"/>
  <c r="Q90" i="35" s="1"/>
  <c r="I90" i="35"/>
  <c r="J90" i="35"/>
  <c r="K90" i="35"/>
  <c r="L90" i="35"/>
  <c r="S90" i="35" s="1"/>
  <c r="A91" i="35"/>
  <c r="B91" i="35"/>
  <c r="C91" i="35"/>
  <c r="D91" i="35"/>
  <c r="E91" i="35"/>
  <c r="F91" i="35"/>
  <c r="G91" i="35"/>
  <c r="H91" i="35"/>
  <c r="Q91" i="35" s="1"/>
  <c r="I91" i="35"/>
  <c r="J91" i="35"/>
  <c r="K91" i="35"/>
  <c r="L91" i="35"/>
  <c r="A92" i="35"/>
  <c r="B92" i="35"/>
  <c r="N92" i="35" s="1"/>
  <c r="O92" i="35" s="1"/>
  <c r="C92" i="35"/>
  <c r="D92" i="35"/>
  <c r="E92" i="35"/>
  <c r="F92" i="35"/>
  <c r="G92" i="35"/>
  <c r="H92" i="35"/>
  <c r="Q92" i="35" s="1"/>
  <c r="I92" i="35"/>
  <c r="J92" i="35"/>
  <c r="K92" i="35"/>
  <c r="L92" i="35"/>
  <c r="A93" i="35"/>
  <c r="B93" i="35"/>
  <c r="C93" i="35"/>
  <c r="D93" i="35"/>
  <c r="E93" i="35"/>
  <c r="F93" i="35"/>
  <c r="G93" i="35"/>
  <c r="H93" i="35"/>
  <c r="Q93" i="35" s="1"/>
  <c r="I93" i="35"/>
  <c r="J93" i="35"/>
  <c r="K93" i="35"/>
  <c r="L93" i="35"/>
  <c r="A94" i="35"/>
  <c r="B94" i="35"/>
  <c r="C94" i="35"/>
  <c r="D94" i="35"/>
  <c r="E94" i="35"/>
  <c r="F94" i="35"/>
  <c r="G94" i="35"/>
  <c r="H94" i="35"/>
  <c r="Q94" i="35" s="1"/>
  <c r="I94" i="35"/>
  <c r="J94" i="35"/>
  <c r="K94" i="35"/>
  <c r="L94" i="35"/>
  <c r="A95" i="35"/>
  <c r="B95" i="35"/>
  <c r="C95" i="35"/>
  <c r="D95" i="35"/>
  <c r="E95" i="35"/>
  <c r="F95" i="35"/>
  <c r="G95" i="35"/>
  <c r="H95" i="35"/>
  <c r="Q95" i="35" s="1"/>
  <c r="I95" i="35"/>
  <c r="J95" i="35"/>
  <c r="K95" i="35"/>
  <c r="L95" i="35"/>
  <c r="A96" i="35"/>
  <c r="B96" i="35"/>
  <c r="N96" i="35" s="1"/>
  <c r="O96" i="35" s="1"/>
  <c r="C96" i="35"/>
  <c r="D96" i="35"/>
  <c r="E96" i="35"/>
  <c r="F96" i="35"/>
  <c r="G96" i="35"/>
  <c r="H96" i="35"/>
  <c r="Q96" i="35" s="1"/>
  <c r="I96" i="35"/>
  <c r="J96" i="35"/>
  <c r="K96" i="35"/>
  <c r="L96" i="35"/>
  <c r="S96" i="35" s="1"/>
  <c r="A97" i="35"/>
  <c r="B97" i="35"/>
  <c r="C97" i="35"/>
  <c r="D97" i="35"/>
  <c r="E97" i="35"/>
  <c r="F97" i="35"/>
  <c r="G97" i="35"/>
  <c r="H97" i="35"/>
  <c r="Q97" i="35" s="1"/>
  <c r="I97" i="35"/>
  <c r="J97" i="35"/>
  <c r="K97" i="35"/>
  <c r="L97" i="35"/>
  <c r="A98" i="35"/>
  <c r="B98" i="35"/>
  <c r="N98" i="35" s="1"/>
  <c r="O98" i="35" s="1"/>
  <c r="C98" i="35"/>
  <c r="D98" i="35"/>
  <c r="E98" i="35"/>
  <c r="F98" i="35"/>
  <c r="G98" i="35"/>
  <c r="H98" i="35"/>
  <c r="Q98" i="35" s="1"/>
  <c r="I98" i="35"/>
  <c r="J98" i="35"/>
  <c r="K98" i="35"/>
  <c r="L98" i="35"/>
  <c r="S98" i="35" s="1"/>
  <c r="A99" i="35"/>
  <c r="B99" i="35"/>
  <c r="C99" i="35"/>
  <c r="D99" i="35"/>
  <c r="E99" i="35"/>
  <c r="F99" i="35"/>
  <c r="G99" i="35"/>
  <c r="H99" i="35"/>
  <c r="Q99" i="35" s="1"/>
  <c r="I99" i="35"/>
  <c r="J99" i="35"/>
  <c r="K99" i="35"/>
  <c r="L99" i="35"/>
  <c r="A100" i="35"/>
  <c r="B100" i="35"/>
  <c r="N100" i="35" s="1"/>
  <c r="O100" i="35" s="1"/>
  <c r="C100" i="35"/>
  <c r="D100" i="35"/>
  <c r="E100" i="35"/>
  <c r="F100" i="35"/>
  <c r="G100" i="35"/>
  <c r="H100" i="35"/>
  <c r="Q100" i="35" s="1"/>
  <c r="I100" i="35"/>
  <c r="J100" i="35"/>
  <c r="K100" i="35"/>
  <c r="L100" i="35"/>
  <c r="A101" i="35"/>
  <c r="B101" i="35"/>
  <c r="C101" i="35"/>
  <c r="D101" i="35"/>
  <c r="E101" i="35"/>
  <c r="F101" i="35"/>
  <c r="G101" i="35"/>
  <c r="H101" i="35"/>
  <c r="Q101" i="35" s="1"/>
  <c r="I101" i="35"/>
  <c r="J101" i="35"/>
  <c r="K101" i="35"/>
  <c r="L101" i="35"/>
  <c r="A102" i="35"/>
  <c r="B102" i="35"/>
  <c r="N102" i="35" s="1"/>
  <c r="O102" i="35" s="1"/>
  <c r="C102" i="35"/>
  <c r="D102" i="35"/>
  <c r="E102" i="35"/>
  <c r="F102" i="35"/>
  <c r="G102" i="35"/>
  <c r="H102" i="35"/>
  <c r="Q102" i="35" s="1"/>
  <c r="I102" i="35"/>
  <c r="J102" i="35"/>
  <c r="K102" i="35"/>
  <c r="L102" i="35"/>
  <c r="A103" i="35"/>
  <c r="B103" i="35"/>
  <c r="C103" i="35"/>
  <c r="D103" i="35"/>
  <c r="E103" i="35"/>
  <c r="F103" i="35"/>
  <c r="G103" i="35"/>
  <c r="H103" i="35"/>
  <c r="Q103" i="35" s="1"/>
  <c r="I103" i="35"/>
  <c r="J103" i="35"/>
  <c r="K103" i="35"/>
  <c r="L103" i="35"/>
  <c r="A104" i="35"/>
  <c r="B104" i="35"/>
  <c r="N104" i="35" s="1"/>
  <c r="O104" i="35" s="1"/>
  <c r="C104" i="35"/>
  <c r="D104" i="35"/>
  <c r="E104" i="35"/>
  <c r="F104" i="35"/>
  <c r="G104" i="35"/>
  <c r="H104" i="35"/>
  <c r="Q104" i="35" s="1"/>
  <c r="I104" i="35"/>
  <c r="J104" i="35"/>
  <c r="K104" i="35"/>
  <c r="L104" i="35"/>
  <c r="S104" i="35" s="1"/>
  <c r="A105" i="35"/>
  <c r="B105" i="35"/>
  <c r="C105" i="35"/>
  <c r="D105" i="35"/>
  <c r="E105" i="35"/>
  <c r="F105" i="35"/>
  <c r="G105" i="35"/>
  <c r="H105" i="35"/>
  <c r="Q105" i="35" s="1"/>
  <c r="I105" i="35"/>
  <c r="J105" i="35"/>
  <c r="K105" i="35"/>
  <c r="L105" i="35"/>
  <c r="A106" i="35"/>
  <c r="B106" i="35"/>
  <c r="N106" i="35" s="1"/>
  <c r="O106" i="35" s="1"/>
  <c r="C106" i="35"/>
  <c r="D106" i="35"/>
  <c r="E106" i="35"/>
  <c r="F106" i="35"/>
  <c r="G106" i="35"/>
  <c r="H106" i="35"/>
  <c r="Q106" i="35" s="1"/>
  <c r="I106" i="35"/>
  <c r="J106" i="35"/>
  <c r="K106" i="35"/>
  <c r="L106" i="35"/>
  <c r="A107" i="35"/>
  <c r="B107" i="35"/>
  <c r="C107" i="35"/>
  <c r="D107" i="35"/>
  <c r="E107" i="35"/>
  <c r="F107" i="35"/>
  <c r="G107" i="35"/>
  <c r="H107" i="35"/>
  <c r="Q107" i="35" s="1"/>
  <c r="I107" i="35"/>
  <c r="J107" i="35"/>
  <c r="K107" i="35"/>
  <c r="L107" i="35"/>
  <c r="A108" i="35"/>
  <c r="B108" i="35"/>
  <c r="N108" i="35" s="1"/>
  <c r="O108" i="35" s="1"/>
  <c r="C108" i="35"/>
  <c r="D108" i="35"/>
  <c r="E108" i="35"/>
  <c r="F108" i="35"/>
  <c r="G108" i="35"/>
  <c r="H108" i="35"/>
  <c r="Q108" i="35" s="1"/>
  <c r="I108" i="35"/>
  <c r="J108" i="35"/>
  <c r="K108" i="35"/>
  <c r="L108" i="35"/>
  <c r="S108" i="35" s="1"/>
  <c r="A109" i="35"/>
  <c r="B109" i="35"/>
  <c r="C109" i="35"/>
  <c r="D109" i="35"/>
  <c r="E109" i="35"/>
  <c r="F109" i="35"/>
  <c r="G109" i="35"/>
  <c r="H109" i="35"/>
  <c r="Q109" i="35" s="1"/>
  <c r="I109" i="35"/>
  <c r="J109" i="35"/>
  <c r="K109" i="35"/>
  <c r="L109" i="35"/>
  <c r="A110" i="35"/>
  <c r="B110" i="35"/>
  <c r="C110" i="35"/>
  <c r="D110" i="35"/>
  <c r="E110" i="35"/>
  <c r="F110" i="35"/>
  <c r="G110" i="35"/>
  <c r="H110" i="35"/>
  <c r="I110" i="35"/>
  <c r="J110" i="35"/>
  <c r="K110" i="35"/>
  <c r="L110" i="35"/>
  <c r="A111" i="35"/>
  <c r="B111" i="35"/>
  <c r="C111" i="35"/>
  <c r="D111" i="35"/>
  <c r="E111" i="35"/>
  <c r="F111" i="35"/>
  <c r="G111" i="35"/>
  <c r="H111" i="35"/>
  <c r="Q111" i="35" s="1"/>
  <c r="I111" i="35"/>
  <c r="J111" i="35"/>
  <c r="K111" i="35"/>
  <c r="L111" i="35"/>
  <c r="A112" i="35"/>
  <c r="B112" i="35"/>
  <c r="N112" i="35" s="1"/>
  <c r="O112" i="35" s="1"/>
  <c r="C112" i="35"/>
  <c r="D112" i="35"/>
  <c r="E112" i="35"/>
  <c r="F112" i="35"/>
  <c r="G112" i="35"/>
  <c r="H112" i="35"/>
  <c r="Q112" i="35" s="1"/>
  <c r="I112" i="35"/>
  <c r="J112" i="35"/>
  <c r="K112" i="35"/>
  <c r="L112" i="35"/>
  <c r="S112" i="35" s="1"/>
  <c r="A113" i="35"/>
  <c r="B113" i="35"/>
  <c r="C113" i="35"/>
  <c r="D113" i="35"/>
  <c r="E113" i="35"/>
  <c r="F113" i="35"/>
  <c r="G113" i="35"/>
  <c r="H113" i="35"/>
  <c r="Q113" i="35" s="1"/>
  <c r="I113" i="35"/>
  <c r="J113" i="35"/>
  <c r="K113" i="35"/>
  <c r="L113" i="35"/>
  <c r="A114" i="35"/>
  <c r="B114" i="35"/>
  <c r="N114" i="35" s="1"/>
  <c r="O114" i="35" s="1"/>
  <c r="C114" i="35"/>
  <c r="D114" i="35"/>
  <c r="E114" i="35"/>
  <c r="F114" i="35"/>
  <c r="G114" i="35"/>
  <c r="H114" i="35"/>
  <c r="Q114" i="35" s="1"/>
  <c r="I114" i="35"/>
  <c r="J114" i="35"/>
  <c r="K114" i="35"/>
  <c r="L114" i="35"/>
  <c r="S114" i="35" s="1"/>
  <c r="A115" i="35"/>
  <c r="B115" i="35"/>
  <c r="C115" i="35"/>
  <c r="D115" i="35"/>
  <c r="E115" i="35"/>
  <c r="F115" i="35"/>
  <c r="G115" i="35"/>
  <c r="H115" i="35"/>
  <c r="Q115" i="35" s="1"/>
  <c r="I115" i="35"/>
  <c r="J115" i="35"/>
  <c r="K115" i="35"/>
  <c r="L115" i="35"/>
  <c r="A116" i="35"/>
  <c r="B116" i="35"/>
  <c r="N116" i="35" s="1"/>
  <c r="O116" i="35" s="1"/>
  <c r="C116" i="35"/>
  <c r="D116" i="35"/>
  <c r="E116" i="35"/>
  <c r="F116" i="35"/>
  <c r="G116" i="35"/>
  <c r="H116" i="35"/>
  <c r="Q116" i="35" s="1"/>
  <c r="I116" i="35"/>
  <c r="J116" i="35"/>
  <c r="K116" i="35"/>
  <c r="L116" i="35"/>
  <c r="A117" i="35"/>
  <c r="B117" i="35"/>
  <c r="C117" i="35"/>
  <c r="D117" i="35"/>
  <c r="E117" i="35"/>
  <c r="F117" i="35"/>
  <c r="G117" i="35"/>
  <c r="H117" i="35"/>
  <c r="Q117" i="35" s="1"/>
  <c r="I117" i="35"/>
  <c r="J117" i="35"/>
  <c r="K117" i="35"/>
  <c r="L117" i="35"/>
  <c r="A118" i="35"/>
  <c r="B118" i="35"/>
  <c r="N118" i="35" s="1"/>
  <c r="O118" i="35" s="1"/>
  <c r="C118" i="35"/>
  <c r="D118" i="35"/>
  <c r="E118" i="35"/>
  <c r="F118" i="35"/>
  <c r="G118" i="35"/>
  <c r="H118" i="35"/>
  <c r="Q118" i="35" s="1"/>
  <c r="I118" i="35"/>
  <c r="J118" i="35"/>
  <c r="K118" i="35"/>
  <c r="L118" i="35"/>
  <c r="A119" i="35"/>
  <c r="B119" i="35"/>
  <c r="C119" i="35"/>
  <c r="D119" i="35"/>
  <c r="E119" i="35"/>
  <c r="F119" i="35"/>
  <c r="G119" i="35"/>
  <c r="H119" i="35"/>
  <c r="Q119" i="35" s="1"/>
  <c r="I119" i="35"/>
  <c r="J119" i="35"/>
  <c r="K119" i="35"/>
  <c r="L119" i="35"/>
  <c r="A120" i="35"/>
  <c r="B120" i="35"/>
  <c r="N120" i="35" s="1"/>
  <c r="O120" i="35" s="1"/>
  <c r="C120" i="35"/>
  <c r="D120" i="35"/>
  <c r="E120" i="35"/>
  <c r="F120" i="35"/>
  <c r="G120" i="35"/>
  <c r="H120" i="35"/>
  <c r="Q120" i="35" s="1"/>
  <c r="I120" i="35"/>
  <c r="J120" i="35"/>
  <c r="K120" i="35"/>
  <c r="L120" i="35"/>
  <c r="A121" i="35"/>
  <c r="B121" i="35"/>
  <c r="C121" i="35"/>
  <c r="D121" i="35"/>
  <c r="E121" i="35"/>
  <c r="F121" i="35"/>
  <c r="G121" i="35"/>
  <c r="H121" i="35"/>
  <c r="Q121" i="35" s="1"/>
  <c r="I121" i="35"/>
  <c r="J121" i="35"/>
  <c r="K121" i="35"/>
  <c r="L121" i="35"/>
  <c r="A122" i="35"/>
  <c r="B122" i="35"/>
  <c r="N122" i="35" s="1"/>
  <c r="O122" i="35" s="1"/>
  <c r="C122" i="35"/>
  <c r="D122" i="35"/>
  <c r="E122" i="35"/>
  <c r="F122" i="35"/>
  <c r="G122" i="35"/>
  <c r="H122" i="35"/>
  <c r="Q122" i="35" s="1"/>
  <c r="I122" i="35"/>
  <c r="J122" i="35"/>
  <c r="K122" i="35"/>
  <c r="L122" i="35"/>
  <c r="S122" i="35" s="1"/>
  <c r="A123" i="35"/>
  <c r="B123" i="35"/>
  <c r="C123" i="35"/>
  <c r="D123" i="35"/>
  <c r="E123" i="35"/>
  <c r="F123" i="35"/>
  <c r="G123" i="35"/>
  <c r="H123" i="35"/>
  <c r="Q123" i="35" s="1"/>
  <c r="I123" i="35"/>
  <c r="J123" i="35"/>
  <c r="K123" i="35"/>
  <c r="L123" i="35"/>
  <c r="A124" i="35"/>
  <c r="B124" i="35"/>
  <c r="N124" i="35" s="1"/>
  <c r="O124" i="35" s="1"/>
  <c r="C124" i="35"/>
  <c r="D124" i="35"/>
  <c r="E124" i="35"/>
  <c r="F124" i="35"/>
  <c r="G124" i="35"/>
  <c r="H124" i="35"/>
  <c r="I124" i="35"/>
  <c r="J124" i="35"/>
  <c r="K124" i="35"/>
  <c r="L124" i="35"/>
  <c r="A125" i="35"/>
  <c r="B125" i="35"/>
  <c r="C125" i="35"/>
  <c r="D125" i="35"/>
  <c r="E125" i="35"/>
  <c r="F125" i="35"/>
  <c r="G125" i="35"/>
  <c r="H125" i="35"/>
  <c r="Q125" i="35" s="1"/>
  <c r="I125" i="35"/>
  <c r="J125" i="35"/>
  <c r="K125" i="35"/>
  <c r="L125" i="35"/>
  <c r="A126" i="35"/>
  <c r="B126" i="35"/>
  <c r="N126" i="35" s="1"/>
  <c r="O126" i="35" s="1"/>
  <c r="C126" i="35"/>
  <c r="D126" i="35"/>
  <c r="E126" i="35"/>
  <c r="F126" i="35"/>
  <c r="G126" i="35"/>
  <c r="H126" i="35"/>
  <c r="Q126" i="35" s="1"/>
  <c r="I126" i="35"/>
  <c r="J126" i="35"/>
  <c r="K126" i="35"/>
  <c r="L126" i="35"/>
  <c r="A127" i="35"/>
  <c r="B127" i="35"/>
  <c r="C127" i="35"/>
  <c r="D127" i="35"/>
  <c r="E127" i="35"/>
  <c r="F127" i="35"/>
  <c r="G127" i="35"/>
  <c r="H127" i="35"/>
  <c r="Q127" i="35" s="1"/>
  <c r="I127" i="35"/>
  <c r="J127" i="35"/>
  <c r="K127" i="35"/>
  <c r="L127" i="35"/>
  <c r="A128" i="35"/>
  <c r="B128" i="35"/>
  <c r="N128" i="35" s="1"/>
  <c r="O128" i="35" s="1"/>
  <c r="C128" i="35"/>
  <c r="D128" i="35"/>
  <c r="E128" i="35"/>
  <c r="F128" i="35"/>
  <c r="G128" i="35"/>
  <c r="H128" i="35"/>
  <c r="Q128" i="35" s="1"/>
  <c r="I128" i="35"/>
  <c r="J128" i="35"/>
  <c r="K128" i="35"/>
  <c r="L128" i="35"/>
  <c r="A129" i="35"/>
  <c r="B129" i="35"/>
  <c r="C129" i="35"/>
  <c r="D129" i="35"/>
  <c r="E129" i="35"/>
  <c r="F129" i="35"/>
  <c r="G129" i="35"/>
  <c r="H129" i="35"/>
  <c r="Q129" i="35" s="1"/>
  <c r="I129" i="35"/>
  <c r="J129" i="35"/>
  <c r="K129" i="35"/>
  <c r="L129" i="35"/>
  <c r="A130" i="35"/>
  <c r="B130" i="35"/>
  <c r="N130" i="35" s="1"/>
  <c r="O130" i="35" s="1"/>
  <c r="C130" i="35"/>
  <c r="D130" i="35"/>
  <c r="E130" i="35"/>
  <c r="F130" i="35"/>
  <c r="G130" i="35"/>
  <c r="H130" i="35"/>
  <c r="Q130" i="35" s="1"/>
  <c r="I130" i="35"/>
  <c r="J130" i="35"/>
  <c r="K130" i="35"/>
  <c r="L130" i="35"/>
  <c r="A131" i="35"/>
  <c r="B131" i="35"/>
  <c r="C131" i="35"/>
  <c r="D131" i="35"/>
  <c r="E131" i="35"/>
  <c r="F131" i="35"/>
  <c r="G131" i="35"/>
  <c r="H131" i="35"/>
  <c r="Q131" i="35" s="1"/>
  <c r="I131" i="35"/>
  <c r="J131" i="35"/>
  <c r="K131" i="35"/>
  <c r="L131" i="35"/>
  <c r="A132" i="35"/>
  <c r="B132" i="35"/>
  <c r="N132" i="35" s="1"/>
  <c r="O132" i="35" s="1"/>
  <c r="C132" i="35"/>
  <c r="D132" i="35"/>
  <c r="E132" i="35"/>
  <c r="F132" i="35"/>
  <c r="G132" i="35"/>
  <c r="H132" i="35"/>
  <c r="Q132" i="35" s="1"/>
  <c r="I132" i="35"/>
  <c r="J132" i="35"/>
  <c r="K132" i="35"/>
  <c r="L132" i="35"/>
  <c r="S132" i="35" s="1"/>
  <c r="A133" i="35"/>
  <c r="B133" i="35"/>
  <c r="C133" i="35"/>
  <c r="D133" i="35"/>
  <c r="E133" i="35"/>
  <c r="F133" i="35"/>
  <c r="G133" i="35"/>
  <c r="H133" i="35"/>
  <c r="Q133" i="35" s="1"/>
  <c r="I133" i="35"/>
  <c r="J133" i="35"/>
  <c r="K133" i="35"/>
  <c r="L133" i="35"/>
  <c r="A134" i="35"/>
  <c r="B134" i="35"/>
  <c r="N134" i="35" s="1"/>
  <c r="O134" i="35" s="1"/>
  <c r="C134" i="35"/>
  <c r="D134" i="35"/>
  <c r="E134" i="35"/>
  <c r="F134" i="35"/>
  <c r="G134" i="35"/>
  <c r="H134" i="35"/>
  <c r="I134" i="35"/>
  <c r="J134" i="35"/>
  <c r="K134" i="35"/>
  <c r="L134" i="35"/>
  <c r="A135" i="35"/>
  <c r="B135" i="35"/>
  <c r="C135" i="35"/>
  <c r="D135" i="35"/>
  <c r="E135" i="35"/>
  <c r="F135" i="35"/>
  <c r="G135" i="35"/>
  <c r="H135" i="35"/>
  <c r="Q135" i="35" s="1"/>
  <c r="I135" i="35"/>
  <c r="J135" i="35"/>
  <c r="K135" i="35"/>
  <c r="L135" i="35"/>
  <c r="A136" i="35"/>
  <c r="B136" i="35"/>
  <c r="N136" i="35" s="1"/>
  <c r="O136" i="35" s="1"/>
  <c r="C136" i="35"/>
  <c r="D136" i="35"/>
  <c r="E136" i="35"/>
  <c r="F136" i="35"/>
  <c r="G136" i="35"/>
  <c r="H136" i="35"/>
  <c r="I136" i="35"/>
  <c r="J136" i="35"/>
  <c r="K136" i="35"/>
  <c r="L136" i="35"/>
  <c r="A137" i="35"/>
  <c r="B137" i="35"/>
  <c r="C137" i="35"/>
  <c r="D137" i="35"/>
  <c r="E137" i="35"/>
  <c r="F137" i="35"/>
  <c r="G137" i="35"/>
  <c r="H137" i="35"/>
  <c r="Q137" i="35" s="1"/>
  <c r="I137" i="35"/>
  <c r="J137" i="35"/>
  <c r="K137" i="35"/>
  <c r="L137" i="35"/>
  <c r="A138" i="35"/>
  <c r="B138" i="35"/>
  <c r="N138" i="35" s="1"/>
  <c r="O138" i="35" s="1"/>
  <c r="C138" i="35"/>
  <c r="D138" i="35"/>
  <c r="E138" i="35"/>
  <c r="F138" i="35"/>
  <c r="G138" i="35"/>
  <c r="H138" i="35"/>
  <c r="Q138" i="35" s="1"/>
  <c r="I138" i="35"/>
  <c r="J138" i="35"/>
  <c r="K138" i="35"/>
  <c r="L138" i="35"/>
  <c r="S138" i="35" s="1"/>
  <c r="A139" i="35"/>
  <c r="B139" i="35"/>
  <c r="C139" i="35"/>
  <c r="D139" i="35"/>
  <c r="E139" i="35"/>
  <c r="F139" i="35"/>
  <c r="G139" i="35"/>
  <c r="H139" i="35"/>
  <c r="Q139" i="35" s="1"/>
  <c r="I139" i="35"/>
  <c r="J139" i="35"/>
  <c r="K139" i="35"/>
  <c r="L139" i="35"/>
  <c r="L13" i="35"/>
  <c r="K13" i="35"/>
  <c r="J13" i="35"/>
  <c r="I13" i="35"/>
  <c r="H13" i="35"/>
  <c r="Q13" i="35" s="1"/>
  <c r="G13" i="35"/>
  <c r="F13" i="35"/>
  <c r="E13" i="35"/>
  <c r="D13" i="35"/>
  <c r="C13" i="35"/>
  <c r="B13" i="35"/>
  <c r="N20" i="35"/>
  <c r="O20" i="35" s="1"/>
  <c r="N16" i="35"/>
  <c r="O16" i="35" s="1"/>
  <c r="A4" i="35"/>
  <c r="A52" i="34"/>
  <c r="B52" i="34"/>
  <c r="C52" i="34"/>
  <c r="D52" i="34"/>
  <c r="E52" i="34"/>
  <c r="F52" i="34"/>
  <c r="G52" i="34"/>
  <c r="A53" i="34"/>
  <c r="B53" i="34"/>
  <c r="C53" i="34"/>
  <c r="D53" i="34"/>
  <c r="E53" i="34"/>
  <c r="F53" i="34"/>
  <c r="G53" i="34"/>
  <c r="A54" i="34"/>
  <c r="B54" i="34"/>
  <c r="C54" i="34"/>
  <c r="D54" i="34"/>
  <c r="E54" i="34"/>
  <c r="F54" i="34"/>
  <c r="G54" i="34"/>
  <c r="A55" i="34"/>
  <c r="B55" i="34"/>
  <c r="C55" i="34"/>
  <c r="D55" i="34"/>
  <c r="E55" i="34"/>
  <c r="F55" i="34"/>
  <c r="G55" i="34"/>
  <c r="A56" i="34"/>
  <c r="B56" i="34"/>
  <c r="C56" i="34"/>
  <c r="D56" i="34"/>
  <c r="E56" i="34"/>
  <c r="F56" i="34"/>
  <c r="G56" i="34"/>
  <c r="A57" i="34"/>
  <c r="B57" i="34"/>
  <c r="C57" i="34"/>
  <c r="D57" i="34"/>
  <c r="E57" i="34"/>
  <c r="F57" i="34"/>
  <c r="G57" i="34"/>
  <c r="A58" i="34"/>
  <c r="B58" i="34"/>
  <c r="C58" i="34"/>
  <c r="D58" i="34"/>
  <c r="E58" i="34"/>
  <c r="F58" i="34"/>
  <c r="G58" i="34"/>
  <c r="A59" i="34"/>
  <c r="B59" i="34"/>
  <c r="C59" i="34"/>
  <c r="D59" i="34"/>
  <c r="E59" i="34"/>
  <c r="F59" i="34"/>
  <c r="G59" i="34"/>
  <c r="A60" i="34"/>
  <c r="B60" i="34"/>
  <c r="C60" i="34"/>
  <c r="D60" i="34"/>
  <c r="E60" i="34"/>
  <c r="F60" i="34"/>
  <c r="G60" i="34"/>
  <c r="A61" i="34"/>
  <c r="B61" i="34"/>
  <c r="C61" i="34"/>
  <c r="D61" i="34"/>
  <c r="E61" i="34"/>
  <c r="F61" i="34"/>
  <c r="G61" i="34"/>
  <c r="A62" i="34"/>
  <c r="B62" i="34"/>
  <c r="C62" i="34"/>
  <c r="D62" i="34"/>
  <c r="E62" i="34"/>
  <c r="F62" i="34"/>
  <c r="G62" i="34"/>
  <c r="A63" i="34"/>
  <c r="B63" i="34"/>
  <c r="C63" i="34"/>
  <c r="D63" i="34"/>
  <c r="E63" i="34"/>
  <c r="F63" i="34"/>
  <c r="G63" i="34"/>
  <c r="A15" i="34"/>
  <c r="B15" i="34"/>
  <c r="C15" i="34"/>
  <c r="D15" i="34"/>
  <c r="E15" i="34"/>
  <c r="F15" i="34"/>
  <c r="G15" i="34"/>
  <c r="A16" i="34"/>
  <c r="B16" i="34"/>
  <c r="C16" i="34"/>
  <c r="D16" i="34"/>
  <c r="E16" i="34"/>
  <c r="F16" i="34"/>
  <c r="G16" i="34"/>
  <c r="A17" i="34"/>
  <c r="B17" i="34"/>
  <c r="C17" i="34"/>
  <c r="D17" i="34"/>
  <c r="E17" i="34"/>
  <c r="F17" i="34"/>
  <c r="G17" i="34"/>
  <c r="A18" i="34"/>
  <c r="B18" i="34"/>
  <c r="C18" i="34"/>
  <c r="D18" i="34"/>
  <c r="E18" i="34"/>
  <c r="F18" i="34"/>
  <c r="G18" i="34"/>
  <c r="A19" i="34"/>
  <c r="B19" i="34"/>
  <c r="C19" i="34"/>
  <c r="D19" i="34"/>
  <c r="E19" i="34"/>
  <c r="F19" i="34"/>
  <c r="G19" i="34"/>
  <c r="A20" i="34"/>
  <c r="B20" i="34"/>
  <c r="C20" i="34"/>
  <c r="D20" i="34"/>
  <c r="E20" i="34"/>
  <c r="F20" i="34"/>
  <c r="G20" i="34"/>
  <c r="A21" i="34"/>
  <c r="B21" i="34"/>
  <c r="C21" i="34"/>
  <c r="D21" i="34"/>
  <c r="E21" i="34"/>
  <c r="F21" i="34"/>
  <c r="G21" i="34"/>
  <c r="A22" i="34"/>
  <c r="B22" i="34"/>
  <c r="C22" i="34"/>
  <c r="D22" i="34"/>
  <c r="E22" i="34"/>
  <c r="F22" i="34"/>
  <c r="G22" i="34"/>
  <c r="A23" i="34"/>
  <c r="B23" i="34"/>
  <c r="C23" i="34"/>
  <c r="D23" i="34"/>
  <c r="E23" i="34"/>
  <c r="F23" i="34"/>
  <c r="G23" i="34"/>
  <c r="A24" i="34"/>
  <c r="B24" i="34"/>
  <c r="C24" i="34"/>
  <c r="D24" i="34"/>
  <c r="E24" i="34"/>
  <c r="F24" i="34"/>
  <c r="G24" i="34"/>
  <c r="A25" i="34"/>
  <c r="B25" i="34"/>
  <c r="C25" i="34"/>
  <c r="D25" i="34"/>
  <c r="E25" i="34"/>
  <c r="F25" i="34"/>
  <c r="G25" i="34"/>
  <c r="A26" i="34"/>
  <c r="B26" i="34"/>
  <c r="C26" i="34"/>
  <c r="D26" i="34"/>
  <c r="E26" i="34"/>
  <c r="F26" i="34"/>
  <c r="G26" i="34"/>
  <c r="A27" i="34"/>
  <c r="B27" i="34"/>
  <c r="C27" i="34"/>
  <c r="D27" i="34"/>
  <c r="E27" i="34"/>
  <c r="F27" i="34"/>
  <c r="G27" i="34"/>
  <c r="A28" i="34"/>
  <c r="B28" i="34"/>
  <c r="C28" i="34"/>
  <c r="D28" i="34"/>
  <c r="E28" i="34"/>
  <c r="F28" i="34"/>
  <c r="G28" i="34"/>
  <c r="A29" i="34"/>
  <c r="B29" i="34"/>
  <c r="C29" i="34"/>
  <c r="D29" i="34"/>
  <c r="E29" i="34"/>
  <c r="F29" i="34"/>
  <c r="G29" i="34"/>
  <c r="A30" i="34"/>
  <c r="B30" i="34"/>
  <c r="C30" i="34"/>
  <c r="D30" i="34"/>
  <c r="E30" i="34"/>
  <c r="F30" i="34"/>
  <c r="G30" i="34"/>
  <c r="A31" i="34"/>
  <c r="B31" i="34"/>
  <c r="C31" i="34"/>
  <c r="D31" i="34"/>
  <c r="E31" i="34"/>
  <c r="F31" i="34"/>
  <c r="G31" i="34"/>
  <c r="A32" i="34"/>
  <c r="B32" i="34"/>
  <c r="C32" i="34"/>
  <c r="D32" i="34"/>
  <c r="E32" i="34"/>
  <c r="F32" i="34"/>
  <c r="G32" i="34"/>
  <c r="A33" i="34"/>
  <c r="B33" i="34"/>
  <c r="C33" i="34"/>
  <c r="D33" i="34"/>
  <c r="E33" i="34"/>
  <c r="F33" i="34"/>
  <c r="G33" i="34"/>
  <c r="A34" i="34"/>
  <c r="B34" i="34"/>
  <c r="C34" i="34"/>
  <c r="D34" i="34"/>
  <c r="E34" i="34"/>
  <c r="F34" i="34"/>
  <c r="G34" i="34"/>
  <c r="A35" i="34"/>
  <c r="B35" i="34"/>
  <c r="C35" i="34"/>
  <c r="D35" i="34"/>
  <c r="E35" i="34"/>
  <c r="F35" i="34"/>
  <c r="G35" i="34"/>
  <c r="A36" i="34"/>
  <c r="B36" i="34"/>
  <c r="C36" i="34"/>
  <c r="D36" i="34"/>
  <c r="E36" i="34"/>
  <c r="F36" i="34"/>
  <c r="G36" i="34"/>
  <c r="A37" i="34"/>
  <c r="B37" i="34"/>
  <c r="C37" i="34"/>
  <c r="D37" i="34"/>
  <c r="I37" i="34" s="1"/>
  <c r="E37" i="34"/>
  <c r="F37" i="34"/>
  <c r="G37" i="34"/>
  <c r="A38" i="34"/>
  <c r="B38" i="34"/>
  <c r="C38" i="34"/>
  <c r="D38" i="34"/>
  <c r="E38" i="34"/>
  <c r="F38" i="34"/>
  <c r="G38" i="34"/>
  <c r="A39" i="34"/>
  <c r="B39" i="34"/>
  <c r="C39" i="34"/>
  <c r="D39" i="34"/>
  <c r="E39" i="34"/>
  <c r="F39" i="34"/>
  <c r="G39" i="34"/>
  <c r="A40" i="34"/>
  <c r="B40" i="34"/>
  <c r="C40" i="34"/>
  <c r="D40" i="34"/>
  <c r="E40" i="34"/>
  <c r="F40" i="34"/>
  <c r="G40" i="34"/>
  <c r="A41" i="34"/>
  <c r="B41" i="34"/>
  <c r="C41" i="34"/>
  <c r="D41" i="34"/>
  <c r="E41" i="34"/>
  <c r="F41" i="34"/>
  <c r="G41" i="34"/>
  <c r="A42" i="34"/>
  <c r="B42" i="34"/>
  <c r="C42" i="34"/>
  <c r="D42" i="34"/>
  <c r="E42" i="34"/>
  <c r="F42" i="34"/>
  <c r="G42" i="34"/>
  <c r="A43" i="34"/>
  <c r="B43" i="34"/>
  <c r="C43" i="34"/>
  <c r="D43" i="34"/>
  <c r="E43" i="34"/>
  <c r="F43" i="34"/>
  <c r="G43" i="34"/>
  <c r="A44" i="34"/>
  <c r="B44" i="34"/>
  <c r="C44" i="34"/>
  <c r="D44" i="34"/>
  <c r="E44" i="34"/>
  <c r="F44" i="34"/>
  <c r="G44" i="34"/>
  <c r="A45" i="34"/>
  <c r="B45" i="34"/>
  <c r="C45" i="34"/>
  <c r="D45" i="34"/>
  <c r="I45" i="34" s="1"/>
  <c r="E45" i="34"/>
  <c r="F45" i="34"/>
  <c r="G45" i="34"/>
  <c r="A46" i="34"/>
  <c r="B46" i="34"/>
  <c r="C46" i="34"/>
  <c r="D46" i="34"/>
  <c r="E46" i="34"/>
  <c r="F46" i="34"/>
  <c r="G46" i="34"/>
  <c r="A47" i="34"/>
  <c r="B47" i="34"/>
  <c r="C47" i="34"/>
  <c r="D47" i="34"/>
  <c r="E47" i="34"/>
  <c r="F47" i="34"/>
  <c r="G47" i="34"/>
  <c r="A48" i="34"/>
  <c r="B48" i="34"/>
  <c r="C48" i="34"/>
  <c r="D48" i="34"/>
  <c r="E48" i="34"/>
  <c r="F48" i="34"/>
  <c r="G48" i="34"/>
  <c r="A49" i="34"/>
  <c r="B49" i="34"/>
  <c r="C49" i="34"/>
  <c r="D49" i="34"/>
  <c r="E49" i="34"/>
  <c r="F49" i="34"/>
  <c r="G49" i="34"/>
  <c r="A50" i="34"/>
  <c r="B50" i="34"/>
  <c r="C50" i="34"/>
  <c r="D50" i="34"/>
  <c r="E50" i="34"/>
  <c r="F50" i="34"/>
  <c r="G50" i="34"/>
  <c r="A51" i="34"/>
  <c r="B51" i="34"/>
  <c r="C51" i="34"/>
  <c r="D51" i="34"/>
  <c r="E51" i="34"/>
  <c r="F51" i="34"/>
  <c r="G51" i="34"/>
  <c r="B14" i="34"/>
  <c r="C14" i="34"/>
  <c r="D14" i="34"/>
  <c r="E14" i="34"/>
  <c r="F14" i="34"/>
  <c r="G14" i="34"/>
  <c r="A14" i="34"/>
  <c r="A4" i="34"/>
  <c r="D3" i="34"/>
  <c r="A4" i="33"/>
  <c r="D3" i="33"/>
  <c r="A4" i="32"/>
  <c r="D3" i="10"/>
  <c r="S13" i="35" l="1"/>
  <c r="S18" i="35"/>
  <c r="S129" i="35"/>
  <c r="S109" i="35"/>
  <c r="S91" i="35"/>
  <c r="S89" i="35"/>
  <c r="S87" i="35"/>
  <c r="S85" i="35"/>
  <c r="S71" i="35"/>
  <c r="S69" i="35"/>
  <c r="S67" i="35"/>
  <c r="S63" i="35"/>
  <c r="S61" i="35"/>
  <c r="S57" i="35"/>
  <c r="S55" i="35"/>
  <c r="S53" i="35"/>
  <c r="S49" i="35"/>
  <c r="S41" i="35"/>
  <c r="S39" i="35"/>
  <c r="S37" i="35"/>
  <c r="S29" i="35"/>
  <c r="S25" i="35"/>
  <c r="S23" i="35"/>
  <c r="S15" i="35"/>
  <c r="S137" i="35"/>
  <c r="S125" i="35"/>
  <c r="S121" i="35"/>
  <c r="S119" i="35"/>
  <c r="S103" i="35"/>
  <c r="S101" i="35"/>
  <c r="S111" i="35"/>
  <c r="S107" i="35"/>
  <c r="S105" i="35"/>
  <c r="S95" i="35"/>
  <c r="S135" i="35"/>
  <c r="S133" i="35"/>
  <c r="S131" i="35"/>
  <c r="S123" i="35"/>
  <c r="S16" i="35"/>
  <c r="S19" i="35"/>
  <c r="N700" i="35"/>
  <c r="O700" i="35" s="1"/>
  <c r="N698" i="35"/>
  <c r="O698" i="35" s="1"/>
  <c r="N696" i="35"/>
  <c r="O696" i="35" s="1"/>
  <c r="N694" i="35"/>
  <c r="O694" i="35" s="1"/>
  <c r="N692" i="35"/>
  <c r="O692" i="35" s="1"/>
  <c r="N690" i="35"/>
  <c r="O690" i="35" s="1"/>
  <c r="N688" i="35"/>
  <c r="O688" i="35" s="1"/>
  <c r="N686" i="35"/>
  <c r="O686" i="35" s="1"/>
  <c r="N684" i="35"/>
  <c r="O684" i="35" s="1"/>
  <c r="N682" i="35"/>
  <c r="O682" i="35" s="1"/>
  <c r="N680" i="35"/>
  <c r="O680" i="35" s="1"/>
  <c r="N678" i="35"/>
  <c r="O678" i="35" s="1"/>
  <c r="N676" i="35"/>
  <c r="O676" i="35" s="1"/>
  <c r="N674" i="35"/>
  <c r="O674" i="35" s="1"/>
  <c r="N672" i="35"/>
  <c r="O672" i="35" s="1"/>
  <c r="N670" i="35"/>
  <c r="O670" i="35" s="1"/>
  <c r="N668" i="35"/>
  <c r="O668" i="35" s="1"/>
  <c r="N666" i="35"/>
  <c r="O666" i="35" s="1"/>
  <c r="N664" i="35"/>
  <c r="O664" i="35" s="1"/>
  <c r="N662" i="35"/>
  <c r="O662" i="35" s="1"/>
  <c r="N660" i="35"/>
  <c r="O660" i="35" s="1"/>
  <c r="N658" i="35"/>
  <c r="O658" i="35" s="1"/>
  <c r="N656" i="35"/>
  <c r="O656" i="35" s="1"/>
  <c r="N654" i="35"/>
  <c r="O654" i="35" s="1"/>
  <c r="N652" i="35"/>
  <c r="O652" i="35" s="1"/>
  <c r="N650" i="35"/>
  <c r="O650" i="35" s="1"/>
  <c r="N648" i="35"/>
  <c r="O648" i="35" s="1"/>
  <c r="N646" i="35"/>
  <c r="O646" i="35" s="1"/>
  <c r="N644" i="35"/>
  <c r="O644" i="35" s="1"/>
  <c r="N642" i="35"/>
  <c r="O642" i="35" s="1"/>
  <c r="N640" i="35"/>
  <c r="O640" i="35" s="1"/>
  <c r="N638" i="35"/>
  <c r="O638" i="35" s="1"/>
  <c r="N636" i="35"/>
  <c r="O636" i="35" s="1"/>
  <c r="N634" i="35"/>
  <c r="O634" i="35" s="1"/>
  <c r="N632" i="35"/>
  <c r="O632" i="35" s="1"/>
  <c r="N630" i="35"/>
  <c r="O630" i="35" s="1"/>
  <c r="N628" i="35"/>
  <c r="O628" i="35" s="1"/>
  <c r="N626" i="35"/>
  <c r="O626" i="35" s="1"/>
  <c r="N624" i="35"/>
  <c r="O624" i="35" s="1"/>
  <c r="N622" i="35"/>
  <c r="O622" i="35" s="1"/>
  <c r="N620" i="35"/>
  <c r="O620" i="35" s="1"/>
  <c r="N618" i="35"/>
  <c r="O618" i="35" s="1"/>
  <c r="N616" i="35"/>
  <c r="O616" i="35" s="1"/>
  <c r="N614" i="35"/>
  <c r="O614" i="35" s="1"/>
  <c r="N612" i="35"/>
  <c r="O612" i="35" s="1"/>
  <c r="N610" i="35"/>
  <c r="O610" i="35" s="1"/>
  <c r="N608" i="35"/>
  <c r="O608" i="35" s="1"/>
  <c r="N606" i="35"/>
  <c r="O606" i="35" s="1"/>
  <c r="N604" i="35"/>
  <c r="O604" i="35" s="1"/>
  <c r="N602" i="35"/>
  <c r="O602" i="35" s="1"/>
  <c r="N600" i="35"/>
  <c r="O600" i="35" s="1"/>
  <c r="N598" i="35"/>
  <c r="O598" i="35" s="1"/>
  <c r="N596" i="35"/>
  <c r="O596" i="35" s="1"/>
  <c r="N594" i="35"/>
  <c r="O594" i="35" s="1"/>
  <c r="N592" i="35"/>
  <c r="O592" i="35" s="1"/>
  <c r="N590" i="35"/>
  <c r="O590" i="35" s="1"/>
  <c r="N588" i="35"/>
  <c r="O588" i="35" s="1"/>
  <c r="N586" i="35"/>
  <c r="O586" i="35" s="1"/>
  <c r="N584" i="35"/>
  <c r="O584" i="35" s="1"/>
  <c r="N582" i="35"/>
  <c r="O582" i="35" s="1"/>
  <c r="N580" i="35"/>
  <c r="O580" i="35" s="1"/>
  <c r="N578" i="35"/>
  <c r="O578" i="35" s="1"/>
  <c r="N576" i="35"/>
  <c r="O576" i="35" s="1"/>
  <c r="N574" i="35"/>
  <c r="O574" i="35" s="1"/>
  <c r="N572" i="35"/>
  <c r="O572" i="35" s="1"/>
  <c r="N570" i="35"/>
  <c r="O570" i="35" s="1"/>
  <c r="N568" i="35"/>
  <c r="O568" i="35" s="1"/>
  <c r="N566" i="35"/>
  <c r="O566" i="35" s="1"/>
  <c r="N564" i="35"/>
  <c r="O564" i="35" s="1"/>
  <c r="N562" i="35"/>
  <c r="O562" i="35" s="1"/>
  <c r="I39" i="34"/>
  <c r="I31" i="34"/>
  <c r="I23" i="34"/>
  <c r="I15" i="34"/>
  <c r="I47" i="34"/>
  <c r="I29" i="34"/>
  <c r="I40" i="34"/>
  <c r="I60" i="34"/>
  <c r="I52" i="34"/>
  <c r="I24" i="34"/>
  <c r="I16" i="34"/>
  <c r="I57" i="34"/>
  <c r="I46" i="34"/>
  <c r="I21" i="34"/>
  <c r="I62" i="34"/>
  <c r="I54" i="34"/>
  <c r="I48" i="34"/>
  <c r="I32" i="34"/>
  <c r="I38" i="34"/>
  <c r="I30" i="34"/>
  <c r="I22" i="34"/>
  <c r="I63" i="34"/>
  <c r="I55" i="34"/>
  <c r="S211" i="35"/>
  <c r="S209" i="35"/>
  <c r="S207" i="35"/>
  <c r="S205" i="35"/>
  <c r="S203" i="35"/>
  <c r="S201" i="35"/>
  <c r="S199" i="35"/>
  <c r="S197" i="35"/>
  <c r="S195" i="35"/>
  <c r="S193" i="35"/>
  <c r="S191" i="35"/>
  <c r="S189" i="35"/>
  <c r="S187" i="35"/>
  <c r="S185" i="35"/>
  <c r="S183" i="35"/>
  <c r="S181" i="35"/>
  <c r="S179" i="35"/>
  <c r="S177" i="35"/>
  <c r="S175" i="35"/>
  <c r="S173" i="35"/>
  <c r="S171" i="35"/>
  <c r="S169" i="35"/>
  <c r="S167" i="35"/>
  <c r="S165" i="35"/>
  <c r="S163" i="35"/>
  <c r="S161" i="35"/>
  <c r="S159" i="35"/>
  <c r="S157" i="35"/>
  <c r="S155" i="35"/>
  <c r="S153" i="35"/>
  <c r="S151" i="35"/>
  <c r="S149" i="35"/>
  <c r="S147" i="35"/>
  <c r="S145" i="35"/>
  <c r="S143" i="35"/>
  <c r="N143" i="35"/>
  <c r="O143" i="35" s="1"/>
  <c r="S139" i="35"/>
  <c r="S127" i="35"/>
  <c r="S117" i="35"/>
  <c r="S115" i="35"/>
  <c r="S113" i="35"/>
  <c r="S99" i="35"/>
  <c r="S97" i="35"/>
  <c r="S93" i="35"/>
  <c r="U93" i="35" s="1"/>
  <c r="S83" i="35"/>
  <c r="S81" i="35"/>
  <c r="S79" i="35"/>
  <c r="S77" i="35"/>
  <c r="S75" i="35"/>
  <c r="S73" i="35"/>
  <c r="S65" i="35"/>
  <c r="S59" i="35"/>
  <c r="U59" i="35" s="1"/>
  <c r="S51" i="35"/>
  <c r="S47" i="35"/>
  <c r="S45" i="35"/>
  <c r="S43" i="35"/>
  <c r="S35" i="35"/>
  <c r="S33" i="35"/>
  <c r="S31" i="35"/>
  <c r="S27" i="35"/>
  <c r="S17" i="35"/>
  <c r="N394" i="35"/>
  <c r="O394" i="35" s="1"/>
  <c r="N392" i="35"/>
  <c r="O392" i="35" s="1"/>
  <c r="N390" i="35"/>
  <c r="O390" i="35" s="1"/>
  <c r="N388" i="35"/>
  <c r="O388" i="35" s="1"/>
  <c r="I44" i="34"/>
  <c r="I36" i="34"/>
  <c r="I28" i="34"/>
  <c r="I20" i="34"/>
  <c r="I51" i="34"/>
  <c r="I50" i="34"/>
  <c r="I43" i="34"/>
  <c r="I42" i="34"/>
  <c r="I35" i="34"/>
  <c r="I34" i="34"/>
  <c r="I27" i="34"/>
  <c r="I26" i="34"/>
  <c r="I19" i="34"/>
  <c r="I18" i="34"/>
  <c r="I61" i="34"/>
  <c r="I59" i="34"/>
  <c r="I53" i="34"/>
  <c r="I14" i="34"/>
  <c r="I56" i="34"/>
  <c r="I49" i="34"/>
  <c r="I41" i="34"/>
  <c r="I33" i="34"/>
  <c r="I25" i="34"/>
  <c r="I17" i="34"/>
  <c r="I58" i="34"/>
  <c r="N53" i="35"/>
  <c r="O53" i="35" s="1"/>
  <c r="N94" i="35"/>
  <c r="O94" i="35" s="1"/>
  <c r="N552" i="35"/>
  <c r="O552" i="35" s="1"/>
  <c r="N550" i="35"/>
  <c r="O550" i="35" s="1"/>
  <c r="N548" i="35"/>
  <c r="O548" i="35" s="1"/>
  <c r="N546" i="35"/>
  <c r="O546" i="35" s="1"/>
  <c r="N544" i="35"/>
  <c r="O544" i="35" s="1"/>
  <c r="N542" i="35"/>
  <c r="O542" i="35" s="1"/>
  <c r="N540" i="35"/>
  <c r="O540" i="35" s="1"/>
  <c r="N538" i="35"/>
  <c r="O538" i="35" s="1"/>
  <c r="N536" i="35"/>
  <c r="O536" i="35" s="1"/>
  <c r="N534" i="35"/>
  <c r="O534" i="35" s="1"/>
  <c r="N532" i="35"/>
  <c r="O532" i="35" s="1"/>
  <c r="N530" i="35"/>
  <c r="O530" i="35" s="1"/>
  <c r="N528" i="35"/>
  <c r="O528" i="35" s="1"/>
  <c r="N526" i="35"/>
  <c r="O526" i="35" s="1"/>
  <c r="N524" i="35"/>
  <c r="O524" i="35" s="1"/>
  <c r="N522" i="35"/>
  <c r="O522" i="35" s="1"/>
  <c r="N520" i="35"/>
  <c r="O520" i="35" s="1"/>
  <c r="N518" i="35"/>
  <c r="O518" i="35" s="1"/>
  <c r="N516" i="35"/>
  <c r="O516" i="35" s="1"/>
  <c r="N514" i="35"/>
  <c r="O514" i="35" s="1"/>
  <c r="N141" i="35"/>
  <c r="O141" i="35" s="1"/>
  <c r="N110" i="35"/>
  <c r="O110" i="35" s="1"/>
  <c r="N84" i="35"/>
  <c r="O84" i="35" s="1"/>
  <c r="N82" i="35"/>
  <c r="O82" i="35" s="1"/>
  <c r="N80" i="35"/>
  <c r="O80" i="35" s="1"/>
  <c r="N78" i="35"/>
  <c r="O78" i="35" s="1"/>
  <c r="N32" i="35"/>
  <c r="O32" i="35" s="1"/>
  <c r="N192" i="35"/>
  <c r="O192" i="35" s="1"/>
  <c r="S141" i="35"/>
  <c r="U141" i="35" s="1"/>
  <c r="Y132" i="35"/>
  <c r="AM132" i="35" s="1"/>
  <c r="X132" i="35"/>
  <c r="AE132" i="35"/>
  <c r="AB132" i="35"/>
  <c r="AA132" i="35"/>
  <c r="AD132" i="35"/>
  <c r="Z132" i="35"/>
  <c r="AC132" i="35"/>
  <c r="R132" i="35"/>
  <c r="X114" i="35"/>
  <c r="Y114" i="35"/>
  <c r="AM114" i="35" s="1"/>
  <c r="AE114" i="35"/>
  <c r="AC114" i="35"/>
  <c r="AB114" i="35"/>
  <c r="AD114" i="35"/>
  <c r="Z114" i="35"/>
  <c r="AA114" i="35"/>
  <c r="R114" i="35"/>
  <c r="Y102" i="35"/>
  <c r="AM102" i="35" s="1"/>
  <c r="X102" i="35"/>
  <c r="AE102" i="35"/>
  <c r="AD102" i="35"/>
  <c r="AC102" i="35"/>
  <c r="Z102" i="35"/>
  <c r="AB102" i="35"/>
  <c r="AA102" i="35"/>
  <c r="R102" i="35"/>
  <c r="Y88" i="35"/>
  <c r="AM88" i="35" s="1"/>
  <c r="X88" i="35"/>
  <c r="AD88" i="35"/>
  <c r="AE88" i="35"/>
  <c r="AC88" i="35"/>
  <c r="Z88" i="35"/>
  <c r="AB88" i="35"/>
  <c r="AA88" i="35"/>
  <c r="R88" i="35"/>
  <c r="Y58" i="35"/>
  <c r="AM58" i="35" s="1"/>
  <c r="X58" i="35"/>
  <c r="AE58" i="35"/>
  <c r="AD58" i="35"/>
  <c r="AB58" i="35"/>
  <c r="Z58" i="35"/>
  <c r="AC58" i="35"/>
  <c r="AA58" i="35"/>
  <c r="R58" i="35"/>
  <c r="X18" i="35"/>
  <c r="Y18" i="35"/>
  <c r="AM18" i="35" s="1"/>
  <c r="AE18" i="35"/>
  <c r="AB18" i="35"/>
  <c r="AD18" i="35"/>
  <c r="Z18" i="35"/>
  <c r="AA18" i="35"/>
  <c r="AC18" i="35"/>
  <c r="R18" i="35"/>
  <c r="Y700" i="35"/>
  <c r="X700" i="35"/>
  <c r="AE700" i="35"/>
  <c r="AD700" i="35"/>
  <c r="AB700" i="35"/>
  <c r="Z700" i="35"/>
  <c r="AA700" i="35"/>
  <c r="R700" i="35"/>
  <c r="X692" i="35"/>
  <c r="Y692" i="35"/>
  <c r="AE692" i="35"/>
  <c r="AB692" i="35"/>
  <c r="AD692" i="35"/>
  <c r="Z692" i="35"/>
  <c r="AA692" i="35"/>
  <c r="R692" i="35"/>
  <c r="Y686" i="35"/>
  <c r="X686" i="35"/>
  <c r="AE686" i="35"/>
  <c r="AD686" i="35"/>
  <c r="AB686" i="35"/>
  <c r="AA686" i="35"/>
  <c r="Z686" i="35"/>
  <c r="R686" i="35"/>
  <c r="Y678" i="35"/>
  <c r="AE678" i="35"/>
  <c r="X678" i="35"/>
  <c r="AD678" i="35"/>
  <c r="AB678" i="35"/>
  <c r="AA678" i="35"/>
  <c r="Z678" i="35"/>
  <c r="R678" i="35"/>
  <c r="X642" i="35"/>
  <c r="Y642" i="35"/>
  <c r="AE642" i="35"/>
  <c r="AD642" i="35"/>
  <c r="AB642" i="35"/>
  <c r="Z642" i="35"/>
  <c r="R642" i="35"/>
  <c r="AA642" i="35"/>
  <c r="X626" i="35"/>
  <c r="Y626" i="35"/>
  <c r="AE626" i="35"/>
  <c r="AD626" i="35"/>
  <c r="AB626" i="35"/>
  <c r="Z626" i="35"/>
  <c r="R626" i="35"/>
  <c r="AA626" i="35"/>
  <c r="Y622" i="35"/>
  <c r="X622" i="35"/>
  <c r="AE622" i="35"/>
  <c r="AD622" i="35"/>
  <c r="AA622" i="35"/>
  <c r="AB622" i="35"/>
  <c r="Z622" i="35"/>
  <c r="R622" i="35"/>
  <c r="Y606" i="35"/>
  <c r="X606" i="35"/>
  <c r="AE606" i="35"/>
  <c r="AD606" i="35"/>
  <c r="AB606" i="35"/>
  <c r="Z606" i="35"/>
  <c r="AA606" i="35"/>
  <c r="R606" i="35"/>
  <c r="Y600" i="35"/>
  <c r="X600" i="35"/>
  <c r="AE600" i="35"/>
  <c r="AD600" i="35"/>
  <c r="AB600" i="35"/>
  <c r="Z600" i="35"/>
  <c r="AA600" i="35"/>
  <c r="R600" i="35"/>
  <c r="Y588" i="35"/>
  <c r="X588" i="35"/>
  <c r="AE588" i="35"/>
  <c r="AD588" i="35"/>
  <c r="AB588" i="35"/>
  <c r="Z588" i="35"/>
  <c r="AA588" i="35"/>
  <c r="R588" i="35"/>
  <c r="Y582" i="35"/>
  <c r="AE582" i="35"/>
  <c r="AD582" i="35"/>
  <c r="X582" i="35"/>
  <c r="AB582" i="35"/>
  <c r="AA582" i="35"/>
  <c r="Z582" i="35"/>
  <c r="R582" i="35"/>
  <c r="Y568" i="35"/>
  <c r="X568" i="35"/>
  <c r="AE568" i="35"/>
  <c r="AB568" i="35"/>
  <c r="AD568" i="35"/>
  <c r="Z568" i="35"/>
  <c r="AA568" i="35"/>
  <c r="R568" i="35"/>
  <c r="X562" i="35"/>
  <c r="Y562" i="35"/>
  <c r="AE562" i="35"/>
  <c r="AD562" i="35"/>
  <c r="AB562" i="35"/>
  <c r="Z562" i="35"/>
  <c r="R562" i="35"/>
  <c r="AA562" i="35"/>
  <c r="Y536" i="35"/>
  <c r="X536" i="35"/>
  <c r="AE536" i="35"/>
  <c r="AB536" i="35"/>
  <c r="AD536" i="35"/>
  <c r="Z536" i="35"/>
  <c r="AA536" i="35"/>
  <c r="R536" i="35"/>
  <c r="Y530" i="35"/>
  <c r="X530" i="35"/>
  <c r="AE530" i="35"/>
  <c r="AD530" i="35"/>
  <c r="AB530" i="35"/>
  <c r="Z530" i="35"/>
  <c r="R530" i="35"/>
  <c r="AA530" i="35"/>
  <c r="Y522" i="35"/>
  <c r="X522" i="35"/>
  <c r="AE522" i="35"/>
  <c r="AD522" i="35"/>
  <c r="AB522" i="35"/>
  <c r="Z522" i="35"/>
  <c r="R522" i="35"/>
  <c r="AA522" i="35"/>
  <c r="Y516" i="35"/>
  <c r="X516" i="35"/>
  <c r="AB516" i="35"/>
  <c r="AE516" i="35"/>
  <c r="Z516" i="35"/>
  <c r="AA516" i="35"/>
  <c r="R516" i="35"/>
  <c r="AD516" i="35"/>
  <c r="Y508" i="35"/>
  <c r="X508" i="35"/>
  <c r="AE508" i="35"/>
  <c r="AD508" i="35"/>
  <c r="AB508" i="35"/>
  <c r="Z508" i="35"/>
  <c r="AA508" i="35"/>
  <c r="R508" i="35"/>
  <c r="Y504" i="35"/>
  <c r="X504" i="35"/>
  <c r="AE504" i="35"/>
  <c r="AB504" i="35"/>
  <c r="AD504" i="35"/>
  <c r="Z504" i="35"/>
  <c r="AA504" i="35"/>
  <c r="R504" i="35"/>
  <c r="Y502" i="35"/>
  <c r="AE502" i="35"/>
  <c r="AD502" i="35"/>
  <c r="X502" i="35"/>
  <c r="AB502" i="35"/>
  <c r="Z502" i="35"/>
  <c r="AA502" i="35"/>
  <c r="R502" i="35"/>
  <c r="Y500" i="35"/>
  <c r="X500" i="35"/>
  <c r="AE500" i="35"/>
  <c r="AB500" i="35"/>
  <c r="Z500" i="35"/>
  <c r="AA500" i="35"/>
  <c r="R500" i="35"/>
  <c r="AD500" i="35"/>
  <c r="Y490" i="35"/>
  <c r="X490" i="35"/>
  <c r="AE490" i="35"/>
  <c r="AD490" i="35"/>
  <c r="AB490" i="35"/>
  <c r="Z490" i="35"/>
  <c r="AA490" i="35"/>
  <c r="R490" i="35"/>
  <c r="Y480" i="35"/>
  <c r="X480" i="35"/>
  <c r="AE480" i="35"/>
  <c r="AD480" i="35"/>
  <c r="AB480" i="35"/>
  <c r="Z480" i="35"/>
  <c r="AA480" i="35"/>
  <c r="R480" i="35"/>
  <c r="X474" i="35"/>
  <c r="Y474" i="35"/>
  <c r="AE474" i="35"/>
  <c r="AD474" i="35"/>
  <c r="AB474" i="35"/>
  <c r="Z474" i="35"/>
  <c r="AA474" i="35"/>
  <c r="R474" i="35"/>
  <c r="Y468" i="35"/>
  <c r="X468" i="35"/>
  <c r="AE468" i="35"/>
  <c r="AB468" i="35"/>
  <c r="AD468" i="35"/>
  <c r="Z468" i="35"/>
  <c r="AA468" i="35"/>
  <c r="R468" i="35"/>
  <c r="Y454" i="35"/>
  <c r="X454" i="35"/>
  <c r="AE454" i="35"/>
  <c r="AD454" i="35"/>
  <c r="AB454" i="35"/>
  <c r="AA454" i="35"/>
  <c r="Z454" i="35"/>
  <c r="R454" i="35"/>
  <c r="Y452" i="35"/>
  <c r="X452" i="35"/>
  <c r="AE452" i="35"/>
  <c r="AB452" i="35"/>
  <c r="Z452" i="35"/>
  <c r="AA452" i="35"/>
  <c r="R452" i="35"/>
  <c r="AD452" i="35"/>
  <c r="Y450" i="35"/>
  <c r="X450" i="35"/>
  <c r="AE450" i="35"/>
  <c r="AD450" i="35"/>
  <c r="AB450" i="35"/>
  <c r="Z450" i="35"/>
  <c r="AA450" i="35"/>
  <c r="R450" i="35"/>
  <c r="Y446" i="35"/>
  <c r="X446" i="35"/>
  <c r="AE446" i="35"/>
  <c r="AD446" i="35"/>
  <c r="AB446" i="35"/>
  <c r="AA446" i="35"/>
  <c r="Z446" i="35"/>
  <c r="R446" i="35"/>
  <c r="X434" i="35"/>
  <c r="Y434" i="35"/>
  <c r="AE434" i="35"/>
  <c r="AD434" i="35"/>
  <c r="AB434" i="35"/>
  <c r="Z434" i="35"/>
  <c r="AA434" i="35"/>
  <c r="R434" i="35"/>
  <c r="Y426" i="35"/>
  <c r="X426" i="35"/>
  <c r="AE426" i="35"/>
  <c r="AD426" i="35"/>
  <c r="AB426" i="35"/>
  <c r="Z426" i="35"/>
  <c r="AA426" i="35"/>
  <c r="R426" i="35"/>
  <c r="Y418" i="35"/>
  <c r="X418" i="35"/>
  <c r="AE418" i="35"/>
  <c r="AB418" i="35"/>
  <c r="Z418" i="35"/>
  <c r="AA418" i="35"/>
  <c r="AD418" i="35"/>
  <c r="R418" i="35"/>
  <c r="Y414" i="35"/>
  <c r="X414" i="35"/>
  <c r="AE414" i="35"/>
  <c r="AD414" i="35"/>
  <c r="AB414" i="35"/>
  <c r="Z414" i="35"/>
  <c r="AA414" i="35"/>
  <c r="R414" i="35"/>
  <c r="Y402" i="35"/>
  <c r="X402" i="35"/>
  <c r="AE402" i="35"/>
  <c r="AB402" i="35"/>
  <c r="AD402" i="35"/>
  <c r="Z402" i="35"/>
  <c r="AA402" i="35"/>
  <c r="R402" i="35"/>
  <c r="Y398" i="35"/>
  <c r="X398" i="35"/>
  <c r="AE398" i="35"/>
  <c r="AD398" i="35"/>
  <c r="AB398" i="35"/>
  <c r="AA398" i="35"/>
  <c r="Z398" i="35"/>
  <c r="R398" i="35"/>
  <c r="Y390" i="35"/>
  <c r="X390" i="35"/>
  <c r="AE390" i="35"/>
  <c r="AD390" i="35"/>
  <c r="AB390" i="35"/>
  <c r="AA390" i="35"/>
  <c r="Z390" i="35"/>
  <c r="R390" i="35"/>
  <c r="Y386" i="35"/>
  <c r="X386" i="35"/>
  <c r="AE386" i="35"/>
  <c r="AB386" i="35"/>
  <c r="Z386" i="35"/>
  <c r="AA386" i="35"/>
  <c r="AD386" i="35"/>
  <c r="R386" i="35"/>
  <c r="Y374" i="35"/>
  <c r="X374" i="35"/>
  <c r="AE374" i="35"/>
  <c r="AD374" i="35"/>
  <c r="AB374" i="35"/>
  <c r="Z374" i="35"/>
  <c r="AA374" i="35"/>
  <c r="R374" i="35"/>
  <c r="Y362" i="35"/>
  <c r="X362" i="35"/>
  <c r="AE362" i="35"/>
  <c r="AD362" i="35"/>
  <c r="AB362" i="35"/>
  <c r="Z362" i="35"/>
  <c r="AA362" i="35"/>
  <c r="R362" i="35"/>
  <c r="Y358" i="35"/>
  <c r="AE358" i="35"/>
  <c r="AD358" i="35"/>
  <c r="X358" i="35"/>
  <c r="AB358" i="35"/>
  <c r="Z358" i="35"/>
  <c r="AA358" i="35"/>
  <c r="R358" i="35"/>
  <c r="Y354" i="35"/>
  <c r="X354" i="35"/>
  <c r="AE354" i="35"/>
  <c r="AB354" i="35"/>
  <c r="AD354" i="35"/>
  <c r="Z354" i="35"/>
  <c r="AA354" i="35"/>
  <c r="R354" i="35"/>
  <c r="Y338" i="35"/>
  <c r="X338" i="35"/>
  <c r="AE338" i="35"/>
  <c r="AB338" i="35"/>
  <c r="AD338" i="35"/>
  <c r="Z338" i="35"/>
  <c r="AA338" i="35"/>
  <c r="R338" i="35"/>
  <c r="X322" i="35"/>
  <c r="Y322" i="35"/>
  <c r="AE322" i="35"/>
  <c r="AB322" i="35"/>
  <c r="Z322" i="35"/>
  <c r="AA322" i="35"/>
  <c r="AD322" i="35"/>
  <c r="R322" i="35"/>
  <c r="Y318" i="35"/>
  <c r="X318" i="35"/>
  <c r="AE318" i="35"/>
  <c r="AD318" i="35"/>
  <c r="AB318" i="35"/>
  <c r="AA318" i="35"/>
  <c r="Z318" i="35"/>
  <c r="R318" i="35"/>
  <c r="Y314" i="35"/>
  <c r="X314" i="35"/>
  <c r="AE314" i="35"/>
  <c r="AB314" i="35"/>
  <c r="Z314" i="35"/>
  <c r="AA314" i="35"/>
  <c r="AD314" i="35"/>
  <c r="R314" i="35"/>
  <c r="Y310" i="35"/>
  <c r="X310" i="35"/>
  <c r="AE310" i="35"/>
  <c r="AD310" i="35"/>
  <c r="Z310" i="35"/>
  <c r="AB310" i="35"/>
  <c r="AA310" i="35"/>
  <c r="R310" i="35"/>
  <c r="X306" i="35"/>
  <c r="Y306" i="35"/>
  <c r="AE306" i="35"/>
  <c r="AB306" i="35"/>
  <c r="AD306" i="35"/>
  <c r="Z306" i="35"/>
  <c r="AA306" i="35"/>
  <c r="R306" i="35"/>
  <c r="Y298" i="35"/>
  <c r="X298" i="35"/>
  <c r="AE298" i="35"/>
  <c r="AD298" i="35"/>
  <c r="AB298" i="35"/>
  <c r="Z298" i="35"/>
  <c r="AA298" i="35"/>
  <c r="R298" i="35"/>
  <c r="Y288" i="35"/>
  <c r="X288" i="35"/>
  <c r="AE288" i="35"/>
  <c r="AD288" i="35"/>
  <c r="AB288" i="35"/>
  <c r="Z288" i="35"/>
  <c r="AA288" i="35"/>
  <c r="R288" i="35"/>
  <c r="Y278" i="35"/>
  <c r="AE278" i="35"/>
  <c r="AD278" i="35"/>
  <c r="X278" i="35"/>
  <c r="Z278" i="35"/>
  <c r="AA278" i="35"/>
  <c r="AB278" i="35"/>
  <c r="R278" i="35"/>
  <c r="Y268" i="35"/>
  <c r="X268" i="35"/>
  <c r="AE268" i="35"/>
  <c r="AD268" i="35"/>
  <c r="AB268" i="35"/>
  <c r="Z268" i="35"/>
  <c r="AA268" i="35"/>
  <c r="R268" i="35"/>
  <c r="Y262" i="35"/>
  <c r="X262" i="35"/>
  <c r="AE262" i="35"/>
  <c r="AD262" i="35"/>
  <c r="AB262" i="35"/>
  <c r="AA262" i="35"/>
  <c r="Z262" i="35"/>
  <c r="R262" i="35"/>
  <c r="Y256" i="35"/>
  <c r="X256" i="35"/>
  <c r="AE256" i="35"/>
  <c r="AD256" i="35"/>
  <c r="AB256" i="35"/>
  <c r="AA256" i="35"/>
  <c r="Z256" i="35"/>
  <c r="R256" i="35"/>
  <c r="Y246" i="35"/>
  <c r="X246" i="35"/>
  <c r="AE246" i="35"/>
  <c r="AD246" i="35"/>
  <c r="AB246" i="35"/>
  <c r="Z246" i="35"/>
  <c r="AA246" i="35"/>
  <c r="R246" i="35"/>
  <c r="Y240" i="35"/>
  <c r="X240" i="35"/>
  <c r="AE240" i="35"/>
  <c r="AD240" i="35"/>
  <c r="AB240" i="35"/>
  <c r="Z240" i="35"/>
  <c r="AA240" i="35"/>
  <c r="R240" i="35"/>
  <c r="X234" i="35"/>
  <c r="Y234" i="35"/>
  <c r="AE234" i="35"/>
  <c r="AB234" i="35"/>
  <c r="AD234" i="35"/>
  <c r="Z234" i="35"/>
  <c r="AA234" i="35"/>
  <c r="R234" i="35"/>
  <c r="Y228" i="35"/>
  <c r="X228" i="35"/>
  <c r="AE228" i="35"/>
  <c r="AD228" i="35"/>
  <c r="AB228" i="35"/>
  <c r="Z228" i="35"/>
  <c r="AA228" i="35"/>
  <c r="R228" i="35"/>
  <c r="Y222" i="35"/>
  <c r="X222" i="35"/>
  <c r="AE222" i="35"/>
  <c r="AD222" i="35"/>
  <c r="AB222" i="35"/>
  <c r="AA222" i="35"/>
  <c r="Z222" i="35"/>
  <c r="R222" i="35"/>
  <c r="Y220" i="35"/>
  <c r="X220" i="35"/>
  <c r="AE220" i="35"/>
  <c r="AD220" i="35"/>
  <c r="AB220" i="35"/>
  <c r="Z220" i="35"/>
  <c r="AA220" i="35"/>
  <c r="R220" i="35"/>
  <c r="Y214" i="35"/>
  <c r="X214" i="35"/>
  <c r="AE214" i="35"/>
  <c r="AD214" i="35"/>
  <c r="Z214" i="35"/>
  <c r="AA214" i="35"/>
  <c r="AB214" i="35"/>
  <c r="R214" i="35"/>
  <c r="X210" i="35"/>
  <c r="AE210" i="35"/>
  <c r="Y210" i="35"/>
  <c r="AB210" i="35"/>
  <c r="Z210" i="35"/>
  <c r="AA210" i="35"/>
  <c r="AD210" i="35"/>
  <c r="R210" i="35"/>
  <c r="X208" i="35"/>
  <c r="Y208" i="35"/>
  <c r="AE208" i="35"/>
  <c r="AD208" i="35"/>
  <c r="AB208" i="35"/>
  <c r="Z208" i="35"/>
  <c r="AA208" i="35"/>
  <c r="R208" i="35"/>
  <c r="Y206" i="35"/>
  <c r="X206" i="35"/>
  <c r="AE206" i="35"/>
  <c r="AD206" i="35"/>
  <c r="AB206" i="35"/>
  <c r="AA206" i="35"/>
  <c r="Z206" i="35"/>
  <c r="R206" i="35"/>
  <c r="Y204" i="35"/>
  <c r="X204" i="35"/>
  <c r="AE204" i="35"/>
  <c r="AD204" i="35"/>
  <c r="AB204" i="35"/>
  <c r="Z204" i="35"/>
  <c r="AA204" i="35"/>
  <c r="R204" i="35"/>
  <c r="AE202" i="35"/>
  <c r="X202" i="35"/>
  <c r="AB202" i="35"/>
  <c r="AD202" i="35"/>
  <c r="Z202" i="35"/>
  <c r="AA202" i="35"/>
  <c r="Y202" i="35"/>
  <c r="R202" i="35"/>
  <c r="Y200" i="35"/>
  <c r="AD200" i="35"/>
  <c r="X200" i="35"/>
  <c r="AE200" i="35"/>
  <c r="AB200" i="35"/>
  <c r="AA200" i="35"/>
  <c r="Z200" i="35"/>
  <c r="R200" i="35"/>
  <c r="Y198" i="35"/>
  <c r="X198" i="35"/>
  <c r="AE198" i="35"/>
  <c r="AD198" i="35"/>
  <c r="AB198" i="35"/>
  <c r="AA198" i="35"/>
  <c r="Z198" i="35"/>
  <c r="R198" i="35"/>
  <c r="Y196" i="35"/>
  <c r="X196" i="35"/>
  <c r="AE196" i="35"/>
  <c r="AD196" i="35"/>
  <c r="AB196" i="35"/>
  <c r="AA196" i="35"/>
  <c r="Z196" i="35"/>
  <c r="R196" i="35"/>
  <c r="X194" i="35"/>
  <c r="Y194" i="35"/>
  <c r="AE194" i="35"/>
  <c r="AD194" i="35"/>
  <c r="AB194" i="35"/>
  <c r="Z194" i="35"/>
  <c r="AA194" i="35"/>
  <c r="R194" i="35"/>
  <c r="Y192" i="35"/>
  <c r="X192" i="35"/>
  <c r="AE192" i="35"/>
  <c r="AD192" i="35"/>
  <c r="AB192" i="35"/>
  <c r="Z192" i="35"/>
  <c r="AA192" i="35"/>
  <c r="R192" i="35"/>
  <c r="Y190" i="35"/>
  <c r="X190" i="35"/>
  <c r="AE190" i="35"/>
  <c r="AD190" i="35"/>
  <c r="Z190" i="35"/>
  <c r="AB190" i="35"/>
  <c r="AA190" i="35"/>
  <c r="R190" i="35"/>
  <c r="Y188" i="35"/>
  <c r="X188" i="35"/>
  <c r="AE188" i="35"/>
  <c r="AD188" i="35"/>
  <c r="AB188" i="35"/>
  <c r="AA188" i="35"/>
  <c r="Z188" i="35"/>
  <c r="R188" i="35"/>
  <c r="Y186" i="35"/>
  <c r="AE186" i="35"/>
  <c r="X186" i="35"/>
  <c r="AD186" i="35"/>
  <c r="AB186" i="35"/>
  <c r="Z186" i="35"/>
  <c r="AA186" i="35"/>
  <c r="R186" i="35"/>
  <c r="Y184" i="35"/>
  <c r="X184" i="35"/>
  <c r="AD184" i="35"/>
  <c r="Z184" i="35"/>
  <c r="AE184" i="35"/>
  <c r="AB184" i="35"/>
  <c r="AA184" i="35"/>
  <c r="R184" i="35"/>
  <c r="Y182" i="35"/>
  <c r="X182" i="35"/>
  <c r="AE182" i="35"/>
  <c r="AD182" i="35"/>
  <c r="Z182" i="35"/>
  <c r="AB182" i="35"/>
  <c r="AA182" i="35"/>
  <c r="R182" i="35"/>
  <c r="Y180" i="35"/>
  <c r="X180" i="35"/>
  <c r="AE180" i="35"/>
  <c r="AD180" i="35"/>
  <c r="AB180" i="35"/>
  <c r="Z180" i="35"/>
  <c r="AA180" i="35"/>
  <c r="R180" i="35"/>
  <c r="Y178" i="35"/>
  <c r="X178" i="35"/>
  <c r="AE178" i="35"/>
  <c r="AB178" i="35"/>
  <c r="Z178" i="35"/>
  <c r="AA178" i="35"/>
  <c r="AD178" i="35"/>
  <c r="R178" i="35"/>
  <c r="Y176" i="35"/>
  <c r="AE176" i="35"/>
  <c r="AD176" i="35"/>
  <c r="Z176" i="35"/>
  <c r="X176" i="35"/>
  <c r="AB176" i="35"/>
  <c r="AA176" i="35"/>
  <c r="R176" i="35"/>
  <c r="Y174" i="35"/>
  <c r="X174" i="35"/>
  <c r="AE174" i="35"/>
  <c r="AD174" i="35"/>
  <c r="Z174" i="35"/>
  <c r="AA174" i="35"/>
  <c r="AB174" i="35"/>
  <c r="R174" i="35"/>
  <c r="Y172" i="35"/>
  <c r="X172" i="35"/>
  <c r="AE172" i="35"/>
  <c r="AD172" i="35"/>
  <c r="AB172" i="35"/>
  <c r="AA172" i="35"/>
  <c r="Z172" i="35"/>
  <c r="R172" i="35"/>
  <c r="Y170" i="35"/>
  <c r="X170" i="35"/>
  <c r="AE170" i="35"/>
  <c r="AB170" i="35"/>
  <c r="Z170" i="35"/>
  <c r="AD170" i="35"/>
  <c r="AA170" i="35"/>
  <c r="R170" i="35"/>
  <c r="Y168" i="35"/>
  <c r="AD168" i="35"/>
  <c r="X168" i="35"/>
  <c r="AE168" i="35"/>
  <c r="Z168" i="35"/>
  <c r="AB168" i="35"/>
  <c r="AA168" i="35"/>
  <c r="R168" i="35"/>
  <c r="Y166" i="35"/>
  <c r="X166" i="35"/>
  <c r="AE166" i="35"/>
  <c r="AD166" i="35"/>
  <c r="AB166" i="35"/>
  <c r="Z166" i="35"/>
  <c r="AA166" i="35"/>
  <c r="R166" i="35"/>
  <c r="Y164" i="35"/>
  <c r="X164" i="35"/>
  <c r="AE164" i="35"/>
  <c r="AB164" i="35"/>
  <c r="Z164" i="35"/>
  <c r="AA164" i="35"/>
  <c r="R164" i="35"/>
  <c r="AD164" i="35"/>
  <c r="Y162" i="35"/>
  <c r="AE162" i="35"/>
  <c r="X162" i="35"/>
  <c r="AD162" i="35"/>
  <c r="AB162" i="35"/>
  <c r="Z162" i="35"/>
  <c r="AA162" i="35"/>
  <c r="R162" i="35"/>
  <c r="X160" i="35"/>
  <c r="AE160" i="35"/>
  <c r="AD160" i="35"/>
  <c r="Z160" i="35"/>
  <c r="Y160" i="35"/>
  <c r="AB160" i="35"/>
  <c r="AA160" i="35"/>
  <c r="R160" i="35"/>
  <c r="Y158" i="35"/>
  <c r="X158" i="35"/>
  <c r="AE158" i="35"/>
  <c r="AD158" i="35"/>
  <c r="Z158" i="35"/>
  <c r="AB158" i="35"/>
  <c r="AA158" i="35"/>
  <c r="R158" i="35"/>
  <c r="Y156" i="35"/>
  <c r="X156" i="35"/>
  <c r="AE156" i="35"/>
  <c r="AB156" i="35"/>
  <c r="AD156" i="35"/>
  <c r="AA156" i="35"/>
  <c r="Z156" i="35"/>
  <c r="R156" i="35"/>
  <c r="Y154" i="35"/>
  <c r="AE154" i="35"/>
  <c r="X154" i="35"/>
  <c r="AD154" i="35"/>
  <c r="AB154" i="35"/>
  <c r="Z154" i="35"/>
  <c r="AA154" i="35"/>
  <c r="R154" i="35"/>
  <c r="Y152" i="35"/>
  <c r="X152" i="35"/>
  <c r="AD152" i="35"/>
  <c r="AE152" i="35"/>
  <c r="Z152" i="35"/>
  <c r="AB152" i="35"/>
  <c r="AA152" i="35"/>
  <c r="R152" i="35"/>
  <c r="Y150" i="35"/>
  <c r="X150" i="35"/>
  <c r="AE150" i="35"/>
  <c r="AD150" i="35"/>
  <c r="Z150" i="35"/>
  <c r="AA150" i="35"/>
  <c r="AB150" i="35"/>
  <c r="R150" i="35"/>
  <c r="Y148" i="35"/>
  <c r="X148" i="35"/>
  <c r="AE148" i="35"/>
  <c r="AD148" i="35"/>
  <c r="AB148" i="35"/>
  <c r="Z148" i="35"/>
  <c r="AA148" i="35"/>
  <c r="R148" i="35"/>
  <c r="X146" i="35"/>
  <c r="AE146" i="35"/>
  <c r="Y146" i="35"/>
  <c r="AD146" i="35"/>
  <c r="AB146" i="35"/>
  <c r="Z146" i="35"/>
  <c r="AA146" i="35"/>
  <c r="R146" i="35"/>
  <c r="X144" i="35"/>
  <c r="Y144" i="35"/>
  <c r="AE144" i="35"/>
  <c r="AD144" i="35"/>
  <c r="Z144" i="35"/>
  <c r="AB144" i="35"/>
  <c r="AA144" i="35"/>
  <c r="R144" i="35"/>
  <c r="Y142" i="35"/>
  <c r="X142" i="35"/>
  <c r="AE142" i="35"/>
  <c r="AD142" i="35"/>
  <c r="Z142" i="35"/>
  <c r="AB142" i="35"/>
  <c r="AA142" i="35"/>
  <c r="R142" i="35"/>
  <c r="Y140" i="35"/>
  <c r="X140" i="35"/>
  <c r="AE140" i="35"/>
  <c r="AD140" i="35"/>
  <c r="AB140" i="35"/>
  <c r="AA140" i="35"/>
  <c r="R140" i="35"/>
  <c r="Z140" i="35"/>
  <c r="Y112" i="35"/>
  <c r="AM112" i="35" s="1"/>
  <c r="X112" i="35"/>
  <c r="AE112" i="35"/>
  <c r="AD112" i="35"/>
  <c r="AC112" i="35"/>
  <c r="Z112" i="35"/>
  <c r="AB112" i="35"/>
  <c r="AA112" i="35"/>
  <c r="R112" i="35"/>
  <c r="T112" i="35" s="1"/>
  <c r="Y94" i="35"/>
  <c r="AM94" i="35" s="1"/>
  <c r="AE94" i="35"/>
  <c r="AD94" i="35"/>
  <c r="AC94" i="35"/>
  <c r="X94" i="35"/>
  <c r="AB94" i="35"/>
  <c r="Z94" i="35"/>
  <c r="AA94" i="35"/>
  <c r="R94" i="35"/>
  <c r="Y44" i="35"/>
  <c r="AM44" i="35" s="1"/>
  <c r="X44" i="35"/>
  <c r="AE44" i="35"/>
  <c r="AD44" i="35"/>
  <c r="AB44" i="35"/>
  <c r="AC44" i="35"/>
  <c r="Z44" i="35"/>
  <c r="AA44" i="35"/>
  <c r="R44" i="35"/>
  <c r="Y660" i="35"/>
  <c r="X660" i="35"/>
  <c r="AE660" i="35"/>
  <c r="AD660" i="35"/>
  <c r="AB660" i="35"/>
  <c r="Z660" i="35"/>
  <c r="AA660" i="35"/>
  <c r="R660" i="35"/>
  <c r="Y650" i="35"/>
  <c r="X650" i="35"/>
  <c r="AE650" i="35"/>
  <c r="AD650" i="35"/>
  <c r="AB650" i="35"/>
  <c r="Z650" i="35"/>
  <c r="R650" i="35"/>
  <c r="AA650" i="35"/>
  <c r="X644" i="35"/>
  <c r="Y644" i="35"/>
  <c r="AB644" i="35"/>
  <c r="AE644" i="35"/>
  <c r="AD644" i="35"/>
  <c r="Z644" i="35"/>
  <c r="AA644" i="35"/>
  <c r="R644" i="35"/>
  <c r="Y636" i="35"/>
  <c r="X636" i="35"/>
  <c r="AE636" i="35"/>
  <c r="AD636" i="35"/>
  <c r="AB636" i="35"/>
  <c r="Z636" i="35"/>
  <c r="AA636" i="35"/>
  <c r="R636" i="35"/>
  <c r="Y444" i="35"/>
  <c r="X444" i="35"/>
  <c r="AE444" i="35"/>
  <c r="AD444" i="35"/>
  <c r="AB444" i="35"/>
  <c r="Z444" i="35"/>
  <c r="AA444" i="35"/>
  <c r="R444" i="35"/>
  <c r="Y432" i="35"/>
  <c r="X432" i="35"/>
  <c r="AE432" i="35"/>
  <c r="AD432" i="35"/>
  <c r="AB432" i="35"/>
  <c r="Z432" i="35"/>
  <c r="AA432" i="35"/>
  <c r="R432" i="35"/>
  <c r="Y430" i="35"/>
  <c r="X430" i="35"/>
  <c r="AE430" i="35"/>
  <c r="AD430" i="35"/>
  <c r="AA430" i="35"/>
  <c r="AB430" i="35"/>
  <c r="Z430" i="35"/>
  <c r="R430" i="35"/>
  <c r="Y420" i="35"/>
  <c r="AD420" i="35"/>
  <c r="AB420" i="35"/>
  <c r="AE420" i="35"/>
  <c r="Z420" i="35"/>
  <c r="AA420" i="35"/>
  <c r="R420" i="35"/>
  <c r="X420" i="35"/>
  <c r="Y412" i="35"/>
  <c r="X412" i="35"/>
  <c r="AE412" i="35"/>
  <c r="AD412" i="35"/>
  <c r="AB412" i="35"/>
  <c r="Z412" i="35"/>
  <c r="AA412" i="35"/>
  <c r="R412" i="35"/>
  <c r="Y408" i="35"/>
  <c r="X408" i="35"/>
  <c r="AE408" i="35"/>
  <c r="AD408" i="35"/>
  <c r="AB408" i="35"/>
  <c r="Z408" i="35"/>
  <c r="AA408" i="35"/>
  <c r="R408" i="35"/>
  <c r="Y388" i="35"/>
  <c r="X388" i="35"/>
  <c r="AD388" i="35"/>
  <c r="AB388" i="35"/>
  <c r="AE388" i="35"/>
  <c r="Z388" i="35"/>
  <c r="AA388" i="35"/>
  <c r="R388" i="35"/>
  <c r="X384" i="35"/>
  <c r="Y384" i="35"/>
  <c r="AE384" i="35"/>
  <c r="AD384" i="35"/>
  <c r="AB384" i="35"/>
  <c r="AA384" i="35"/>
  <c r="Z384" i="35"/>
  <c r="R384" i="35"/>
  <c r="Y376" i="35"/>
  <c r="X376" i="35"/>
  <c r="AE376" i="35"/>
  <c r="AD376" i="35"/>
  <c r="AB376" i="35"/>
  <c r="Z376" i="35"/>
  <c r="AA376" i="35"/>
  <c r="R376" i="35"/>
  <c r="Y364" i="35"/>
  <c r="AD364" i="35"/>
  <c r="AE364" i="35"/>
  <c r="AB364" i="35"/>
  <c r="X364" i="35"/>
  <c r="Z364" i="35"/>
  <c r="AA364" i="35"/>
  <c r="R364" i="35"/>
  <c r="Y352" i="35"/>
  <c r="X352" i="35"/>
  <c r="AE352" i="35"/>
  <c r="AD352" i="35"/>
  <c r="AB352" i="35"/>
  <c r="Z352" i="35"/>
  <c r="AA352" i="35"/>
  <c r="R352" i="35"/>
  <c r="Y348" i="35"/>
  <c r="X348" i="35"/>
  <c r="AE348" i="35"/>
  <c r="AD348" i="35"/>
  <c r="AB348" i="35"/>
  <c r="Z348" i="35"/>
  <c r="AA348" i="35"/>
  <c r="R348" i="35"/>
  <c r="Y340" i="35"/>
  <c r="X340" i="35"/>
  <c r="AD340" i="35"/>
  <c r="AE340" i="35"/>
  <c r="AB340" i="35"/>
  <c r="Z340" i="35"/>
  <c r="AA340" i="35"/>
  <c r="R340" i="35"/>
  <c r="Y336" i="35"/>
  <c r="AE336" i="35"/>
  <c r="AD336" i="35"/>
  <c r="X336" i="35"/>
  <c r="AB336" i="35"/>
  <c r="Z336" i="35"/>
  <c r="AA336" i="35"/>
  <c r="R336" i="35"/>
  <c r="Y324" i="35"/>
  <c r="X324" i="35"/>
  <c r="AD324" i="35"/>
  <c r="AE324" i="35"/>
  <c r="AB324" i="35"/>
  <c r="Z324" i="35"/>
  <c r="AA324" i="35"/>
  <c r="R324" i="35"/>
  <c r="Y312" i="35"/>
  <c r="X312" i="35"/>
  <c r="AD312" i="35"/>
  <c r="AE312" i="35"/>
  <c r="AB312" i="35"/>
  <c r="Z312" i="35"/>
  <c r="AA312" i="35"/>
  <c r="R312" i="35"/>
  <c r="Y304" i="35"/>
  <c r="X304" i="35"/>
  <c r="AE304" i="35"/>
  <c r="AD304" i="35"/>
  <c r="AB304" i="35"/>
  <c r="Z304" i="35"/>
  <c r="AA304" i="35"/>
  <c r="R304" i="35"/>
  <c r="X272" i="35"/>
  <c r="Y272" i="35"/>
  <c r="AE272" i="35"/>
  <c r="AD272" i="35"/>
  <c r="AB272" i="35"/>
  <c r="Z272" i="35"/>
  <c r="AA272" i="35"/>
  <c r="R272" i="35"/>
  <c r="Y130" i="35"/>
  <c r="AM130" i="35" s="1"/>
  <c r="X130" i="35"/>
  <c r="AE130" i="35"/>
  <c r="AD130" i="35"/>
  <c r="AB130" i="35"/>
  <c r="AC130" i="35"/>
  <c r="Z130" i="35"/>
  <c r="AA130" i="35"/>
  <c r="R130" i="35"/>
  <c r="Y92" i="35"/>
  <c r="AM92" i="35" s="1"/>
  <c r="X92" i="35"/>
  <c r="AE92" i="35"/>
  <c r="AD92" i="35"/>
  <c r="AB92" i="35"/>
  <c r="AC92" i="35"/>
  <c r="AA92" i="35"/>
  <c r="Z92" i="35"/>
  <c r="R92" i="35"/>
  <c r="Y78" i="35"/>
  <c r="AM78" i="35" s="1"/>
  <c r="X78" i="35"/>
  <c r="AE78" i="35"/>
  <c r="AD78" i="35"/>
  <c r="AC78" i="35"/>
  <c r="Z78" i="35"/>
  <c r="AB78" i="35"/>
  <c r="AA78" i="35"/>
  <c r="R78" i="35"/>
  <c r="Y72" i="35"/>
  <c r="AM72" i="35" s="1"/>
  <c r="X72" i="35"/>
  <c r="AD72" i="35"/>
  <c r="AE72" i="35"/>
  <c r="Z72" i="35"/>
  <c r="AC72" i="35"/>
  <c r="AB72" i="35"/>
  <c r="AA72" i="35"/>
  <c r="R72" i="35"/>
  <c r="Y48" i="35"/>
  <c r="AM48" i="35" s="1"/>
  <c r="X48" i="35"/>
  <c r="AE48" i="35"/>
  <c r="AD48" i="35"/>
  <c r="AC48" i="35"/>
  <c r="Z48" i="35"/>
  <c r="AB48" i="35"/>
  <c r="AA48" i="35"/>
  <c r="R48" i="35"/>
  <c r="Y40" i="35"/>
  <c r="AM40" i="35" s="1"/>
  <c r="X40" i="35"/>
  <c r="AD40" i="35"/>
  <c r="AE40" i="35"/>
  <c r="Z40" i="35"/>
  <c r="AC40" i="35"/>
  <c r="AB40" i="35"/>
  <c r="AA40" i="35"/>
  <c r="R40" i="35"/>
  <c r="T40" i="35" s="1"/>
  <c r="Y34" i="35"/>
  <c r="AM34" i="35" s="1"/>
  <c r="AE34" i="35"/>
  <c r="X34" i="35"/>
  <c r="AD34" i="35"/>
  <c r="AB34" i="35"/>
  <c r="Z34" i="35"/>
  <c r="AA34" i="35"/>
  <c r="AC34" i="35"/>
  <c r="R34" i="35"/>
  <c r="T34" i="35" s="1"/>
  <c r="X16" i="35"/>
  <c r="Y16" i="35"/>
  <c r="AM16" i="35" s="1"/>
  <c r="AE16" i="35"/>
  <c r="AD16" i="35"/>
  <c r="Z16" i="35"/>
  <c r="AB16" i="35"/>
  <c r="AC16" i="35"/>
  <c r="AA16" i="35"/>
  <c r="R16" i="35"/>
  <c r="X698" i="35"/>
  <c r="Y698" i="35"/>
  <c r="AE698" i="35"/>
  <c r="AD698" i="35"/>
  <c r="AB698" i="35"/>
  <c r="Z698" i="35"/>
  <c r="R698" i="35"/>
  <c r="AA698" i="35"/>
  <c r="Y690" i="35"/>
  <c r="X690" i="35"/>
  <c r="AE690" i="35"/>
  <c r="AD690" i="35"/>
  <c r="AB690" i="35"/>
  <c r="Z690" i="35"/>
  <c r="R690" i="35"/>
  <c r="AA690" i="35"/>
  <c r="Y682" i="35"/>
  <c r="X682" i="35"/>
  <c r="AE682" i="35"/>
  <c r="AD682" i="35"/>
  <c r="AB682" i="35"/>
  <c r="Z682" i="35"/>
  <c r="R682" i="35"/>
  <c r="AA682" i="35"/>
  <c r="X676" i="35"/>
  <c r="Y676" i="35"/>
  <c r="AD676" i="35"/>
  <c r="AB676" i="35"/>
  <c r="AE676" i="35"/>
  <c r="Z676" i="35"/>
  <c r="AA676" i="35"/>
  <c r="R676" i="35"/>
  <c r="Y668" i="35"/>
  <c r="X668" i="35"/>
  <c r="AE668" i="35"/>
  <c r="AB668" i="35"/>
  <c r="Z668" i="35"/>
  <c r="AA668" i="35"/>
  <c r="AD668" i="35"/>
  <c r="R668" i="35"/>
  <c r="Y662" i="35"/>
  <c r="X662" i="35"/>
  <c r="AE662" i="35"/>
  <c r="AD662" i="35"/>
  <c r="Z662" i="35"/>
  <c r="AB662" i="35"/>
  <c r="AA662" i="35"/>
  <c r="R662" i="35"/>
  <c r="Y646" i="35"/>
  <c r="X646" i="35"/>
  <c r="AE646" i="35"/>
  <c r="AD646" i="35"/>
  <c r="AB646" i="35"/>
  <c r="AA646" i="35"/>
  <c r="Z646" i="35"/>
  <c r="R646" i="35"/>
  <c r="Y640" i="35"/>
  <c r="AE640" i="35"/>
  <c r="X640" i="35"/>
  <c r="AD640" i="35"/>
  <c r="AB640" i="35"/>
  <c r="Z640" i="35"/>
  <c r="AA640" i="35"/>
  <c r="R640" i="35"/>
  <c r="Y624" i="35"/>
  <c r="X624" i="35"/>
  <c r="AE624" i="35"/>
  <c r="AD624" i="35"/>
  <c r="AB624" i="35"/>
  <c r="Z624" i="35"/>
  <c r="AA624" i="35"/>
  <c r="R624" i="35"/>
  <c r="Y618" i="35"/>
  <c r="X618" i="35"/>
  <c r="AE618" i="35"/>
  <c r="AD618" i="35"/>
  <c r="AB618" i="35"/>
  <c r="Z618" i="35"/>
  <c r="R618" i="35"/>
  <c r="AA618" i="35"/>
  <c r="Y612" i="35"/>
  <c r="X612" i="35"/>
  <c r="AE612" i="35"/>
  <c r="AD612" i="35"/>
  <c r="AB612" i="35"/>
  <c r="Z612" i="35"/>
  <c r="AA612" i="35"/>
  <c r="R612" i="35"/>
  <c r="X594" i="35"/>
  <c r="Y594" i="35"/>
  <c r="AE594" i="35"/>
  <c r="AD594" i="35"/>
  <c r="AB594" i="35"/>
  <c r="Z594" i="35"/>
  <c r="R594" i="35"/>
  <c r="AA594" i="35"/>
  <c r="Y576" i="35"/>
  <c r="X576" i="35"/>
  <c r="AE576" i="35"/>
  <c r="AD576" i="35"/>
  <c r="AB576" i="35"/>
  <c r="Z576" i="35"/>
  <c r="AA576" i="35"/>
  <c r="R576" i="35"/>
  <c r="X564" i="35"/>
  <c r="Y564" i="35"/>
  <c r="AE564" i="35"/>
  <c r="AB564" i="35"/>
  <c r="Z564" i="35"/>
  <c r="AA564" i="35"/>
  <c r="R564" i="35"/>
  <c r="AD564" i="35"/>
  <c r="Y558" i="35"/>
  <c r="AE558" i="35"/>
  <c r="X558" i="35"/>
  <c r="AD558" i="35"/>
  <c r="AB558" i="35"/>
  <c r="AA558" i="35"/>
  <c r="Z558" i="35"/>
  <c r="R558" i="35"/>
  <c r="Y544" i="35"/>
  <c r="X544" i="35"/>
  <c r="AE544" i="35"/>
  <c r="AD544" i="35"/>
  <c r="AB544" i="35"/>
  <c r="Z544" i="35"/>
  <c r="AA544" i="35"/>
  <c r="R544" i="35"/>
  <c r="Y524" i="35"/>
  <c r="X524" i="35"/>
  <c r="AD524" i="35"/>
  <c r="AB524" i="35"/>
  <c r="Z524" i="35"/>
  <c r="AE524" i="35"/>
  <c r="AA524" i="35"/>
  <c r="R524" i="35"/>
  <c r="Y518" i="35"/>
  <c r="X518" i="35"/>
  <c r="AE518" i="35"/>
  <c r="AD518" i="35"/>
  <c r="AB518" i="35"/>
  <c r="AA518" i="35"/>
  <c r="Z518" i="35"/>
  <c r="R518" i="35"/>
  <c r="Y512" i="35"/>
  <c r="X512" i="35"/>
  <c r="AE512" i="35"/>
  <c r="AD512" i="35"/>
  <c r="AB512" i="35"/>
  <c r="Z512" i="35"/>
  <c r="AA512" i="35"/>
  <c r="R512" i="35"/>
  <c r="Y498" i="35"/>
  <c r="X498" i="35"/>
  <c r="AE498" i="35"/>
  <c r="AD498" i="35"/>
  <c r="AB498" i="35"/>
  <c r="Z498" i="35"/>
  <c r="AA498" i="35"/>
  <c r="R498" i="35"/>
  <c r="Y492" i="35"/>
  <c r="X492" i="35"/>
  <c r="AE492" i="35"/>
  <c r="AD492" i="35"/>
  <c r="AB492" i="35"/>
  <c r="Z492" i="35"/>
  <c r="AA492" i="35"/>
  <c r="R492" i="35"/>
  <c r="Y486" i="35"/>
  <c r="X486" i="35"/>
  <c r="AE486" i="35"/>
  <c r="AD486" i="35"/>
  <c r="AB486" i="35"/>
  <c r="AA486" i="35"/>
  <c r="Z486" i="35"/>
  <c r="R486" i="35"/>
  <c r="Y484" i="35"/>
  <c r="X484" i="35"/>
  <c r="AE484" i="35"/>
  <c r="AB484" i="35"/>
  <c r="AD484" i="35"/>
  <c r="Z484" i="35"/>
  <c r="AA484" i="35"/>
  <c r="R484" i="35"/>
  <c r="Y478" i="35"/>
  <c r="AE478" i="35"/>
  <c r="X478" i="35"/>
  <c r="AD478" i="35"/>
  <c r="AB478" i="35"/>
  <c r="Z478" i="35"/>
  <c r="AA478" i="35"/>
  <c r="R478" i="35"/>
  <c r="Y476" i="35"/>
  <c r="X476" i="35"/>
  <c r="AE476" i="35"/>
  <c r="AD476" i="35"/>
  <c r="AB476" i="35"/>
  <c r="Z476" i="35"/>
  <c r="AA476" i="35"/>
  <c r="R476" i="35"/>
  <c r="AE470" i="35"/>
  <c r="X470" i="35"/>
  <c r="Y470" i="35"/>
  <c r="AD470" i="35"/>
  <c r="Z470" i="35"/>
  <c r="AA470" i="35"/>
  <c r="AB470" i="35"/>
  <c r="R470" i="35"/>
  <c r="Y464" i="35"/>
  <c r="X464" i="35"/>
  <c r="AE464" i="35"/>
  <c r="AD464" i="35"/>
  <c r="AB464" i="35"/>
  <c r="Z464" i="35"/>
  <c r="AA464" i="35"/>
  <c r="R464" i="35"/>
  <c r="Y462" i="35"/>
  <c r="X462" i="35"/>
  <c r="AE462" i="35"/>
  <c r="AD462" i="35"/>
  <c r="AB462" i="35"/>
  <c r="AA462" i="35"/>
  <c r="Z462" i="35"/>
  <c r="R462" i="35"/>
  <c r="Y456" i="35"/>
  <c r="X456" i="35"/>
  <c r="AE456" i="35"/>
  <c r="AD456" i="35"/>
  <c r="AB456" i="35"/>
  <c r="AA456" i="35"/>
  <c r="Z456" i="35"/>
  <c r="R456" i="35"/>
  <c r="Y442" i="35"/>
  <c r="X442" i="35"/>
  <c r="AE442" i="35"/>
  <c r="AD442" i="35"/>
  <c r="AB442" i="35"/>
  <c r="Z442" i="35"/>
  <c r="AA442" i="35"/>
  <c r="R442" i="35"/>
  <c r="Y438" i="35"/>
  <c r="X438" i="35"/>
  <c r="AE438" i="35"/>
  <c r="AD438" i="35"/>
  <c r="Z438" i="35"/>
  <c r="AB438" i="35"/>
  <c r="AA438" i="35"/>
  <c r="R438" i="35"/>
  <c r="Y422" i="35"/>
  <c r="X422" i="35"/>
  <c r="AE422" i="35"/>
  <c r="AD422" i="35"/>
  <c r="AB422" i="35"/>
  <c r="Z422" i="35"/>
  <c r="AA422" i="35"/>
  <c r="R422" i="35"/>
  <c r="Y410" i="35"/>
  <c r="X410" i="35"/>
  <c r="AE410" i="35"/>
  <c r="AB410" i="35"/>
  <c r="Z410" i="35"/>
  <c r="AA410" i="35"/>
  <c r="AD410" i="35"/>
  <c r="R410" i="35"/>
  <c r="Y406" i="35"/>
  <c r="X406" i="35"/>
  <c r="AE406" i="35"/>
  <c r="AD406" i="35"/>
  <c r="Z406" i="35"/>
  <c r="AA406" i="35"/>
  <c r="AB406" i="35"/>
  <c r="R406" i="35"/>
  <c r="Y394" i="35"/>
  <c r="X394" i="35"/>
  <c r="AE394" i="35"/>
  <c r="AD394" i="35"/>
  <c r="AB394" i="35"/>
  <c r="Z394" i="35"/>
  <c r="AA394" i="35"/>
  <c r="R394" i="35"/>
  <c r="Y382" i="35"/>
  <c r="X382" i="35"/>
  <c r="AE382" i="35"/>
  <c r="AD382" i="35"/>
  <c r="AB382" i="35"/>
  <c r="AA382" i="35"/>
  <c r="Z382" i="35"/>
  <c r="R382" i="35"/>
  <c r="Y378" i="35"/>
  <c r="X378" i="35"/>
  <c r="AE378" i="35"/>
  <c r="AB378" i="35"/>
  <c r="AD378" i="35"/>
  <c r="Z378" i="35"/>
  <c r="AA378" i="35"/>
  <c r="R378" i="35"/>
  <c r="X370" i="35"/>
  <c r="Y370" i="35"/>
  <c r="AE370" i="35"/>
  <c r="AB370" i="35"/>
  <c r="AD370" i="35"/>
  <c r="Z370" i="35"/>
  <c r="AA370" i="35"/>
  <c r="R370" i="35"/>
  <c r="Y366" i="35"/>
  <c r="X366" i="35"/>
  <c r="AE366" i="35"/>
  <c r="AD366" i="35"/>
  <c r="AA366" i="35"/>
  <c r="AB366" i="35"/>
  <c r="Z366" i="35"/>
  <c r="R366" i="35"/>
  <c r="Y350" i="35"/>
  <c r="X350" i="35"/>
  <c r="AE350" i="35"/>
  <c r="AD350" i="35"/>
  <c r="AB350" i="35"/>
  <c r="AA350" i="35"/>
  <c r="Z350" i="35"/>
  <c r="R350" i="35"/>
  <c r="Y346" i="35"/>
  <c r="X346" i="35"/>
  <c r="AE346" i="35"/>
  <c r="AB346" i="35"/>
  <c r="Z346" i="35"/>
  <c r="AA346" i="35"/>
  <c r="R346" i="35"/>
  <c r="AD346" i="35"/>
  <c r="Y342" i="35"/>
  <c r="X342" i="35"/>
  <c r="AE342" i="35"/>
  <c r="AD342" i="35"/>
  <c r="Z342" i="35"/>
  <c r="AA342" i="35"/>
  <c r="AB342" i="35"/>
  <c r="R342" i="35"/>
  <c r="Y334" i="35"/>
  <c r="X334" i="35"/>
  <c r="AE334" i="35"/>
  <c r="AD334" i="35"/>
  <c r="AB334" i="35"/>
  <c r="AA334" i="35"/>
  <c r="Z334" i="35"/>
  <c r="R334" i="35"/>
  <c r="Y330" i="35"/>
  <c r="X330" i="35"/>
  <c r="AE330" i="35"/>
  <c r="AD330" i="35"/>
  <c r="AB330" i="35"/>
  <c r="Z330" i="35"/>
  <c r="AA330" i="35"/>
  <c r="R330" i="35"/>
  <c r="Y326" i="35"/>
  <c r="AE326" i="35"/>
  <c r="AD326" i="35"/>
  <c r="X326" i="35"/>
  <c r="AB326" i="35"/>
  <c r="AA326" i="35"/>
  <c r="Z326" i="35"/>
  <c r="R326" i="35"/>
  <c r="Y302" i="35"/>
  <c r="AE302" i="35"/>
  <c r="X302" i="35"/>
  <c r="AD302" i="35"/>
  <c r="AA302" i="35"/>
  <c r="AB302" i="35"/>
  <c r="Z302" i="35"/>
  <c r="R302" i="35"/>
  <c r="Y296" i="35"/>
  <c r="X296" i="35"/>
  <c r="AD296" i="35"/>
  <c r="AE296" i="35"/>
  <c r="AB296" i="35"/>
  <c r="AA296" i="35"/>
  <c r="Z296" i="35"/>
  <c r="R296" i="35"/>
  <c r="Y294" i="35"/>
  <c r="X294" i="35"/>
  <c r="AE294" i="35"/>
  <c r="AD294" i="35"/>
  <c r="AB294" i="35"/>
  <c r="Z294" i="35"/>
  <c r="AA294" i="35"/>
  <c r="R294" i="35"/>
  <c r="Y292" i="35"/>
  <c r="AE292" i="35"/>
  <c r="X292" i="35"/>
  <c r="AD292" i="35"/>
  <c r="AB292" i="35"/>
  <c r="Z292" i="35"/>
  <c r="AA292" i="35"/>
  <c r="R292" i="35"/>
  <c r="Y286" i="35"/>
  <c r="X286" i="35"/>
  <c r="AE286" i="35"/>
  <c r="AD286" i="35"/>
  <c r="AB286" i="35"/>
  <c r="Z286" i="35"/>
  <c r="AA286" i="35"/>
  <c r="R286" i="35"/>
  <c r="Y284" i="35"/>
  <c r="X284" i="35"/>
  <c r="AE284" i="35"/>
  <c r="AD284" i="35"/>
  <c r="AB284" i="35"/>
  <c r="Z284" i="35"/>
  <c r="AA284" i="35"/>
  <c r="R284" i="35"/>
  <c r="Y282" i="35"/>
  <c r="AE282" i="35"/>
  <c r="X282" i="35"/>
  <c r="AB282" i="35"/>
  <c r="Z282" i="35"/>
  <c r="AA282" i="35"/>
  <c r="AD282" i="35"/>
  <c r="R282" i="35"/>
  <c r="Y276" i="35"/>
  <c r="X276" i="35"/>
  <c r="AE276" i="35"/>
  <c r="AD276" i="35"/>
  <c r="AB276" i="35"/>
  <c r="Z276" i="35"/>
  <c r="AA276" i="35"/>
  <c r="R276" i="35"/>
  <c r="Y274" i="35"/>
  <c r="X274" i="35"/>
  <c r="AE274" i="35"/>
  <c r="AB274" i="35"/>
  <c r="AD274" i="35"/>
  <c r="Z274" i="35"/>
  <c r="AA274" i="35"/>
  <c r="R274" i="35"/>
  <c r="Y270" i="35"/>
  <c r="AE270" i="35"/>
  <c r="AD270" i="35"/>
  <c r="X270" i="35"/>
  <c r="AB270" i="35"/>
  <c r="AA270" i="35"/>
  <c r="Z270" i="35"/>
  <c r="R270" i="35"/>
  <c r="Y264" i="35"/>
  <c r="X264" i="35"/>
  <c r="AD264" i="35"/>
  <c r="AE264" i="35"/>
  <c r="AB264" i="35"/>
  <c r="AA264" i="35"/>
  <c r="Z264" i="35"/>
  <c r="R264" i="35"/>
  <c r="Y258" i="35"/>
  <c r="X258" i="35"/>
  <c r="AE258" i="35"/>
  <c r="AB258" i="35"/>
  <c r="Z258" i="35"/>
  <c r="AA258" i="35"/>
  <c r="AD258" i="35"/>
  <c r="R258" i="35"/>
  <c r="Y248" i="35"/>
  <c r="X248" i="35"/>
  <c r="AD248" i="35"/>
  <c r="AE248" i="35"/>
  <c r="AB248" i="35"/>
  <c r="Z248" i="35"/>
  <c r="AA248" i="35"/>
  <c r="R248" i="35"/>
  <c r="Y242" i="35"/>
  <c r="AE242" i="35"/>
  <c r="X242" i="35"/>
  <c r="AB242" i="35"/>
  <c r="AD242" i="35"/>
  <c r="Z242" i="35"/>
  <c r="AA242" i="35"/>
  <c r="R242" i="35"/>
  <c r="Y236" i="35"/>
  <c r="X236" i="35"/>
  <c r="AE236" i="35"/>
  <c r="AD236" i="35"/>
  <c r="AB236" i="35"/>
  <c r="Z236" i="35"/>
  <c r="AA236" i="35"/>
  <c r="R236" i="35"/>
  <c r="Y230" i="35"/>
  <c r="X230" i="35"/>
  <c r="AE230" i="35"/>
  <c r="AD230" i="35"/>
  <c r="AB230" i="35"/>
  <c r="Z230" i="35"/>
  <c r="AA230" i="35"/>
  <c r="R230" i="35"/>
  <c r="X224" i="35"/>
  <c r="Y224" i="35"/>
  <c r="AE224" i="35"/>
  <c r="AD224" i="35"/>
  <c r="AB224" i="35"/>
  <c r="Z224" i="35"/>
  <c r="AA224" i="35"/>
  <c r="R224" i="35"/>
  <c r="Y218" i="35"/>
  <c r="AE218" i="35"/>
  <c r="X218" i="35"/>
  <c r="AD218" i="35"/>
  <c r="AB218" i="35"/>
  <c r="Z218" i="35"/>
  <c r="AA218" i="35"/>
  <c r="R218" i="35"/>
  <c r="Y212" i="35"/>
  <c r="X212" i="35"/>
  <c r="AE212" i="35"/>
  <c r="AD212" i="35"/>
  <c r="AB212" i="35"/>
  <c r="Z212" i="35"/>
  <c r="AA212" i="35"/>
  <c r="R212" i="35"/>
  <c r="Y116" i="35"/>
  <c r="AM116" i="35" s="1"/>
  <c r="X116" i="35"/>
  <c r="AE116" i="35"/>
  <c r="AD116" i="35"/>
  <c r="AC116" i="35"/>
  <c r="AB116" i="35"/>
  <c r="AA116" i="35"/>
  <c r="Z116" i="35"/>
  <c r="R116" i="35"/>
  <c r="Y104" i="35"/>
  <c r="AM104" i="35" s="1"/>
  <c r="X104" i="35"/>
  <c r="AD104" i="35"/>
  <c r="AE104" i="35"/>
  <c r="Z104" i="35"/>
  <c r="AC104" i="35"/>
  <c r="AB104" i="35"/>
  <c r="AA104" i="35"/>
  <c r="R104" i="35"/>
  <c r="X96" i="35"/>
  <c r="Y96" i="35"/>
  <c r="AM96" i="35" s="1"/>
  <c r="AE96" i="35"/>
  <c r="AD96" i="35"/>
  <c r="Z96" i="35"/>
  <c r="AC96" i="35"/>
  <c r="AB96" i="35"/>
  <c r="AA96" i="35"/>
  <c r="R96" i="35"/>
  <c r="T96" i="35" s="1"/>
  <c r="X82" i="35"/>
  <c r="Y82" i="35"/>
  <c r="AM82" i="35" s="1"/>
  <c r="AE82" i="35"/>
  <c r="AB82" i="35"/>
  <c r="Z82" i="35"/>
  <c r="AD82" i="35"/>
  <c r="AA82" i="35"/>
  <c r="R82" i="35"/>
  <c r="AC82" i="35"/>
  <c r="AE74" i="35"/>
  <c r="Y74" i="35"/>
  <c r="AM74" i="35" s="1"/>
  <c r="X74" i="35"/>
  <c r="AC74" i="35"/>
  <c r="AB74" i="35"/>
  <c r="Z74" i="35"/>
  <c r="AD74" i="35"/>
  <c r="AA74" i="35"/>
  <c r="R74" i="35"/>
  <c r="Y36" i="35"/>
  <c r="AM36" i="35" s="1"/>
  <c r="X36" i="35"/>
  <c r="AE36" i="35"/>
  <c r="AC36" i="35"/>
  <c r="AB36" i="35"/>
  <c r="AA36" i="35"/>
  <c r="R36" i="35"/>
  <c r="AD36" i="35"/>
  <c r="Z36" i="35"/>
  <c r="Y666" i="35"/>
  <c r="X666" i="35"/>
  <c r="AE666" i="35"/>
  <c r="AD666" i="35"/>
  <c r="AB666" i="35"/>
  <c r="Z666" i="35"/>
  <c r="R666" i="35"/>
  <c r="AA666" i="35"/>
  <c r="X658" i="35"/>
  <c r="Y658" i="35"/>
  <c r="AE658" i="35"/>
  <c r="AD658" i="35"/>
  <c r="AB658" i="35"/>
  <c r="Z658" i="35"/>
  <c r="R658" i="35"/>
  <c r="AA658" i="35"/>
  <c r="Y652" i="35"/>
  <c r="X652" i="35"/>
  <c r="AD652" i="35"/>
  <c r="AB652" i="35"/>
  <c r="Z652" i="35"/>
  <c r="AE652" i="35"/>
  <c r="AA652" i="35"/>
  <c r="R652" i="35"/>
  <c r="X634" i="35"/>
  <c r="Y634" i="35"/>
  <c r="AE634" i="35"/>
  <c r="AD634" i="35"/>
  <c r="AB634" i="35"/>
  <c r="Z634" i="35"/>
  <c r="R634" i="35"/>
  <c r="AA634" i="35"/>
  <c r="Y616" i="35"/>
  <c r="X616" i="35"/>
  <c r="AE616" i="35"/>
  <c r="AD616" i="35"/>
  <c r="AB616" i="35"/>
  <c r="AA616" i="35"/>
  <c r="Z616" i="35"/>
  <c r="R616" i="35"/>
  <c r="Y602" i="35"/>
  <c r="X602" i="35"/>
  <c r="AE602" i="35"/>
  <c r="AD602" i="35"/>
  <c r="AB602" i="35"/>
  <c r="Z602" i="35"/>
  <c r="R602" i="35"/>
  <c r="AA602" i="35"/>
  <c r="Y598" i="35"/>
  <c r="X598" i="35"/>
  <c r="AE598" i="35"/>
  <c r="AD598" i="35"/>
  <c r="Z598" i="35"/>
  <c r="AA598" i="35"/>
  <c r="AB598" i="35"/>
  <c r="R598" i="35"/>
  <c r="Y574" i="35"/>
  <c r="X574" i="35"/>
  <c r="AE574" i="35"/>
  <c r="AD574" i="35"/>
  <c r="AB574" i="35"/>
  <c r="Z574" i="35"/>
  <c r="AA574" i="35"/>
  <c r="R574" i="35"/>
  <c r="X570" i="35"/>
  <c r="Y570" i="35"/>
  <c r="AE570" i="35"/>
  <c r="AD570" i="35"/>
  <c r="AB570" i="35"/>
  <c r="Z570" i="35"/>
  <c r="R570" i="35"/>
  <c r="AA570" i="35"/>
  <c r="Y550" i="35"/>
  <c r="X550" i="35"/>
  <c r="AE550" i="35"/>
  <c r="AD550" i="35"/>
  <c r="AB550" i="35"/>
  <c r="AA550" i="35"/>
  <c r="Z550" i="35"/>
  <c r="R550" i="35"/>
  <c r="X532" i="35"/>
  <c r="Y532" i="35"/>
  <c r="AE532" i="35"/>
  <c r="AB532" i="35"/>
  <c r="AD532" i="35"/>
  <c r="Z532" i="35"/>
  <c r="AA532" i="35"/>
  <c r="R532" i="35"/>
  <c r="Y526" i="35"/>
  <c r="AE526" i="35"/>
  <c r="AD526" i="35"/>
  <c r="X526" i="35"/>
  <c r="AB526" i="35"/>
  <c r="AA526" i="35"/>
  <c r="Z526" i="35"/>
  <c r="R526" i="35"/>
  <c r="X520" i="35"/>
  <c r="Y520" i="35"/>
  <c r="AE520" i="35"/>
  <c r="AD520" i="35"/>
  <c r="AB520" i="35"/>
  <c r="AA520" i="35"/>
  <c r="Z520" i="35"/>
  <c r="R520" i="35"/>
  <c r="X514" i="35"/>
  <c r="Y514" i="35"/>
  <c r="AE514" i="35"/>
  <c r="AD514" i="35"/>
  <c r="AB514" i="35"/>
  <c r="Z514" i="35"/>
  <c r="AA514" i="35"/>
  <c r="R514" i="35"/>
  <c r="Y506" i="35"/>
  <c r="AE506" i="35"/>
  <c r="AD506" i="35"/>
  <c r="X506" i="35"/>
  <c r="AB506" i="35"/>
  <c r="Z506" i="35"/>
  <c r="AA506" i="35"/>
  <c r="R506" i="35"/>
  <c r="Y496" i="35"/>
  <c r="X496" i="35"/>
  <c r="AE496" i="35"/>
  <c r="AD496" i="35"/>
  <c r="AB496" i="35"/>
  <c r="Z496" i="35"/>
  <c r="AA496" i="35"/>
  <c r="R496" i="35"/>
  <c r="Y494" i="35"/>
  <c r="X494" i="35"/>
  <c r="AE494" i="35"/>
  <c r="AD494" i="35"/>
  <c r="AA494" i="35"/>
  <c r="AB494" i="35"/>
  <c r="Z494" i="35"/>
  <c r="R494" i="35"/>
  <c r="Y488" i="35"/>
  <c r="X488" i="35"/>
  <c r="AE488" i="35"/>
  <c r="AD488" i="35"/>
  <c r="AB488" i="35"/>
  <c r="AA488" i="35"/>
  <c r="Z488" i="35"/>
  <c r="R488" i="35"/>
  <c r="Y482" i="35"/>
  <c r="X482" i="35"/>
  <c r="AE482" i="35"/>
  <c r="AD482" i="35"/>
  <c r="AB482" i="35"/>
  <c r="Z482" i="35"/>
  <c r="AA482" i="35"/>
  <c r="R482" i="35"/>
  <c r="Y472" i="35"/>
  <c r="X472" i="35"/>
  <c r="AE472" i="35"/>
  <c r="AB472" i="35"/>
  <c r="AD472" i="35"/>
  <c r="Z472" i="35"/>
  <c r="AA472" i="35"/>
  <c r="R472" i="35"/>
  <c r="Y466" i="35"/>
  <c r="X466" i="35"/>
  <c r="AE466" i="35"/>
  <c r="AD466" i="35"/>
  <c r="AB466" i="35"/>
  <c r="Z466" i="35"/>
  <c r="AA466" i="35"/>
  <c r="R466" i="35"/>
  <c r="Y460" i="35"/>
  <c r="X460" i="35"/>
  <c r="AD460" i="35"/>
  <c r="AE460" i="35"/>
  <c r="AB460" i="35"/>
  <c r="Z460" i="35"/>
  <c r="AA460" i="35"/>
  <c r="R460" i="35"/>
  <c r="Y458" i="35"/>
  <c r="X458" i="35"/>
  <c r="AE458" i="35"/>
  <c r="AD458" i="35"/>
  <c r="AB458" i="35"/>
  <c r="Z458" i="35"/>
  <c r="AA458" i="35"/>
  <c r="R458" i="35"/>
  <c r="X448" i="35"/>
  <c r="Y448" i="35"/>
  <c r="AE448" i="35"/>
  <c r="AD448" i="35"/>
  <c r="AB448" i="35"/>
  <c r="AA448" i="35"/>
  <c r="Z448" i="35"/>
  <c r="R448" i="35"/>
  <c r="X440" i="35"/>
  <c r="Y440" i="35"/>
  <c r="AE440" i="35"/>
  <c r="AB440" i="35"/>
  <c r="AD440" i="35"/>
  <c r="Z440" i="35"/>
  <c r="AA440" i="35"/>
  <c r="R440" i="35"/>
  <c r="Y436" i="35"/>
  <c r="X436" i="35"/>
  <c r="AE436" i="35"/>
  <c r="AB436" i="35"/>
  <c r="Z436" i="35"/>
  <c r="AA436" i="35"/>
  <c r="AD436" i="35"/>
  <c r="R436" i="35"/>
  <c r="Y428" i="35"/>
  <c r="X428" i="35"/>
  <c r="AD428" i="35"/>
  <c r="AB428" i="35"/>
  <c r="AE428" i="35"/>
  <c r="Z428" i="35"/>
  <c r="AA428" i="35"/>
  <c r="R428" i="35"/>
  <c r="Y424" i="35"/>
  <c r="X424" i="35"/>
  <c r="AE424" i="35"/>
  <c r="AD424" i="35"/>
  <c r="AB424" i="35"/>
  <c r="AA424" i="35"/>
  <c r="Z424" i="35"/>
  <c r="R424" i="35"/>
  <c r="Y416" i="35"/>
  <c r="X416" i="35"/>
  <c r="AE416" i="35"/>
  <c r="AD416" i="35"/>
  <c r="AB416" i="35"/>
  <c r="Z416" i="35"/>
  <c r="AA416" i="35"/>
  <c r="R416" i="35"/>
  <c r="Y404" i="35"/>
  <c r="X404" i="35"/>
  <c r="AD404" i="35"/>
  <c r="AE404" i="35"/>
  <c r="AB404" i="35"/>
  <c r="Z404" i="35"/>
  <c r="AA404" i="35"/>
  <c r="R404" i="35"/>
  <c r="X400" i="35"/>
  <c r="Y400" i="35"/>
  <c r="AE400" i="35"/>
  <c r="AD400" i="35"/>
  <c r="AB400" i="35"/>
  <c r="Z400" i="35"/>
  <c r="AA400" i="35"/>
  <c r="R400" i="35"/>
  <c r="Y396" i="35"/>
  <c r="X396" i="35"/>
  <c r="AD396" i="35"/>
  <c r="AB396" i="35"/>
  <c r="AE396" i="35"/>
  <c r="Z396" i="35"/>
  <c r="AA396" i="35"/>
  <c r="R396" i="35"/>
  <c r="Y392" i="35"/>
  <c r="X392" i="35"/>
  <c r="AE392" i="35"/>
  <c r="AD392" i="35"/>
  <c r="AB392" i="35"/>
  <c r="AA392" i="35"/>
  <c r="Z392" i="35"/>
  <c r="R392" i="35"/>
  <c r="Y380" i="35"/>
  <c r="X380" i="35"/>
  <c r="AD380" i="35"/>
  <c r="AE380" i="35"/>
  <c r="AB380" i="35"/>
  <c r="Z380" i="35"/>
  <c r="AA380" i="35"/>
  <c r="R380" i="35"/>
  <c r="Y372" i="35"/>
  <c r="X372" i="35"/>
  <c r="AE372" i="35"/>
  <c r="AD372" i="35"/>
  <c r="AB372" i="35"/>
  <c r="Z372" i="35"/>
  <c r="AA372" i="35"/>
  <c r="R372" i="35"/>
  <c r="Y368" i="35"/>
  <c r="X368" i="35"/>
  <c r="AE368" i="35"/>
  <c r="AD368" i="35"/>
  <c r="AB368" i="35"/>
  <c r="Z368" i="35"/>
  <c r="AA368" i="35"/>
  <c r="R368" i="35"/>
  <c r="Y360" i="35"/>
  <c r="X360" i="35"/>
  <c r="AE360" i="35"/>
  <c r="AD360" i="35"/>
  <c r="AB360" i="35"/>
  <c r="AA360" i="35"/>
  <c r="Z360" i="35"/>
  <c r="R360" i="35"/>
  <c r="Y356" i="35"/>
  <c r="X356" i="35"/>
  <c r="AD356" i="35"/>
  <c r="AE356" i="35"/>
  <c r="AB356" i="35"/>
  <c r="Z356" i="35"/>
  <c r="AA356" i="35"/>
  <c r="R356" i="35"/>
  <c r="Y344" i="35"/>
  <c r="X344" i="35"/>
  <c r="AE344" i="35"/>
  <c r="AD344" i="35"/>
  <c r="AB344" i="35"/>
  <c r="Z344" i="35"/>
  <c r="AA344" i="35"/>
  <c r="R344" i="35"/>
  <c r="Y332" i="35"/>
  <c r="X332" i="35"/>
  <c r="AD332" i="35"/>
  <c r="AE332" i="35"/>
  <c r="AB332" i="35"/>
  <c r="Z332" i="35"/>
  <c r="AA332" i="35"/>
  <c r="R332" i="35"/>
  <c r="Y328" i="35"/>
  <c r="X328" i="35"/>
  <c r="AE328" i="35"/>
  <c r="AD328" i="35"/>
  <c r="AB328" i="35"/>
  <c r="AA328" i="35"/>
  <c r="Z328" i="35"/>
  <c r="R328" i="35"/>
  <c r="X320" i="35"/>
  <c r="Y320" i="35"/>
  <c r="AE320" i="35"/>
  <c r="AD320" i="35"/>
  <c r="AB320" i="35"/>
  <c r="AA320" i="35"/>
  <c r="Z320" i="35"/>
  <c r="R320" i="35"/>
  <c r="Y316" i="35"/>
  <c r="X316" i="35"/>
  <c r="AE316" i="35"/>
  <c r="AD316" i="35"/>
  <c r="AB316" i="35"/>
  <c r="Z316" i="35"/>
  <c r="AA316" i="35"/>
  <c r="R316" i="35"/>
  <c r="Y308" i="35"/>
  <c r="X308" i="35"/>
  <c r="AE308" i="35"/>
  <c r="AD308" i="35"/>
  <c r="AB308" i="35"/>
  <c r="Z308" i="35"/>
  <c r="AA308" i="35"/>
  <c r="R308" i="35"/>
  <c r="Y300" i="35"/>
  <c r="X300" i="35"/>
  <c r="AE300" i="35"/>
  <c r="AD300" i="35"/>
  <c r="AB300" i="35"/>
  <c r="Z300" i="35"/>
  <c r="AA300" i="35"/>
  <c r="R300" i="35"/>
  <c r="X290" i="35"/>
  <c r="AE290" i="35"/>
  <c r="Y290" i="35"/>
  <c r="AB290" i="35"/>
  <c r="Z290" i="35"/>
  <c r="AA290" i="35"/>
  <c r="AD290" i="35"/>
  <c r="R290" i="35"/>
  <c r="Y280" i="35"/>
  <c r="X280" i="35"/>
  <c r="AD280" i="35"/>
  <c r="AE280" i="35"/>
  <c r="AB280" i="35"/>
  <c r="Z280" i="35"/>
  <c r="AA280" i="35"/>
  <c r="R280" i="35"/>
  <c r="Y266" i="35"/>
  <c r="AE266" i="35"/>
  <c r="X266" i="35"/>
  <c r="AD266" i="35"/>
  <c r="AB266" i="35"/>
  <c r="Z266" i="35"/>
  <c r="AA266" i="35"/>
  <c r="R266" i="35"/>
  <c r="Y260" i="35"/>
  <c r="X260" i="35"/>
  <c r="AE260" i="35"/>
  <c r="AD260" i="35"/>
  <c r="AB260" i="35"/>
  <c r="Z260" i="35"/>
  <c r="AA260" i="35"/>
  <c r="R260" i="35"/>
  <c r="Y254" i="35"/>
  <c r="X254" i="35"/>
  <c r="AE254" i="35"/>
  <c r="AD254" i="35"/>
  <c r="AB254" i="35"/>
  <c r="AA254" i="35"/>
  <c r="Z254" i="35"/>
  <c r="R254" i="35"/>
  <c r="Y252" i="35"/>
  <c r="X252" i="35"/>
  <c r="AE252" i="35"/>
  <c r="AD252" i="35"/>
  <c r="AB252" i="35"/>
  <c r="Z252" i="35"/>
  <c r="AA252" i="35"/>
  <c r="R252" i="35"/>
  <c r="Y250" i="35"/>
  <c r="AE250" i="35"/>
  <c r="X250" i="35"/>
  <c r="AB250" i="35"/>
  <c r="AD250" i="35"/>
  <c r="Z250" i="35"/>
  <c r="AA250" i="35"/>
  <c r="R250" i="35"/>
  <c r="Y244" i="35"/>
  <c r="X244" i="35"/>
  <c r="AE244" i="35"/>
  <c r="AD244" i="35"/>
  <c r="AB244" i="35"/>
  <c r="Z244" i="35"/>
  <c r="AA244" i="35"/>
  <c r="R244" i="35"/>
  <c r="Y238" i="35"/>
  <c r="AE238" i="35"/>
  <c r="AD238" i="35"/>
  <c r="X238" i="35"/>
  <c r="AA238" i="35"/>
  <c r="AB238" i="35"/>
  <c r="Z238" i="35"/>
  <c r="R238" i="35"/>
  <c r="Y232" i="35"/>
  <c r="X232" i="35"/>
  <c r="AD232" i="35"/>
  <c r="AE232" i="35"/>
  <c r="AB232" i="35"/>
  <c r="AA232" i="35"/>
  <c r="Z232" i="35"/>
  <c r="R232" i="35"/>
  <c r="Y226" i="35"/>
  <c r="AE226" i="35"/>
  <c r="X226" i="35"/>
  <c r="AD226" i="35"/>
  <c r="AB226" i="35"/>
  <c r="Z226" i="35"/>
  <c r="AA226" i="35"/>
  <c r="R226" i="35"/>
  <c r="Y216" i="35"/>
  <c r="X216" i="35"/>
  <c r="AD216" i="35"/>
  <c r="AE216" i="35"/>
  <c r="AB216" i="35"/>
  <c r="Z216" i="35"/>
  <c r="AA216" i="35"/>
  <c r="R216" i="35"/>
  <c r="Y13" i="35"/>
  <c r="X13" i="35"/>
  <c r="AE13" i="35"/>
  <c r="AD13" i="35"/>
  <c r="AC13" i="35"/>
  <c r="Z13" i="35"/>
  <c r="AB13" i="35"/>
  <c r="AA13" i="35"/>
  <c r="R13" i="35"/>
  <c r="T13" i="35" s="1"/>
  <c r="Y120" i="35"/>
  <c r="AM120" i="35" s="1"/>
  <c r="X120" i="35"/>
  <c r="AD120" i="35"/>
  <c r="Z120" i="35"/>
  <c r="AE120" i="35"/>
  <c r="AB120" i="35"/>
  <c r="AC120" i="35"/>
  <c r="AA120" i="35"/>
  <c r="R120" i="35"/>
  <c r="Y98" i="35"/>
  <c r="AM98" i="35" s="1"/>
  <c r="X98" i="35"/>
  <c r="AE98" i="35"/>
  <c r="AD98" i="35"/>
  <c r="AB98" i="35"/>
  <c r="Z98" i="35"/>
  <c r="AC98" i="35"/>
  <c r="AA98" i="35"/>
  <c r="R98" i="35"/>
  <c r="T98" i="35" s="1"/>
  <c r="Y86" i="35"/>
  <c r="AM86" i="35" s="1"/>
  <c r="AE86" i="35"/>
  <c r="AD86" i="35"/>
  <c r="AC86" i="35"/>
  <c r="X86" i="35"/>
  <c r="Z86" i="35"/>
  <c r="AA86" i="35"/>
  <c r="AB86" i="35"/>
  <c r="R86" i="35"/>
  <c r="Y76" i="35"/>
  <c r="AM76" i="35" s="1"/>
  <c r="X76" i="35"/>
  <c r="AE76" i="35"/>
  <c r="AD76" i="35"/>
  <c r="AC76" i="35"/>
  <c r="AB76" i="35"/>
  <c r="Z76" i="35"/>
  <c r="AA76" i="35"/>
  <c r="R76" i="35"/>
  <c r="X64" i="35"/>
  <c r="Y64" i="35"/>
  <c r="AM64" i="35" s="1"/>
  <c r="AE64" i="35"/>
  <c r="AD64" i="35"/>
  <c r="Z64" i="35"/>
  <c r="AC64" i="35"/>
  <c r="AB64" i="35"/>
  <c r="AA64" i="35"/>
  <c r="R64" i="35"/>
  <c r="X32" i="35"/>
  <c r="Y32" i="35"/>
  <c r="AM32" i="35" s="1"/>
  <c r="AE32" i="35"/>
  <c r="AD32" i="35"/>
  <c r="Z32" i="35"/>
  <c r="AC32" i="35"/>
  <c r="AB32" i="35"/>
  <c r="AA32" i="35"/>
  <c r="R32" i="35"/>
  <c r="Y684" i="35"/>
  <c r="X684" i="35"/>
  <c r="AB684" i="35"/>
  <c r="AD684" i="35"/>
  <c r="Z684" i="35"/>
  <c r="AA684" i="35"/>
  <c r="R684" i="35"/>
  <c r="AE684" i="35"/>
  <c r="Y674" i="35"/>
  <c r="X674" i="35"/>
  <c r="AE674" i="35"/>
  <c r="AD674" i="35"/>
  <c r="AB674" i="35"/>
  <c r="Z674" i="35"/>
  <c r="R674" i="35"/>
  <c r="AA674" i="35"/>
  <c r="Y614" i="35"/>
  <c r="X614" i="35"/>
  <c r="AE614" i="35"/>
  <c r="AD614" i="35"/>
  <c r="AB614" i="35"/>
  <c r="AA614" i="35"/>
  <c r="Z614" i="35"/>
  <c r="R614" i="35"/>
  <c r="Y608" i="35"/>
  <c r="X608" i="35"/>
  <c r="AE608" i="35"/>
  <c r="AB608" i="35"/>
  <c r="AD608" i="35"/>
  <c r="AA608" i="35"/>
  <c r="Z608" i="35"/>
  <c r="R608" i="35"/>
  <c r="X604" i="35"/>
  <c r="Y604" i="35"/>
  <c r="AE604" i="35"/>
  <c r="AB604" i="35"/>
  <c r="AD604" i="35"/>
  <c r="Z604" i="35"/>
  <c r="AA604" i="35"/>
  <c r="R604" i="35"/>
  <c r="Y590" i="35"/>
  <c r="X590" i="35"/>
  <c r="AE590" i="35"/>
  <c r="AD590" i="35"/>
  <c r="AA590" i="35"/>
  <c r="AB590" i="35"/>
  <c r="Z590" i="35"/>
  <c r="R590" i="35"/>
  <c r="Y578" i="35"/>
  <c r="X578" i="35"/>
  <c r="AE578" i="35"/>
  <c r="AD578" i="35"/>
  <c r="AB578" i="35"/>
  <c r="Z578" i="35"/>
  <c r="R578" i="35"/>
  <c r="AA578" i="35"/>
  <c r="Y560" i="35"/>
  <c r="X560" i="35"/>
  <c r="AE560" i="35"/>
  <c r="AD560" i="35"/>
  <c r="AB560" i="35"/>
  <c r="Z560" i="35"/>
  <c r="AA560" i="35"/>
  <c r="R560" i="35"/>
  <c r="Y552" i="35"/>
  <c r="X552" i="35"/>
  <c r="AE552" i="35"/>
  <c r="AD552" i="35"/>
  <c r="AB552" i="35"/>
  <c r="AA552" i="35"/>
  <c r="Z552" i="35"/>
  <c r="R552" i="35"/>
  <c r="Y538" i="35"/>
  <c r="X538" i="35"/>
  <c r="AE538" i="35"/>
  <c r="AD538" i="35"/>
  <c r="AB538" i="35"/>
  <c r="Z538" i="35"/>
  <c r="R538" i="35"/>
  <c r="AA538" i="35"/>
  <c r="Y127" i="35"/>
  <c r="X127" i="35"/>
  <c r="AE127" i="35"/>
  <c r="AD127" i="35"/>
  <c r="AC127" i="35"/>
  <c r="AB127" i="35"/>
  <c r="Z127" i="35"/>
  <c r="AA127" i="35"/>
  <c r="R127" i="35"/>
  <c r="Y123" i="35"/>
  <c r="X123" i="35"/>
  <c r="AE123" i="35"/>
  <c r="AB123" i="35"/>
  <c r="Z123" i="35"/>
  <c r="AA123" i="35"/>
  <c r="AD123" i="35"/>
  <c r="AC123" i="35"/>
  <c r="R123" i="35"/>
  <c r="T123" i="35" s="1"/>
  <c r="S120" i="35"/>
  <c r="S118" i="35"/>
  <c r="U118" i="35" s="1"/>
  <c r="S116" i="35"/>
  <c r="Y105" i="35"/>
  <c r="X105" i="35"/>
  <c r="AD105" i="35"/>
  <c r="AC105" i="35"/>
  <c r="AE105" i="35"/>
  <c r="AB105" i="35"/>
  <c r="Z105" i="35"/>
  <c r="R105" i="35"/>
  <c r="AA105" i="35"/>
  <c r="Y101" i="35"/>
  <c r="X101" i="35"/>
  <c r="AE101" i="35"/>
  <c r="AD101" i="35"/>
  <c r="AC101" i="35"/>
  <c r="AB101" i="35"/>
  <c r="Z101" i="35"/>
  <c r="AA101" i="35"/>
  <c r="R101" i="35"/>
  <c r="Y87" i="35"/>
  <c r="X87" i="35"/>
  <c r="AD87" i="35"/>
  <c r="AE87" i="35"/>
  <c r="AC87" i="35"/>
  <c r="Z87" i="35"/>
  <c r="AB87" i="35"/>
  <c r="AA87" i="35"/>
  <c r="R87" i="35"/>
  <c r="Y83" i="35"/>
  <c r="X83" i="35"/>
  <c r="AE83" i="35"/>
  <c r="AB83" i="35"/>
  <c r="Z83" i="35"/>
  <c r="AD83" i="35"/>
  <c r="AC83" i="35"/>
  <c r="AA83" i="35"/>
  <c r="R83" i="35"/>
  <c r="T83" i="35" s="1"/>
  <c r="Y77" i="35"/>
  <c r="X77" i="35"/>
  <c r="AE77" i="35"/>
  <c r="AD77" i="35"/>
  <c r="AC77" i="35"/>
  <c r="AB77" i="35"/>
  <c r="Z77" i="35"/>
  <c r="AA77" i="35"/>
  <c r="R77" i="35"/>
  <c r="S74" i="35"/>
  <c r="Y61" i="35"/>
  <c r="AM61" i="35" s="1"/>
  <c r="X61" i="35"/>
  <c r="AE61" i="35"/>
  <c r="AD61" i="35"/>
  <c r="AC61" i="35"/>
  <c r="AB61" i="35"/>
  <c r="Z61" i="35"/>
  <c r="AA61" i="35"/>
  <c r="R61" i="35"/>
  <c r="T61" i="35" s="1"/>
  <c r="Y57" i="35"/>
  <c r="X57" i="35"/>
  <c r="AD57" i="35"/>
  <c r="AE57" i="35"/>
  <c r="AC57" i="35"/>
  <c r="AB57" i="35"/>
  <c r="Z57" i="35"/>
  <c r="R57" i="35"/>
  <c r="T57" i="35" s="1"/>
  <c r="AA57" i="35"/>
  <c r="Y53" i="35"/>
  <c r="AM53" i="35" s="1"/>
  <c r="X53" i="35"/>
  <c r="AE53" i="35"/>
  <c r="AD53" i="35"/>
  <c r="AC53" i="35"/>
  <c r="AB53" i="35"/>
  <c r="Z53" i="35"/>
  <c r="AA53" i="35"/>
  <c r="R53" i="35"/>
  <c r="Y49" i="35"/>
  <c r="X49" i="35"/>
  <c r="AE49" i="35"/>
  <c r="AD49" i="35"/>
  <c r="AC49" i="35"/>
  <c r="AB49" i="35"/>
  <c r="Z49" i="35"/>
  <c r="AA49" i="35"/>
  <c r="R49" i="35"/>
  <c r="Y45" i="35"/>
  <c r="X45" i="35"/>
  <c r="AE45" i="35"/>
  <c r="AD45" i="35"/>
  <c r="AC45" i="35"/>
  <c r="AB45" i="35"/>
  <c r="Z45" i="35"/>
  <c r="AA45" i="35"/>
  <c r="R45" i="35"/>
  <c r="Y35" i="35"/>
  <c r="X35" i="35"/>
  <c r="AE35" i="35"/>
  <c r="AD35" i="35"/>
  <c r="AC35" i="35"/>
  <c r="AB35" i="35"/>
  <c r="Z35" i="35"/>
  <c r="AA35" i="35"/>
  <c r="R35" i="35"/>
  <c r="S24" i="35"/>
  <c r="U24" i="35" s="1"/>
  <c r="Y19" i="35"/>
  <c r="X19" i="35"/>
  <c r="AE19" i="35"/>
  <c r="AD19" i="35"/>
  <c r="Z19" i="35"/>
  <c r="AC19" i="35"/>
  <c r="AA19" i="35"/>
  <c r="AB19" i="35"/>
  <c r="R19" i="35"/>
  <c r="Y697" i="35"/>
  <c r="AE697" i="35"/>
  <c r="X697" i="35"/>
  <c r="AB697" i="35"/>
  <c r="Z697" i="35"/>
  <c r="AD697" i="35"/>
  <c r="R697" i="35"/>
  <c r="T697" i="35" s="1"/>
  <c r="V697" i="35" s="1"/>
  <c r="AA697" i="35"/>
  <c r="S694" i="35"/>
  <c r="U694" i="35" s="1"/>
  <c r="Y689" i="35"/>
  <c r="X689" i="35"/>
  <c r="AE689" i="35"/>
  <c r="AB689" i="35"/>
  <c r="AD689" i="35"/>
  <c r="Z689" i="35"/>
  <c r="R689" i="35"/>
  <c r="AA689" i="35"/>
  <c r="X683" i="35"/>
  <c r="Y683" i="35"/>
  <c r="AE683" i="35"/>
  <c r="AB683" i="35"/>
  <c r="AD683" i="35"/>
  <c r="Z683" i="35"/>
  <c r="AA683" i="35"/>
  <c r="R683" i="35"/>
  <c r="T683" i="35" s="1"/>
  <c r="V683" i="35" s="1"/>
  <c r="Y677" i="35"/>
  <c r="X677" i="35"/>
  <c r="AE677" i="35"/>
  <c r="AD677" i="35"/>
  <c r="AB677" i="35"/>
  <c r="Z677" i="35"/>
  <c r="AA677" i="35"/>
  <c r="R677" i="35"/>
  <c r="S674" i="35"/>
  <c r="Y669" i="35"/>
  <c r="X669" i="35"/>
  <c r="AE669" i="35"/>
  <c r="AB669" i="35"/>
  <c r="AD669" i="35"/>
  <c r="Z669" i="35"/>
  <c r="R669" i="35"/>
  <c r="T669" i="35" s="1"/>
  <c r="V669" i="35" s="1"/>
  <c r="AA669" i="35"/>
  <c r="S666" i="35"/>
  <c r="U666" i="35" s="1"/>
  <c r="S664" i="35"/>
  <c r="X659" i="35"/>
  <c r="Y659" i="35"/>
  <c r="AE659" i="35"/>
  <c r="AB659" i="35"/>
  <c r="Z659" i="35"/>
  <c r="AD659" i="35"/>
  <c r="AA659" i="35"/>
  <c r="R659" i="35"/>
  <c r="Y653" i="35"/>
  <c r="X653" i="35"/>
  <c r="AE653" i="35"/>
  <c r="AD653" i="35"/>
  <c r="AB653" i="35"/>
  <c r="Z653" i="35"/>
  <c r="AA653" i="35"/>
  <c r="R653" i="35"/>
  <c r="X647" i="35"/>
  <c r="AE647" i="35"/>
  <c r="Y647" i="35"/>
  <c r="AD647" i="35"/>
  <c r="AB647" i="35"/>
  <c r="Z647" i="35"/>
  <c r="AA647" i="35"/>
  <c r="R647" i="35"/>
  <c r="S644" i="35"/>
  <c r="X639" i="35"/>
  <c r="Y639" i="35"/>
  <c r="AE639" i="35"/>
  <c r="AD639" i="35"/>
  <c r="AB639" i="35"/>
  <c r="Z639" i="35"/>
  <c r="AA639" i="35"/>
  <c r="R639" i="35"/>
  <c r="S636" i="35"/>
  <c r="U636" i="35" s="1"/>
  <c r="X631" i="35"/>
  <c r="Y631" i="35"/>
  <c r="AE631" i="35"/>
  <c r="AD631" i="35"/>
  <c r="AB631" i="35"/>
  <c r="Z631" i="35"/>
  <c r="AA631" i="35"/>
  <c r="R631" i="35"/>
  <c r="T631" i="35" s="1"/>
  <c r="V631" i="35" s="1"/>
  <c r="Y625" i="35"/>
  <c r="X625" i="35"/>
  <c r="AE625" i="35"/>
  <c r="AB625" i="35"/>
  <c r="AD625" i="35"/>
  <c r="Z625" i="35"/>
  <c r="R625" i="35"/>
  <c r="AA625" i="35"/>
  <c r="S622" i="35"/>
  <c r="U622" i="35" s="1"/>
  <c r="Y617" i="35"/>
  <c r="X617" i="35"/>
  <c r="AE617" i="35"/>
  <c r="AB617" i="35"/>
  <c r="Z617" i="35"/>
  <c r="R617" i="35"/>
  <c r="AD617" i="35"/>
  <c r="AA617" i="35"/>
  <c r="Y611" i="35"/>
  <c r="X611" i="35"/>
  <c r="AD611" i="35"/>
  <c r="AB611" i="35"/>
  <c r="AE611" i="35"/>
  <c r="Z611" i="35"/>
  <c r="AA611" i="35"/>
  <c r="R611" i="35"/>
  <c r="X607" i="35"/>
  <c r="AE607" i="35"/>
  <c r="Y607" i="35"/>
  <c r="AD607" i="35"/>
  <c r="AB607" i="35"/>
  <c r="Z607" i="35"/>
  <c r="AA607" i="35"/>
  <c r="R607" i="35"/>
  <c r="X601" i="35"/>
  <c r="Y601" i="35"/>
  <c r="AE601" i="35"/>
  <c r="AB601" i="35"/>
  <c r="AD601" i="35"/>
  <c r="Z601" i="35"/>
  <c r="R601" i="35"/>
  <c r="T601" i="35" s="1"/>
  <c r="V601" i="35" s="1"/>
  <c r="AA601" i="35"/>
  <c r="Y595" i="35"/>
  <c r="X595" i="35"/>
  <c r="AE595" i="35"/>
  <c r="AB595" i="35"/>
  <c r="AD595" i="35"/>
  <c r="Z595" i="35"/>
  <c r="AA595" i="35"/>
  <c r="R595" i="35"/>
  <c r="T595" i="35" s="1"/>
  <c r="V595" i="35" s="1"/>
  <c r="S592" i="35"/>
  <c r="U592" i="35" s="1"/>
  <c r="S590" i="35"/>
  <c r="U590" i="35" s="1"/>
  <c r="S588" i="35"/>
  <c r="S586" i="35"/>
  <c r="U586" i="35" s="1"/>
  <c r="S584" i="35"/>
  <c r="S582" i="35"/>
  <c r="Y577" i="35"/>
  <c r="X577" i="35"/>
  <c r="AE577" i="35"/>
  <c r="AB577" i="35"/>
  <c r="AD577" i="35"/>
  <c r="Z577" i="35"/>
  <c r="R577" i="35"/>
  <c r="AA577" i="35"/>
  <c r="Y571" i="35"/>
  <c r="X571" i="35"/>
  <c r="AD571" i="35"/>
  <c r="AE571" i="35"/>
  <c r="AB571" i="35"/>
  <c r="Z571" i="35"/>
  <c r="AA571" i="35"/>
  <c r="R571" i="35"/>
  <c r="S568" i="35"/>
  <c r="U568" i="35" s="1"/>
  <c r="S566" i="35"/>
  <c r="U566" i="35" s="1"/>
  <c r="Y561" i="35"/>
  <c r="X561" i="35"/>
  <c r="AE561" i="35"/>
  <c r="AB561" i="35"/>
  <c r="AD561" i="35"/>
  <c r="Z561" i="35"/>
  <c r="R561" i="35"/>
  <c r="T561" i="35" s="1"/>
  <c r="V561" i="35" s="1"/>
  <c r="AA561" i="35"/>
  <c r="Y555" i="35"/>
  <c r="X555" i="35"/>
  <c r="AE555" i="35"/>
  <c r="AD555" i="35"/>
  <c r="AB555" i="35"/>
  <c r="Z555" i="35"/>
  <c r="AA555" i="35"/>
  <c r="R555" i="35"/>
  <c r="T555" i="35" s="1"/>
  <c r="V555" i="35" s="1"/>
  <c r="S552" i="35"/>
  <c r="Y547" i="35"/>
  <c r="X547" i="35"/>
  <c r="AD547" i="35"/>
  <c r="AB547" i="35"/>
  <c r="AE547" i="35"/>
  <c r="Z547" i="35"/>
  <c r="AA547" i="35"/>
  <c r="R547" i="35"/>
  <c r="S544" i="35"/>
  <c r="U544" i="35" s="1"/>
  <c r="Y539" i="35"/>
  <c r="X539" i="35"/>
  <c r="AD539" i="35"/>
  <c r="AE539" i="35"/>
  <c r="AB539" i="35"/>
  <c r="Z539" i="35"/>
  <c r="AA539" i="35"/>
  <c r="R539" i="35"/>
  <c r="S536" i="35"/>
  <c r="S534" i="35"/>
  <c r="U534" i="35" s="1"/>
  <c r="S532" i="35"/>
  <c r="Y525" i="35"/>
  <c r="X525" i="35"/>
  <c r="AE525" i="35"/>
  <c r="AD525" i="35"/>
  <c r="AB525" i="35"/>
  <c r="Z525" i="35"/>
  <c r="AA525" i="35"/>
  <c r="R525" i="35"/>
  <c r="Y519" i="35"/>
  <c r="X519" i="35"/>
  <c r="AE519" i="35"/>
  <c r="AD519" i="35"/>
  <c r="AB519" i="35"/>
  <c r="Z519" i="35"/>
  <c r="AA519" i="35"/>
  <c r="R519" i="35"/>
  <c r="X511" i="35"/>
  <c r="Y511" i="35"/>
  <c r="AE511" i="35"/>
  <c r="AD511" i="35"/>
  <c r="AB511" i="35"/>
  <c r="Z511" i="35"/>
  <c r="AA511" i="35"/>
  <c r="R511" i="35"/>
  <c r="X505" i="35"/>
  <c r="Y505" i="35"/>
  <c r="AE505" i="35"/>
  <c r="AD505" i="35"/>
  <c r="AB505" i="35"/>
  <c r="Z505" i="35"/>
  <c r="R505" i="35"/>
  <c r="T505" i="35" s="1"/>
  <c r="V505" i="35" s="1"/>
  <c r="AA505" i="35"/>
  <c r="Y499" i="35"/>
  <c r="X499" i="35"/>
  <c r="AE499" i="35"/>
  <c r="AD499" i="35"/>
  <c r="AB499" i="35"/>
  <c r="Z499" i="35"/>
  <c r="AA499" i="35"/>
  <c r="R499" i="35"/>
  <c r="S496" i="35"/>
  <c r="S494" i="35"/>
  <c r="U494" i="35" s="1"/>
  <c r="Y489" i="35"/>
  <c r="X489" i="35"/>
  <c r="AE489" i="35"/>
  <c r="AD489" i="35"/>
  <c r="AB489" i="35"/>
  <c r="Z489" i="35"/>
  <c r="R489" i="35"/>
  <c r="AA489" i="35"/>
  <c r="S486" i="35"/>
  <c r="U486" i="35" s="1"/>
  <c r="Y481" i="35"/>
  <c r="X481" i="35"/>
  <c r="AE481" i="35"/>
  <c r="AB481" i="35"/>
  <c r="AD481" i="35"/>
  <c r="Z481" i="35"/>
  <c r="AA481" i="35"/>
  <c r="R481" i="35"/>
  <c r="S478" i="35"/>
  <c r="S476" i="35"/>
  <c r="U476" i="35" s="1"/>
  <c r="S474" i="35"/>
  <c r="S472" i="35"/>
  <c r="U472" i="35" s="1"/>
  <c r="Y467" i="35"/>
  <c r="X467" i="35"/>
  <c r="AE467" i="35"/>
  <c r="AD467" i="35"/>
  <c r="AB467" i="35"/>
  <c r="Z467" i="35"/>
  <c r="AA467" i="35"/>
  <c r="R467" i="35"/>
  <c r="T467" i="35" s="1"/>
  <c r="V467" i="35" s="1"/>
  <c r="Y461" i="35"/>
  <c r="X461" i="35"/>
  <c r="AD461" i="35"/>
  <c r="AE461" i="35"/>
  <c r="AB461" i="35"/>
  <c r="Z461" i="35"/>
  <c r="AA461" i="35"/>
  <c r="R461" i="35"/>
  <c r="T461" i="35" s="1"/>
  <c r="V461" i="35" s="1"/>
  <c r="Y457" i="35"/>
  <c r="X457" i="35"/>
  <c r="AE457" i="35"/>
  <c r="AD457" i="35"/>
  <c r="AB457" i="35"/>
  <c r="Z457" i="35"/>
  <c r="R457" i="35"/>
  <c r="AA457" i="35"/>
  <c r="S456" i="35"/>
  <c r="S454" i="35"/>
  <c r="S452" i="35"/>
  <c r="U452" i="35" s="1"/>
  <c r="S450" i="35"/>
  <c r="Y445" i="35"/>
  <c r="X445" i="35"/>
  <c r="AE445" i="35"/>
  <c r="AD445" i="35"/>
  <c r="AB445" i="35"/>
  <c r="Z445" i="35"/>
  <c r="AA445" i="35"/>
  <c r="R445" i="35"/>
  <c r="T445" i="35" s="1"/>
  <c r="V445" i="35" s="1"/>
  <c r="Y441" i="35"/>
  <c r="AE441" i="35"/>
  <c r="X441" i="35"/>
  <c r="AD441" i="35"/>
  <c r="AB441" i="35"/>
  <c r="Z441" i="35"/>
  <c r="R441" i="35"/>
  <c r="AA441" i="35"/>
  <c r="Y437" i="35"/>
  <c r="X437" i="35"/>
  <c r="AB437" i="35"/>
  <c r="AD437" i="35"/>
  <c r="AE437" i="35"/>
  <c r="Z437" i="35"/>
  <c r="AA437" i="35"/>
  <c r="R437" i="35"/>
  <c r="T437" i="35" s="1"/>
  <c r="V437" i="35" s="1"/>
  <c r="S436" i="35"/>
  <c r="S434" i="35"/>
  <c r="S432" i="35"/>
  <c r="S430" i="35"/>
  <c r="U430" i="35" s="1"/>
  <c r="S428" i="35"/>
  <c r="Y425" i="35"/>
  <c r="X425" i="35"/>
  <c r="AE425" i="35"/>
  <c r="AD425" i="35"/>
  <c r="AB425" i="35"/>
  <c r="Z425" i="35"/>
  <c r="R425" i="35"/>
  <c r="T425" i="35" s="1"/>
  <c r="V425" i="35" s="1"/>
  <c r="AA425" i="35"/>
  <c r="S424" i="35"/>
  <c r="S422" i="35"/>
  <c r="U422" i="35" s="1"/>
  <c r="S420" i="35"/>
  <c r="U420" i="35" s="1"/>
  <c r="Y415" i="35"/>
  <c r="X415" i="35"/>
  <c r="AE415" i="35"/>
  <c r="AD415" i="35"/>
  <c r="AB415" i="35"/>
  <c r="Z415" i="35"/>
  <c r="AA415" i="35"/>
  <c r="R415" i="35"/>
  <c r="Y411" i="35"/>
  <c r="X411" i="35"/>
  <c r="AE411" i="35"/>
  <c r="AB411" i="35"/>
  <c r="AD411" i="35"/>
  <c r="Z411" i="35"/>
  <c r="AA411" i="35"/>
  <c r="R411" i="35"/>
  <c r="T411" i="35" s="1"/>
  <c r="V411" i="35" s="1"/>
  <c r="Y405" i="35"/>
  <c r="X405" i="35"/>
  <c r="AD405" i="35"/>
  <c r="AE405" i="35"/>
  <c r="AB405" i="35"/>
  <c r="Z405" i="35"/>
  <c r="AA405" i="35"/>
  <c r="R405" i="35"/>
  <c r="Y399" i="35"/>
  <c r="X399" i="35"/>
  <c r="AE399" i="35"/>
  <c r="AD399" i="35"/>
  <c r="AB399" i="35"/>
  <c r="Z399" i="35"/>
  <c r="AA399" i="35"/>
  <c r="R399" i="35"/>
  <c r="Y393" i="35"/>
  <c r="X393" i="35"/>
  <c r="AE393" i="35"/>
  <c r="AD393" i="35"/>
  <c r="AB393" i="35"/>
  <c r="Z393" i="35"/>
  <c r="R393" i="35"/>
  <c r="T393" i="35" s="1"/>
  <c r="V393" i="35" s="1"/>
  <c r="AA393" i="35"/>
  <c r="Y387" i="35"/>
  <c r="X387" i="35"/>
  <c r="AD387" i="35"/>
  <c r="AB387" i="35"/>
  <c r="Z387" i="35"/>
  <c r="AA387" i="35"/>
  <c r="AE387" i="35"/>
  <c r="R387" i="35"/>
  <c r="T387" i="35" s="1"/>
  <c r="V387" i="35" s="1"/>
  <c r="Y381" i="35"/>
  <c r="X381" i="35"/>
  <c r="AD381" i="35"/>
  <c r="AE381" i="35"/>
  <c r="AB381" i="35"/>
  <c r="Z381" i="35"/>
  <c r="AA381" i="35"/>
  <c r="R381" i="35"/>
  <c r="S378" i="35"/>
  <c r="Y375" i="35"/>
  <c r="X375" i="35"/>
  <c r="AE375" i="35"/>
  <c r="AD375" i="35"/>
  <c r="AB375" i="35"/>
  <c r="Z375" i="35"/>
  <c r="AA375" i="35"/>
  <c r="R375" i="35"/>
  <c r="S374" i="35"/>
  <c r="U374" i="35" s="1"/>
  <c r="S372" i="35"/>
  <c r="S370" i="35"/>
  <c r="Y367" i="35"/>
  <c r="X367" i="35"/>
  <c r="AE367" i="35"/>
  <c r="AD367" i="35"/>
  <c r="AB367" i="35"/>
  <c r="Z367" i="35"/>
  <c r="AA367" i="35"/>
  <c r="R367" i="35"/>
  <c r="S366" i="35"/>
  <c r="Y363" i="35"/>
  <c r="X363" i="35"/>
  <c r="AE363" i="35"/>
  <c r="AD363" i="35"/>
  <c r="AB363" i="35"/>
  <c r="Z363" i="35"/>
  <c r="AA363" i="35"/>
  <c r="R363" i="35"/>
  <c r="S362" i="35"/>
  <c r="Y359" i="35"/>
  <c r="X359" i="35"/>
  <c r="AE359" i="35"/>
  <c r="AD359" i="35"/>
  <c r="AB359" i="35"/>
  <c r="Z359" i="35"/>
  <c r="AA359" i="35"/>
  <c r="R359" i="35"/>
  <c r="S358" i="35"/>
  <c r="U358" i="35" s="1"/>
  <c r="Y355" i="35"/>
  <c r="X355" i="35"/>
  <c r="AD355" i="35"/>
  <c r="AB355" i="35"/>
  <c r="Z355" i="35"/>
  <c r="AA355" i="35"/>
  <c r="AE355" i="35"/>
  <c r="R355" i="35"/>
  <c r="S354" i="35"/>
  <c r="U354" i="35" s="1"/>
  <c r="Y351" i="35"/>
  <c r="X351" i="35"/>
  <c r="AE351" i="35"/>
  <c r="AD351" i="35"/>
  <c r="AB351" i="35"/>
  <c r="Z351" i="35"/>
  <c r="AA351" i="35"/>
  <c r="R351" i="35"/>
  <c r="T351" i="35" s="1"/>
  <c r="V351" i="35" s="1"/>
  <c r="S350" i="35"/>
  <c r="U350" i="35" s="1"/>
  <c r="S348" i="35"/>
  <c r="U348" i="35" s="1"/>
  <c r="S346" i="35"/>
  <c r="Y343" i="35"/>
  <c r="X343" i="35"/>
  <c r="AE343" i="35"/>
  <c r="AD343" i="35"/>
  <c r="AB343" i="35"/>
  <c r="Z343" i="35"/>
  <c r="AA343" i="35"/>
  <c r="R343" i="35"/>
  <c r="Y341" i="35"/>
  <c r="X341" i="35"/>
  <c r="AD341" i="35"/>
  <c r="AB341" i="35"/>
  <c r="Z341" i="35"/>
  <c r="AA341" i="35"/>
  <c r="AE341" i="35"/>
  <c r="R341" i="35"/>
  <c r="S340" i="35"/>
  <c r="U340" i="35" s="1"/>
  <c r="S338" i="35"/>
  <c r="Y337" i="35"/>
  <c r="X337" i="35"/>
  <c r="AE337" i="35"/>
  <c r="AD337" i="35"/>
  <c r="AB337" i="35"/>
  <c r="Z337" i="35"/>
  <c r="AA337" i="35"/>
  <c r="R337" i="35"/>
  <c r="S336" i="35"/>
  <c r="Y335" i="35"/>
  <c r="X335" i="35"/>
  <c r="AE335" i="35"/>
  <c r="AD335" i="35"/>
  <c r="AB335" i="35"/>
  <c r="Z335" i="35"/>
  <c r="AA335" i="35"/>
  <c r="R335" i="35"/>
  <c r="S334" i="35"/>
  <c r="U334" i="35" s="1"/>
  <c r="Y333" i="35"/>
  <c r="X333" i="35"/>
  <c r="AD333" i="35"/>
  <c r="AE333" i="35"/>
  <c r="AB333" i="35"/>
  <c r="Z333" i="35"/>
  <c r="AA333" i="35"/>
  <c r="R333" i="35"/>
  <c r="T333" i="35" s="1"/>
  <c r="V333" i="35" s="1"/>
  <c r="S332" i="35"/>
  <c r="U332" i="35" s="1"/>
  <c r="Y331" i="35"/>
  <c r="X331" i="35"/>
  <c r="AE331" i="35"/>
  <c r="AD331" i="35"/>
  <c r="AB331" i="35"/>
  <c r="Z331" i="35"/>
  <c r="AA331" i="35"/>
  <c r="R331" i="35"/>
  <c r="T331" i="35" s="1"/>
  <c r="V331" i="35" s="1"/>
  <c r="S330" i="35"/>
  <c r="U330" i="35" s="1"/>
  <c r="Y329" i="35"/>
  <c r="X329" i="35"/>
  <c r="AE329" i="35"/>
  <c r="AD329" i="35"/>
  <c r="AB329" i="35"/>
  <c r="Z329" i="35"/>
  <c r="R329" i="35"/>
  <c r="AA329" i="35"/>
  <c r="S328" i="35"/>
  <c r="U328" i="35" s="1"/>
  <c r="Y327" i="35"/>
  <c r="X327" i="35"/>
  <c r="AE327" i="35"/>
  <c r="AD327" i="35"/>
  <c r="AB327" i="35"/>
  <c r="Z327" i="35"/>
  <c r="AA327" i="35"/>
  <c r="R327" i="35"/>
  <c r="S326" i="35"/>
  <c r="Y325" i="35"/>
  <c r="X325" i="35"/>
  <c r="AD325" i="35"/>
  <c r="AE325" i="35"/>
  <c r="AB325" i="35"/>
  <c r="Z325" i="35"/>
  <c r="AA325" i="35"/>
  <c r="R325" i="35"/>
  <c r="S324" i="35"/>
  <c r="U324" i="35" s="1"/>
  <c r="Y323" i="35"/>
  <c r="X323" i="35"/>
  <c r="AD323" i="35"/>
  <c r="AE323" i="35"/>
  <c r="AB323" i="35"/>
  <c r="Z323" i="35"/>
  <c r="AA323" i="35"/>
  <c r="R323" i="35"/>
  <c r="S322" i="35"/>
  <c r="Y321" i="35"/>
  <c r="X321" i="35"/>
  <c r="AE321" i="35"/>
  <c r="AD321" i="35"/>
  <c r="AB321" i="35"/>
  <c r="Z321" i="35"/>
  <c r="R321" i="35"/>
  <c r="T321" i="35" s="1"/>
  <c r="V321" i="35" s="1"/>
  <c r="AA321" i="35"/>
  <c r="S320" i="35"/>
  <c r="Y319" i="35"/>
  <c r="X319" i="35"/>
  <c r="AE319" i="35"/>
  <c r="AD319" i="35"/>
  <c r="AB319" i="35"/>
  <c r="Z319" i="35"/>
  <c r="AA319" i="35"/>
  <c r="R319" i="35"/>
  <c r="S318" i="35"/>
  <c r="U318" i="35" s="1"/>
  <c r="S316" i="35"/>
  <c r="U316" i="35" s="1"/>
  <c r="Y315" i="35"/>
  <c r="X315" i="35"/>
  <c r="AE315" i="35"/>
  <c r="AB315" i="35"/>
  <c r="AD315" i="35"/>
  <c r="Z315" i="35"/>
  <c r="AA315" i="35"/>
  <c r="R315" i="35"/>
  <c r="S314" i="35"/>
  <c r="Y313" i="35"/>
  <c r="X313" i="35"/>
  <c r="AD313" i="35"/>
  <c r="AE313" i="35"/>
  <c r="AB313" i="35"/>
  <c r="Z313" i="35"/>
  <c r="R313" i="35"/>
  <c r="T313" i="35" s="1"/>
  <c r="V313" i="35" s="1"/>
  <c r="AA313" i="35"/>
  <c r="S312" i="35"/>
  <c r="U312" i="35" s="1"/>
  <c r="Y311" i="35"/>
  <c r="X311" i="35"/>
  <c r="AE311" i="35"/>
  <c r="AD311" i="35"/>
  <c r="AB311" i="35"/>
  <c r="Z311" i="35"/>
  <c r="AA311" i="35"/>
  <c r="R311" i="35"/>
  <c r="S310" i="35"/>
  <c r="Y309" i="35"/>
  <c r="X309" i="35"/>
  <c r="AE309" i="35"/>
  <c r="AD309" i="35"/>
  <c r="AB309" i="35"/>
  <c r="Z309" i="35"/>
  <c r="AA309" i="35"/>
  <c r="R309" i="35"/>
  <c r="S308" i="35"/>
  <c r="Y307" i="35"/>
  <c r="X307" i="35"/>
  <c r="AE307" i="35"/>
  <c r="AB307" i="35"/>
  <c r="AD307" i="35"/>
  <c r="Z307" i="35"/>
  <c r="AA307" i="35"/>
  <c r="R307" i="35"/>
  <c r="T307" i="35" s="1"/>
  <c r="V307" i="35" s="1"/>
  <c r="S306" i="35"/>
  <c r="Y305" i="35"/>
  <c r="X305" i="35"/>
  <c r="AE305" i="35"/>
  <c r="AD305" i="35"/>
  <c r="AB305" i="35"/>
  <c r="Z305" i="35"/>
  <c r="R305" i="35"/>
  <c r="T305" i="35" s="1"/>
  <c r="V305" i="35" s="1"/>
  <c r="AA305" i="35"/>
  <c r="S304" i="35"/>
  <c r="Y303" i="35"/>
  <c r="X303" i="35"/>
  <c r="AE303" i="35"/>
  <c r="AD303" i="35"/>
  <c r="AB303" i="35"/>
  <c r="Z303" i="35"/>
  <c r="AA303" i="35"/>
  <c r="R303" i="35"/>
  <c r="S302" i="35"/>
  <c r="U302" i="35" s="1"/>
  <c r="Y301" i="35"/>
  <c r="X301" i="35"/>
  <c r="AE301" i="35"/>
  <c r="AD301" i="35"/>
  <c r="AB301" i="35"/>
  <c r="Z301" i="35"/>
  <c r="AA301" i="35"/>
  <c r="R301" i="35"/>
  <c r="T301" i="35" s="1"/>
  <c r="V301" i="35" s="1"/>
  <c r="S300" i="35"/>
  <c r="U300" i="35" s="1"/>
  <c r="Y299" i="35"/>
  <c r="AD299" i="35"/>
  <c r="AB299" i="35"/>
  <c r="Z299" i="35"/>
  <c r="AA299" i="35"/>
  <c r="AE299" i="35"/>
  <c r="X299" i="35"/>
  <c r="R299" i="35"/>
  <c r="S298" i="35"/>
  <c r="U298" i="35" s="1"/>
  <c r="Y297" i="35"/>
  <c r="X297" i="35"/>
  <c r="AD297" i="35"/>
  <c r="AE297" i="35"/>
  <c r="AB297" i="35"/>
  <c r="Z297" i="35"/>
  <c r="R297" i="35"/>
  <c r="AA297" i="35"/>
  <c r="S296" i="35"/>
  <c r="U296" i="35" s="1"/>
  <c r="Y295" i="35"/>
  <c r="X295" i="35"/>
  <c r="AE295" i="35"/>
  <c r="AD295" i="35"/>
  <c r="AB295" i="35"/>
  <c r="Z295" i="35"/>
  <c r="AA295" i="35"/>
  <c r="R295" i="35"/>
  <c r="T295" i="35" s="1"/>
  <c r="V295" i="35" s="1"/>
  <c r="S294" i="35"/>
  <c r="Y293" i="35"/>
  <c r="X293" i="35"/>
  <c r="AE293" i="35"/>
  <c r="AD293" i="35"/>
  <c r="AB293" i="35"/>
  <c r="Z293" i="35"/>
  <c r="AA293" i="35"/>
  <c r="R293" i="35"/>
  <c r="S292" i="35"/>
  <c r="T292" i="35" s="1"/>
  <c r="V292" i="35" s="1"/>
  <c r="Y291" i="35"/>
  <c r="X291" i="35"/>
  <c r="AE291" i="35"/>
  <c r="AD291" i="35"/>
  <c r="AB291" i="35"/>
  <c r="Z291" i="35"/>
  <c r="AA291" i="35"/>
  <c r="R291" i="35"/>
  <c r="S290" i="35"/>
  <c r="Y289" i="35"/>
  <c r="X289" i="35"/>
  <c r="AE289" i="35"/>
  <c r="AD289" i="35"/>
  <c r="AB289" i="35"/>
  <c r="Z289" i="35"/>
  <c r="R289" i="35"/>
  <c r="AA289" i="35"/>
  <c r="S288" i="35"/>
  <c r="Y287" i="35"/>
  <c r="X287" i="35"/>
  <c r="AE287" i="35"/>
  <c r="AD287" i="35"/>
  <c r="AB287" i="35"/>
  <c r="Z287" i="35"/>
  <c r="AA287" i="35"/>
  <c r="R287" i="35"/>
  <c r="S286" i="35"/>
  <c r="U286" i="35" s="1"/>
  <c r="Y285" i="35"/>
  <c r="X285" i="35"/>
  <c r="AE285" i="35"/>
  <c r="AD285" i="35"/>
  <c r="AB285" i="35"/>
  <c r="Z285" i="35"/>
  <c r="AA285" i="35"/>
  <c r="R285" i="35"/>
  <c r="S284" i="35"/>
  <c r="T284" i="35" s="1"/>
  <c r="V284" i="35" s="1"/>
  <c r="X283" i="35"/>
  <c r="Y283" i="35"/>
  <c r="AB283" i="35"/>
  <c r="AE283" i="35"/>
  <c r="AD283" i="35"/>
  <c r="Z283" i="35"/>
  <c r="AA283" i="35"/>
  <c r="R283" i="35"/>
  <c r="T283" i="35" s="1"/>
  <c r="V283" i="35" s="1"/>
  <c r="S282" i="35"/>
  <c r="Y281" i="35"/>
  <c r="X281" i="35"/>
  <c r="AD281" i="35"/>
  <c r="AB281" i="35"/>
  <c r="Z281" i="35"/>
  <c r="AE281" i="35"/>
  <c r="R281" i="35"/>
  <c r="T281" i="35" s="1"/>
  <c r="V281" i="35" s="1"/>
  <c r="AA281" i="35"/>
  <c r="S280" i="35"/>
  <c r="Y279" i="35"/>
  <c r="X279" i="35"/>
  <c r="AE279" i="35"/>
  <c r="AD279" i="35"/>
  <c r="AB279" i="35"/>
  <c r="Z279" i="35"/>
  <c r="AA279" i="35"/>
  <c r="R279" i="35"/>
  <c r="S278" i="35"/>
  <c r="Y277" i="35"/>
  <c r="X277" i="35"/>
  <c r="AE277" i="35"/>
  <c r="AD277" i="35"/>
  <c r="AB277" i="35"/>
  <c r="Z277" i="35"/>
  <c r="AA277" i="35"/>
  <c r="R277" i="35"/>
  <c r="S276" i="35"/>
  <c r="T276" i="35" s="1"/>
  <c r="V276" i="35" s="1"/>
  <c r="Y275" i="35"/>
  <c r="X275" i="35"/>
  <c r="AE275" i="35"/>
  <c r="AB275" i="35"/>
  <c r="AD275" i="35"/>
  <c r="Z275" i="35"/>
  <c r="AA275" i="35"/>
  <c r="R275" i="35"/>
  <c r="S274" i="35"/>
  <c r="Y273" i="35"/>
  <c r="X273" i="35"/>
  <c r="AE273" i="35"/>
  <c r="AD273" i="35"/>
  <c r="AB273" i="35"/>
  <c r="Z273" i="35"/>
  <c r="AA273" i="35"/>
  <c r="R273" i="35"/>
  <c r="S272" i="35"/>
  <c r="Y271" i="35"/>
  <c r="X271" i="35"/>
  <c r="AE271" i="35"/>
  <c r="AD271" i="35"/>
  <c r="AB271" i="35"/>
  <c r="Z271" i="35"/>
  <c r="AA271" i="35"/>
  <c r="R271" i="35"/>
  <c r="S270" i="35"/>
  <c r="U270" i="35" s="1"/>
  <c r="Y269" i="35"/>
  <c r="X269" i="35"/>
  <c r="AE269" i="35"/>
  <c r="AD269" i="35"/>
  <c r="AB269" i="35"/>
  <c r="Z269" i="35"/>
  <c r="AA269" i="35"/>
  <c r="R269" i="35"/>
  <c r="S268" i="35"/>
  <c r="U268" i="35" s="1"/>
  <c r="Y267" i="35"/>
  <c r="X267" i="35"/>
  <c r="AE267" i="35"/>
  <c r="AD267" i="35"/>
  <c r="AB267" i="35"/>
  <c r="Z267" i="35"/>
  <c r="AA267" i="35"/>
  <c r="R267" i="35"/>
  <c r="S266" i="35"/>
  <c r="Y265" i="35"/>
  <c r="X265" i="35"/>
  <c r="AD265" i="35"/>
  <c r="AB265" i="35"/>
  <c r="AE265" i="35"/>
  <c r="Z265" i="35"/>
  <c r="R265" i="35"/>
  <c r="T265" i="35" s="1"/>
  <c r="V265" i="35" s="1"/>
  <c r="AA265" i="35"/>
  <c r="S264" i="35"/>
  <c r="Y263" i="35"/>
  <c r="X263" i="35"/>
  <c r="AE263" i="35"/>
  <c r="AD263" i="35"/>
  <c r="AB263" i="35"/>
  <c r="Z263" i="35"/>
  <c r="AA263" i="35"/>
  <c r="R263" i="35"/>
  <c r="T263" i="35" s="1"/>
  <c r="V263" i="35" s="1"/>
  <c r="S262" i="35"/>
  <c r="Y261" i="35"/>
  <c r="X261" i="35"/>
  <c r="AE261" i="35"/>
  <c r="AD261" i="35"/>
  <c r="AB261" i="35"/>
  <c r="Z261" i="35"/>
  <c r="AA261" i="35"/>
  <c r="R261" i="35"/>
  <c r="S260" i="35"/>
  <c r="U260" i="35" s="1"/>
  <c r="Y259" i="35"/>
  <c r="X259" i="35"/>
  <c r="AE259" i="35"/>
  <c r="AD259" i="35"/>
  <c r="AB259" i="35"/>
  <c r="Z259" i="35"/>
  <c r="AA259" i="35"/>
  <c r="R259" i="35"/>
  <c r="S258" i="35"/>
  <c r="Y257" i="35"/>
  <c r="X257" i="35"/>
  <c r="AE257" i="35"/>
  <c r="AD257" i="35"/>
  <c r="AB257" i="35"/>
  <c r="Z257" i="35"/>
  <c r="R257" i="35"/>
  <c r="T257" i="35" s="1"/>
  <c r="V257" i="35" s="1"/>
  <c r="AA257" i="35"/>
  <c r="S256" i="35"/>
  <c r="Y255" i="35"/>
  <c r="X255" i="35"/>
  <c r="AE255" i="35"/>
  <c r="AD255" i="35"/>
  <c r="AB255" i="35"/>
  <c r="Z255" i="35"/>
  <c r="AA255" i="35"/>
  <c r="R255" i="35"/>
  <c r="S254" i="35"/>
  <c r="Y253" i="35"/>
  <c r="X253" i="35"/>
  <c r="AE253" i="35"/>
  <c r="AD253" i="35"/>
  <c r="AB253" i="35"/>
  <c r="Z253" i="35"/>
  <c r="AA253" i="35"/>
  <c r="R253" i="35"/>
  <c r="S252" i="35"/>
  <c r="Y251" i="35"/>
  <c r="X251" i="35"/>
  <c r="AE251" i="35"/>
  <c r="AB251" i="35"/>
  <c r="AD251" i="35"/>
  <c r="Z251" i="35"/>
  <c r="AA251" i="35"/>
  <c r="R251" i="35"/>
  <c r="S250" i="35"/>
  <c r="U250" i="35" s="1"/>
  <c r="Y249" i="35"/>
  <c r="X249" i="35"/>
  <c r="AD249" i="35"/>
  <c r="AE249" i="35"/>
  <c r="AB249" i="35"/>
  <c r="Z249" i="35"/>
  <c r="R249" i="35"/>
  <c r="T249" i="35" s="1"/>
  <c r="V249" i="35" s="1"/>
  <c r="AA249" i="35"/>
  <c r="S248" i="35"/>
  <c r="T248" i="35" s="1"/>
  <c r="V248" i="35" s="1"/>
  <c r="Y247" i="35"/>
  <c r="X247" i="35"/>
  <c r="AE247" i="35"/>
  <c r="AD247" i="35"/>
  <c r="AB247" i="35"/>
  <c r="Z247" i="35"/>
  <c r="AA247" i="35"/>
  <c r="R247" i="35"/>
  <c r="T247" i="35" s="1"/>
  <c r="V247" i="35" s="1"/>
  <c r="S246" i="35"/>
  <c r="Y245" i="35"/>
  <c r="X245" i="35"/>
  <c r="AE245" i="35"/>
  <c r="AD245" i="35"/>
  <c r="AB245" i="35"/>
  <c r="Z245" i="35"/>
  <c r="AA245" i="35"/>
  <c r="R245" i="35"/>
  <c r="S244" i="35"/>
  <c r="Y243" i="35"/>
  <c r="X243" i="35"/>
  <c r="AE243" i="35"/>
  <c r="AB243" i="35"/>
  <c r="AD243" i="35"/>
  <c r="Z243" i="35"/>
  <c r="AA243" i="35"/>
  <c r="R243" i="35"/>
  <c r="T243" i="35" s="1"/>
  <c r="V243" i="35" s="1"/>
  <c r="S242" i="35"/>
  <c r="Y241" i="35"/>
  <c r="X241" i="35"/>
  <c r="AE241" i="35"/>
  <c r="AD241" i="35"/>
  <c r="AB241" i="35"/>
  <c r="Z241" i="35"/>
  <c r="R241" i="35"/>
  <c r="AA241" i="35"/>
  <c r="S240" i="35"/>
  <c r="Y239" i="35"/>
  <c r="X239" i="35"/>
  <c r="AE239" i="35"/>
  <c r="AD239" i="35"/>
  <c r="AB239" i="35"/>
  <c r="Z239" i="35"/>
  <c r="AA239" i="35"/>
  <c r="R239" i="35"/>
  <c r="S238" i="35"/>
  <c r="U238" i="35" s="1"/>
  <c r="Y237" i="35"/>
  <c r="X237" i="35"/>
  <c r="AE237" i="35"/>
  <c r="AD237" i="35"/>
  <c r="AB237" i="35"/>
  <c r="Z237" i="35"/>
  <c r="AA237" i="35"/>
  <c r="R237" i="35"/>
  <c r="S236" i="35"/>
  <c r="T236" i="35" s="1"/>
  <c r="V236" i="35" s="1"/>
  <c r="Y235" i="35"/>
  <c r="X235" i="35"/>
  <c r="AD235" i="35"/>
  <c r="AE235" i="35"/>
  <c r="AB235" i="35"/>
  <c r="Z235" i="35"/>
  <c r="AA235" i="35"/>
  <c r="R235" i="35"/>
  <c r="S234" i="35"/>
  <c r="Y233" i="35"/>
  <c r="X233" i="35"/>
  <c r="AD233" i="35"/>
  <c r="AE233" i="35"/>
  <c r="AB233" i="35"/>
  <c r="Z233" i="35"/>
  <c r="R233" i="35"/>
  <c r="AA233" i="35"/>
  <c r="S232" i="35"/>
  <c r="U232" i="35" s="1"/>
  <c r="Y231" i="35"/>
  <c r="X231" i="35"/>
  <c r="AD231" i="35"/>
  <c r="AE231" i="35"/>
  <c r="AB231" i="35"/>
  <c r="Z231" i="35"/>
  <c r="AA231" i="35"/>
  <c r="R231" i="35"/>
  <c r="S230" i="35"/>
  <c r="Y229" i="35"/>
  <c r="X229" i="35"/>
  <c r="AE229" i="35"/>
  <c r="AD229" i="35"/>
  <c r="AB229" i="35"/>
  <c r="Z229" i="35"/>
  <c r="AA229" i="35"/>
  <c r="R229" i="35"/>
  <c r="S228" i="35"/>
  <c r="T228" i="35" s="1"/>
  <c r="V228" i="35" s="1"/>
  <c r="Y227" i="35"/>
  <c r="X227" i="35"/>
  <c r="AE227" i="35"/>
  <c r="AD227" i="35"/>
  <c r="AB227" i="35"/>
  <c r="Z227" i="35"/>
  <c r="AA227" i="35"/>
  <c r="R227" i="35"/>
  <c r="S226" i="35"/>
  <c r="Y225" i="35"/>
  <c r="X225" i="35"/>
  <c r="AE225" i="35"/>
  <c r="AD225" i="35"/>
  <c r="AB225" i="35"/>
  <c r="Z225" i="35"/>
  <c r="R225" i="35"/>
  <c r="AA225" i="35"/>
  <c r="S224" i="35"/>
  <c r="Y223" i="35"/>
  <c r="X223" i="35"/>
  <c r="AE223" i="35"/>
  <c r="AD223" i="35"/>
  <c r="AB223" i="35"/>
  <c r="Z223" i="35"/>
  <c r="AA223" i="35"/>
  <c r="R223" i="35"/>
  <c r="S222" i="35"/>
  <c r="U222" i="35" s="1"/>
  <c r="Y221" i="35"/>
  <c r="X221" i="35"/>
  <c r="AE221" i="35"/>
  <c r="AD221" i="35"/>
  <c r="AB221" i="35"/>
  <c r="Z221" i="35"/>
  <c r="AA221" i="35"/>
  <c r="R221" i="35"/>
  <c r="S220" i="35"/>
  <c r="T220" i="35" s="1"/>
  <c r="V220" i="35" s="1"/>
  <c r="Y219" i="35"/>
  <c r="X219" i="35"/>
  <c r="AE219" i="35"/>
  <c r="AB219" i="35"/>
  <c r="AD219" i="35"/>
  <c r="Z219" i="35"/>
  <c r="AA219" i="35"/>
  <c r="R219" i="35"/>
  <c r="T219" i="35" s="1"/>
  <c r="V219" i="35" s="1"/>
  <c r="S218" i="35"/>
  <c r="Y217" i="35"/>
  <c r="X217" i="35"/>
  <c r="AD217" i="35"/>
  <c r="AB217" i="35"/>
  <c r="Z217" i="35"/>
  <c r="AE217" i="35"/>
  <c r="R217" i="35"/>
  <c r="AA217" i="35"/>
  <c r="S216" i="35"/>
  <c r="Y215" i="35"/>
  <c r="X215" i="35"/>
  <c r="AD215" i="35"/>
  <c r="AE215" i="35"/>
  <c r="AB215" i="35"/>
  <c r="Z215" i="35"/>
  <c r="AA215" i="35"/>
  <c r="R215" i="35"/>
  <c r="S214" i="35"/>
  <c r="Y213" i="35"/>
  <c r="X213" i="35"/>
  <c r="AE213" i="35"/>
  <c r="AD213" i="35"/>
  <c r="AB213" i="35"/>
  <c r="Z213" i="35"/>
  <c r="AA213" i="35"/>
  <c r="R213" i="35"/>
  <c r="S212" i="35"/>
  <c r="T212" i="35" s="1"/>
  <c r="V212" i="35" s="1"/>
  <c r="Y211" i="35"/>
  <c r="X211" i="35"/>
  <c r="AE211" i="35"/>
  <c r="AB211" i="35"/>
  <c r="AD211" i="35"/>
  <c r="Z211" i="35"/>
  <c r="AA211" i="35"/>
  <c r="R211" i="35"/>
  <c r="S210" i="35"/>
  <c r="Y209" i="35"/>
  <c r="X209" i="35"/>
  <c r="AE209" i="35"/>
  <c r="AD209" i="35"/>
  <c r="AB209" i="35"/>
  <c r="Z209" i="35"/>
  <c r="AA209" i="35"/>
  <c r="R209" i="35"/>
  <c r="S208" i="35"/>
  <c r="Y207" i="35"/>
  <c r="X207" i="35"/>
  <c r="AE207" i="35"/>
  <c r="AD207" i="35"/>
  <c r="AB207" i="35"/>
  <c r="Z207" i="35"/>
  <c r="AA207" i="35"/>
  <c r="R207" i="35"/>
  <c r="S206" i="35"/>
  <c r="U206" i="35" s="1"/>
  <c r="Y205" i="35"/>
  <c r="X205" i="35"/>
  <c r="AE205" i="35"/>
  <c r="AD205" i="35"/>
  <c r="AB205" i="35"/>
  <c r="Z205" i="35"/>
  <c r="AA205" i="35"/>
  <c r="R205" i="35"/>
  <c r="S204" i="35"/>
  <c r="U204" i="35" s="1"/>
  <c r="Y203" i="35"/>
  <c r="X203" i="35"/>
  <c r="AE203" i="35"/>
  <c r="AD203" i="35"/>
  <c r="AB203" i="35"/>
  <c r="Z203" i="35"/>
  <c r="AA203" i="35"/>
  <c r="R203" i="35"/>
  <c r="S202" i="35"/>
  <c r="T202" i="35" s="1"/>
  <c r="V202" i="35" s="1"/>
  <c r="Y201" i="35"/>
  <c r="X201" i="35"/>
  <c r="AD201" i="35"/>
  <c r="AB201" i="35"/>
  <c r="AE201" i="35"/>
  <c r="Z201" i="35"/>
  <c r="R201" i="35"/>
  <c r="AA201" i="35"/>
  <c r="S200" i="35"/>
  <c r="Y199" i="35"/>
  <c r="X199" i="35"/>
  <c r="AD199" i="35"/>
  <c r="AE199" i="35"/>
  <c r="AB199" i="35"/>
  <c r="Z199" i="35"/>
  <c r="AA199" i="35"/>
  <c r="R199" i="35"/>
  <c r="S198" i="35"/>
  <c r="Y197" i="35"/>
  <c r="X197" i="35"/>
  <c r="AE197" i="35"/>
  <c r="AD197" i="35"/>
  <c r="AB197" i="35"/>
  <c r="Z197" i="35"/>
  <c r="AA197" i="35"/>
  <c r="R197" i="35"/>
  <c r="S196" i="35"/>
  <c r="T196" i="35" s="1"/>
  <c r="V196" i="35" s="1"/>
  <c r="Y195" i="35"/>
  <c r="X195" i="35"/>
  <c r="AE195" i="35"/>
  <c r="AD195" i="35"/>
  <c r="AB195" i="35"/>
  <c r="Z195" i="35"/>
  <c r="AA195" i="35"/>
  <c r="R195" i="35"/>
  <c r="S194" i="35"/>
  <c r="Y193" i="35"/>
  <c r="X193" i="35"/>
  <c r="AE193" i="35"/>
  <c r="AD193" i="35"/>
  <c r="AB193" i="35"/>
  <c r="Z193" i="35"/>
  <c r="R193" i="35"/>
  <c r="AA193" i="35"/>
  <c r="S192" i="35"/>
  <c r="Y191" i="35"/>
  <c r="X191" i="35"/>
  <c r="AE191" i="35"/>
  <c r="AD191" i="35"/>
  <c r="AB191" i="35"/>
  <c r="Z191" i="35"/>
  <c r="AA191" i="35"/>
  <c r="R191" i="35"/>
  <c r="S190" i="35"/>
  <c r="U190" i="35" s="1"/>
  <c r="Y189" i="35"/>
  <c r="X189" i="35"/>
  <c r="AE189" i="35"/>
  <c r="AD189" i="35"/>
  <c r="AB189" i="35"/>
  <c r="Z189" i="35"/>
  <c r="AA189" i="35"/>
  <c r="R189" i="35"/>
  <c r="S188" i="35"/>
  <c r="U188" i="35" s="1"/>
  <c r="Y187" i="35"/>
  <c r="X187" i="35"/>
  <c r="AE187" i="35"/>
  <c r="AD187" i="35"/>
  <c r="AB187" i="35"/>
  <c r="Z187" i="35"/>
  <c r="AA187" i="35"/>
  <c r="R187" i="35"/>
  <c r="S186" i="35"/>
  <c r="T186" i="35" s="1"/>
  <c r="V186" i="35" s="1"/>
  <c r="Y185" i="35"/>
  <c r="X185" i="35"/>
  <c r="AD185" i="35"/>
  <c r="AE185" i="35"/>
  <c r="AB185" i="35"/>
  <c r="Z185" i="35"/>
  <c r="R185" i="35"/>
  <c r="AA185" i="35"/>
  <c r="S184" i="35"/>
  <c r="Y183" i="35"/>
  <c r="X183" i="35"/>
  <c r="AD183" i="35"/>
  <c r="AE183" i="35"/>
  <c r="AB183" i="35"/>
  <c r="AA183" i="35"/>
  <c r="Z183" i="35"/>
  <c r="R183" i="35"/>
  <c r="S182" i="35"/>
  <c r="Y181" i="35"/>
  <c r="X181" i="35"/>
  <c r="AE181" i="35"/>
  <c r="AD181" i="35"/>
  <c r="AB181" i="35"/>
  <c r="Z181" i="35"/>
  <c r="AA181" i="35"/>
  <c r="R181" i="35"/>
  <c r="S180" i="35"/>
  <c r="T180" i="35" s="1"/>
  <c r="V180" i="35" s="1"/>
  <c r="Y179" i="35"/>
  <c r="X179" i="35"/>
  <c r="AE179" i="35"/>
  <c r="AD179" i="35"/>
  <c r="AB179" i="35"/>
  <c r="Z179" i="35"/>
  <c r="AA179" i="35"/>
  <c r="R179" i="35"/>
  <c r="S178" i="35"/>
  <c r="Y177" i="35"/>
  <c r="X177" i="35"/>
  <c r="AE177" i="35"/>
  <c r="AD177" i="35"/>
  <c r="AB177" i="35"/>
  <c r="Z177" i="35"/>
  <c r="R177" i="35"/>
  <c r="AA177" i="35"/>
  <c r="S176" i="35"/>
  <c r="Y175" i="35"/>
  <c r="X175" i="35"/>
  <c r="AE175" i="35"/>
  <c r="AD175" i="35"/>
  <c r="AB175" i="35"/>
  <c r="Z175" i="35"/>
  <c r="AA175" i="35"/>
  <c r="R175" i="35"/>
  <c r="S174" i="35"/>
  <c r="T174" i="35" s="1"/>
  <c r="V174" i="35" s="1"/>
  <c r="Y173" i="35"/>
  <c r="X173" i="35"/>
  <c r="AE173" i="35"/>
  <c r="AD173" i="35"/>
  <c r="AB173" i="35"/>
  <c r="Z173" i="35"/>
  <c r="AA173" i="35"/>
  <c r="R173" i="35"/>
  <c r="S172" i="35"/>
  <c r="Y171" i="35"/>
  <c r="X171" i="35"/>
  <c r="AD171" i="35"/>
  <c r="AB171" i="35"/>
  <c r="AE171" i="35"/>
  <c r="Z171" i="35"/>
  <c r="AA171" i="35"/>
  <c r="R171" i="35"/>
  <c r="S170" i="35"/>
  <c r="T170" i="35" s="1"/>
  <c r="V170" i="35" s="1"/>
  <c r="Y169" i="35"/>
  <c r="X169" i="35"/>
  <c r="AD169" i="35"/>
  <c r="AE169" i="35"/>
  <c r="AB169" i="35"/>
  <c r="Z169" i="35"/>
  <c r="R169" i="35"/>
  <c r="AA169" i="35"/>
  <c r="S168" i="35"/>
  <c r="T168" i="35" s="1"/>
  <c r="V168" i="35" s="1"/>
  <c r="Y167" i="35"/>
  <c r="X167" i="35"/>
  <c r="AD167" i="35"/>
  <c r="AE167" i="35"/>
  <c r="AB167" i="35"/>
  <c r="AA167" i="35"/>
  <c r="Z167" i="35"/>
  <c r="R167" i="35"/>
  <c r="S166" i="35"/>
  <c r="Y165" i="35"/>
  <c r="X165" i="35"/>
  <c r="AE165" i="35"/>
  <c r="AD165" i="35"/>
  <c r="AB165" i="35"/>
  <c r="Z165" i="35"/>
  <c r="AA165" i="35"/>
  <c r="R165" i="35"/>
  <c r="S164" i="35"/>
  <c r="U164" i="35" s="1"/>
  <c r="Y163" i="35"/>
  <c r="X163" i="35"/>
  <c r="AE163" i="35"/>
  <c r="AD163" i="35"/>
  <c r="AB163" i="35"/>
  <c r="Z163" i="35"/>
  <c r="AA163" i="35"/>
  <c r="R163" i="35"/>
  <c r="S162" i="35"/>
  <c r="Y161" i="35"/>
  <c r="X161" i="35"/>
  <c r="AE161" i="35"/>
  <c r="AD161" i="35"/>
  <c r="AB161" i="35"/>
  <c r="Z161" i="35"/>
  <c r="R161" i="35"/>
  <c r="AA161" i="35"/>
  <c r="S160" i="35"/>
  <c r="Y159" i="35"/>
  <c r="X159" i="35"/>
  <c r="AE159" i="35"/>
  <c r="AD159" i="35"/>
  <c r="AB159" i="35"/>
  <c r="Z159" i="35"/>
  <c r="AA159" i="35"/>
  <c r="R159" i="35"/>
  <c r="S158" i="35"/>
  <c r="U158" i="35" s="1"/>
  <c r="Y157" i="35"/>
  <c r="X157" i="35"/>
  <c r="AE157" i="35"/>
  <c r="AD157" i="35"/>
  <c r="AB157" i="35"/>
  <c r="Z157" i="35"/>
  <c r="AA157" i="35"/>
  <c r="R157" i="35"/>
  <c r="S156" i="35"/>
  <c r="U156" i="35" s="1"/>
  <c r="Y155" i="35"/>
  <c r="X155" i="35"/>
  <c r="AE155" i="35"/>
  <c r="AB155" i="35"/>
  <c r="AD155" i="35"/>
  <c r="Z155" i="35"/>
  <c r="AA155" i="35"/>
  <c r="R155" i="35"/>
  <c r="S154" i="35"/>
  <c r="T154" i="35" s="1"/>
  <c r="V154" i="35" s="1"/>
  <c r="Y153" i="35"/>
  <c r="X153" i="35"/>
  <c r="AD153" i="35"/>
  <c r="AB153" i="35"/>
  <c r="AE153" i="35"/>
  <c r="Z153" i="35"/>
  <c r="R153" i="35"/>
  <c r="AA153" i="35"/>
  <c r="S152" i="35"/>
  <c r="T152" i="35" s="1"/>
  <c r="V152" i="35" s="1"/>
  <c r="AL152" i="35" s="1"/>
  <c r="Y151" i="35"/>
  <c r="X151" i="35"/>
  <c r="AD151" i="35"/>
  <c r="AE151" i="35"/>
  <c r="AB151" i="35"/>
  <c r="AA151" i="35"/>
  <c r="R151" i="35"/>
  <c r="Z151" i="35"/>
  <c r="S150" i="35"/>
  <c r="Y149" i="35"/>
  <c r="X149" i="35"/>
  <c r="AE149" i="35"/>
  <c r="AD149" i="35"/>
  <c r="AB149" i="35"/>
  <c r="Z149" i="35"/>
  <c r="AA149" i="35"/>
  <c r="R149" i="35"/>
  <c r="S148" i="35"/>
  <c r="U148" i="35" s="1"/>
  <c r="Y147" i="35"/>
  <c r="X147" i="35"/>
  <c r="AE147" i="35"/>
  <c r="AD147" i="35"/>
  <c r="AB147" i="35"/>
  <c r="Z147" i="35"/>
  <c r="AA147" i="35"/>
  <c r="R147" i="35"/>
  <c r="S146" i="35"/>
  <c r="Y145" i="35"/>
  <c r="X145" i="35"/>
  <c r="AE145" i="35"/>
  <c r="AD145" i="35"/>
  <c r="AB145" i="35"/>
  <c r="Z145" i="35"/>
  <c r="AA145" i="35"/>
  <c r="R145" i="35"/>
  <c r="S144" i="35"/>
  <c r="Y143" i="35"/>
  <c r="AM143" i="35" s="1"/>
  <c r="X143" i="35"/>
  <c r="AE143" i="35"/>
  <c r="AD143" i="35"/>
  <c r="AB143" i="35"/>
  <c r="Z143" i="35"/>
  <c r="AA143" i="35"/>
  <c r="R143" i="35"/>
  <c r="S142" i="35"/>
  <c r="T142" i="35" s="1"/>
  <c r="V142" i="35" s="1"/>
  <c r="AL142" i="35" s="1"/>
  <c r="Y141" i="35"/>
  <c r="AM141" i="35" s="1"/>
  <c r="X141" i="35"/>
  <c r="AE141" i="35"/>
  <c r="AD141" i="35"/>
  <c r="AB141" i="35"/>
  <c r="Z141" i="35"/>
  <c r="AA141" i="35"/>
  <c r="AH141" i="35" s="1"/>
  <c r="R141" i="35"/>
  <c r="S140" i="35"/>
  <c r="U140" i="35" s="1"/>
  <c r="Y118" i="35"/>
  <c r="AM118" i="35" s="1"/>
  <c r="X118" i="35"/>
  <c r="AE118" i="35"/>
  <c r="AD118" i="35"/>
  <c r="AC118" i="35"/>
  <c r="AB118" i="35"/>
  <c r="Z118" i="35"/>
  <c r="AA118" i="35"/>
  <c r="R118" i="35"/>
  <c r="Y100" i="35"/>
  <c r="AM100" i="35" s="1"/>
  <c r="X100" i="35"/>
  <c r="AE100" i="35"/>
  <c r="AD100" i="35"/>
  <c r="AC100" i="35"/>
  <c r="AB100" i="35"/>
  <c r="Z100" i="35"/>
  <c r="AA100" i="35"/>
  <c r="R100" i="35"/>
  <c r="X42" i="35"/>
  <c r="Y42" i="35"/>
  <c r="AM42" i="35" s="1"/>
  <c r="AE42" i="35"/>
  <c r="AB42" i="35"/>
  <c r="Z42" i="35"/>
  <c r="AC42" i="35"/>
  <c r="AD42" i="35"/>
  <c r="AA42" i="35"/>
  <c r="R42" i="35"/>
  <c r="T42" i="35" s="1"/>
  <c r="Y632" i="35"/>
  <c r="X632" i="35"/>
  <c r="AE632" i="35"/>
  <c r="AD632" i="35"/>
  <c r="AB632" i="35"/>
  <c r="AA632" i="35"/>
  <c r="Z632" i="35"/>
  <c r="R632" i="35"/>
  <c r="Y628" i="35"/>
  <c r="X628" i="35"/>
  <c r="AE628" i="35"/>
  <c r="AB628" i="35"/>
  <c r="AD628" i="35"/>
  <c r="Z628" i="35"/>
  <c r="AA628" i="35"/>
  <c r="R628" i="35"/>
  <c r="Y620" i="35"/>
  <c r="X620" i="35"/>
  <c r="AE620" i="35"/>
  <c r="AB620" i="35"/>
  <c r="Z620" i="35"/>
  <c r="AD620" i="35"/>
  <c r="AA620" i="35"/>
  <c r="R620" i="35"/>
  <c r="X610" i="35"/>
  <c r="Y610" i="35"/>
  <c r="AE610" i="35"/>
  <c r="AD610" i="35"/>
  <c r="AB610" i="35"/>
  <c r="Z610" i="35"/>
  <c r="R610" i="35"/>
  <c r="AA610" i="35"/>
  <c r="Y584" i="35"/>
  <c r="X584" i="35"/>
  <c r="AE584" i="35"/>
  <c r="AD584" i="35"/>
  <c r="AB584" i="35"/>
  <c r="AA584" i="35"/>
  <c r="Z584" i="35"/>
  <c r="R584" i="35"/>
  <c r="X580" i="35"/>
  <c r="Y580" i="35"/>
  <c r="AE580" i="35"/>
  <c r="AB580" i="35"/>
  <c r="AD580" i="35"/>
  <c r="Z580" i="35"/>
  <c r="AA580" i="35"/>
  <c r="R580" i="35"/>
  <c r="Y554" i="35"/>
  <c r="X554" i="35"/>
  <c r="AE554" i="35"/>
  <c r="AD554" i="35"/>
  <c r="AB554" i="35"/>
  <c r="Z554" i="35"/>
  <c r="R554" i="35"/>
  <c r="AA554" i="35"/>
  <c r="Y548" i="35"/>
  <c r="X548" i="35"/>
  <c r="AB548" i="35"/>
  <c r="AE548" i="35"/>
  <c r="AD548" i="35"/>
  <c r="Z548" i="35"/>
  <c r="AA548" i="35"/>
  <c r="R548" i="35"/>
  <c r="Y542" i="35"/>
  <c r="X542" i="35"/>
  <c r="AE542" i="35"/>
  <c r="AD542" i="35"/>
  <c r="AB542" i="35"/>
  <c r="Z542" i="35"/>
  <c r="AA542" i="35"/>
  <c r="R542" i="35"/>
  <c r="Y528" i="35"/>
  <c r="X528" i="35"/>
  <c r="AE528" i="35"/>
  <c r="AD528" i="35"/>
  <c r="AB528" i="35"/>
  <c r="Z528" i="35"/>
  <c r="AA528" i="35"/>
  <c r="R528" i="35"/>
  <c r="Y137" i="35"/>
  <c r="X137" i="35"/>
  <c r="AD137" i="35"/>
  <c r="AC137" i="35"/>
  <c r="AE137" i="35"/>
  <c r="AB137" i="35"/>
  <c r="Z137" i="35"/>
  <c r="R137" i="35"/>
  <c r="T137" i="35" s="1"/>
  <c r="AA137" i="35"/>
  <c r="Y131" i="35"/>
  <c r="X131" i="35"/>
  <c r="AE131" i="35"/>
  <c r="AD131" i="35"/>
  <c r="AB131" i="35"/>
  <c r="AC131" i="35"/>
  <c r="Z131" i="35"/>
  <c r="AA131" i="35"/>
  <c r="R131" i="35"/>
  <c r="S130" i="35"/>
  <c r="S128" i="35"/>
  <c r="U128" i="35" s="1"/>
  <c r="Y121" i="35"/>
  <c r="X121" i="35"/>
  <c r="AD121" i="35"/>
  <c r="AE121" i="35"/>
  <c r="AC121" i="35"/>
  <c r="AB121" i="35"/>
  <c r="Z121" i="35"/>
  <c r="R121" i="35"/>
  <c r="AA121" i="35"/>
  <c r="Y117" i="35"/>
  <c r="X117" i="35"/>
  <c r="AE117" i="35"/>
  <c r="AD117" i="35"/>
  <c r="AC117" i="35"/>
  <c r="AB117" i="35"/>
  <c r="Z117" i="35"/>
  <c r="AA117" i="35"/>
  <c r="R117" i="35"/>
  <c r="Y111" i="35"/>
  <c r="X111" i="35"/>
  <c r="AE111" i="35"/>
  <c r="AD111" i="35"/>
  <c r="AB111" i="35"/>
  <c r="AC111" i="35"/>
  <c r="AA111" i="35"/>
  <c r="Z111" i="35"/>
  <c r="R111" i="35"/>
  <c r="T111" i="35" s="1"/>
  <c r="Y107" i="35"/>
  <c r="X107" i="35"/>
  <c r="AD107" i="35"/>
  <c r="AB107" i="35"/>
  <c r="Z107" i="35"/>
  <c r="AC107" i="35"/>
  <c r="AA107" i="35"/>
  <c r="AE107" i="35"/>
  <c r="R107" i="35"/>
  <c r="T107" i="35" s="1"/>
  <c r="S102" i="35"/>
  <c r="U102" i="35" s="1"/>
  <c r="S100" i="35"/>
  <c r="S94" i="35"/>
  <c r="S92" i="35"/>
  <c r="T92" i="35" s="1"/>
  <c r="V92" i="35" s="1"/>
  <c r="Y81" i="35"/>
  <c r="AE81" i="35"/>
  <c r="AD81" i="35"/>
  <c r="AC81" i="35"/>
  <c r="AB81" i="35"/>
  <c r="X81" i="35"/>
  <c r="Z81" i="35"/>
  <c r="AA81" i="35"/>
  <c r="R81" i="35"/>
  <c r="Y75" i="35"/>
  <c r="X75" i="35"/>
  <c r="AE75" i="35"/>
  <c r="AD75" i="35"/>
  <c r="AC75" i="35"/>
  <c r="AB75" i="35"/>
  <c r="Z75" i="35"/>
  <c r="AA75" i="35"/>
  <c r="R75" i="35"/>
  <c r="T75" i="35" s="1"/>
  <c r="V75" i="35" s="1"/>
  <c r="Y65" i="35"/>
  <c r="X65" i="35"/>
  <c r="AE65" i="35"/>
  <c r="AD65" i="35"/>
  <c r="AC65" i="35"/>
  <c r="AB65" i="35"/>
  <c r="Z65" i="35"/>
  <c r="R65" i="35"/>
  <c r="T65" i="35" s="1"/>
  <c r="V65" i="35" s="1"/>
  <c r="AA65" i="35"/>
  <c r="Y59" i="35"/>
  <c r="X59" i="35"/>
  <c r="AE59" i="35"/>
  <c r="AD59" i="35"/>
  <c r="AB59" i="35"/>
  <c r="Z59" i="35"/>
  <c r="AC59" i="35"/>
  <c r="AA59" i="35"/>
  <c r="R59" i="35"/>
  <c r="Y51" i="35"/>
  <c r="AE51" i="35"/>
  <c r="X51" i="35"/>
  <c r="AD51" i="35"/>
  <c r="AC51" i="35"/>
  <c r="AB51" i="35"/>
  <c r="Z51" i="35"/>
  <c r="AA51" i="35"/>
  <c r="R51" i="35"/>
  <c r="T51" i="35" s="1"/>
  <c r="Y47" i="35"/>
  <c r="X47" i="35"/>
  <c r="AE47" i="35"/>
  <c r="AD47" i="35"/>
  <c r="Z47" i="35"/>
  <c r="AB47" i="35"/>
  <c r="AC47" i="35"/>
  <c r="AA47" i="35"/>
  <c r="R47" i="35"/>
  <c r="Y43" i="35"/>
  <c r="X43" i="35"/>
  <c r="AD43" i="35"/>
  <c r="AB43" i="35"/>
  <c r="Z43" i="35"/>
  <c r="AA43" i="35"/>
  <c r="AE43" i="35"/>
  <c r="R43" i="35"/>
  <c r="AC43" i="35"/>
  <c r="Y39" i="35"/>
  <c r="X39" i="35"/>
  <c r="AD39" i="35"/>
  <c r="AE39" i="35"/>
  <c r="Z39" i="35"/>
  <c r="AC39" i="35"/>
  <c r="AB39" i="35"/>
  <c r="AA39" i="35"/>
  <c r="R39" i="35"/>
  <c r="T39" i="35" s="1"/>
  <c r="Y31" i="35"/>
  <c r="X31" i="35"/>
  <c r="AE31" i="35"/>
  <c r="AD31" i="35"/>
  <c r="Z31" i="35"/>
  <c r="AB31" i="35"/>
  <c r="AA31" i="35"/>
  <c r="AC31" i="35"/>
  <c r="R31" i="35"/>
  <c r="T31" i="35" s="1"/>
  <c r="Y27" i="35"/>
  <c r="X27" i="35"/>
  <c r="AB27" i="35"/>
  <c r="AD27" i="35"/>
  <c r="AC27" i="35"/>
  <c r="Z27" i="35"/>
  <c r="AE27" i="35"/>
  <c r="AA27" i="35"/>
  <c r="R27" i="35"/>
  <c r="Y23" i="35"/>
  <c r="X23" i="35"/>
  <c r="AD23" i="35"/>
  <c r="AE23" i="35"/>
  <c r="AB23" i="35"/>
  <c r="AC23" i="35"/>
  <c r="Z23" i="35"/>
  <c r="AA23" i="35"/>
  <c r="R23" i="35"/>
  <c r="Y17" i="35"/>
  <c r="X17" i="35"/>
  <c r="AE17" i="35"/>
  <c r="AD17" i="35"/>
  <c r="AC17" i="35"/>
  <c r="Z17" i="35"/>
  <c r="AB17" i="35"/>
  <c r="AA17" i="35"/>
  <c r="R17" i="35"/>
  <c r="T17" i="35" s="1"/>
  <c r="V17" i="35" s="1"/>
  <c r="S700" i="35"/>
  <c r="U700" i="35" s="1"/>
  <c r="X695" i="35"/>
  <c r="Y695" i="35"/>
  <c r="AE695" i="35"/>
  <c r="AD695" i="35"/>
  <c r="AB695" i="35"/>
  <c r="Z695" i="35"/>
  <c r="AA695" i="35"/>
  <c r="R695" i="35"/>
  <c r="S692" i="35"/>
  <c r="S690" i="35"/>
  <c r="S688" i="35"/>
  <c r="U688" i="35" s="1"/>
  <c r="S686" i="35"/>
  <c r="U686" i="35" s="1"/>
  <c r="S684" i="35"/>
  <c r="U684" i="35" s="1"/>
  <c r="X679" i="35"/>
  <c r="Y679" i="35"/>
  <c r="AE679" i="35"/>
  <c r="AD679" i="35"/>
  <c r="AB679" i="35"/>
  <c r="Z679" i="35"/>
  <c r="AA679" i="35"/>
  <c r="R679" i="35"/>
  <c r="T679" i="35" s="1"/>
  <c r="V679" i="35" s="1"/>
  <c r="Y673" i="35"/>
  <c r="X673" i="35"/>
  <c r="AE673" i="35"/>
  <c r="AD673" i="35"/>
  <c r="AB673" i="35"/>
  <c r="Z673" i="35"/>
  <c r="R673" i="35"/>
  <c r="T673" i="35" s="1"/>
  <c r="V673" i="35" s="1"/>
  <c r="AA673" i="35"/>
  <c r="S670" i="35"/>
  <c r="U670" i="35" s="1"/>
  <c r="Y665" i="35"/>
  <c r="X665" i="35"/>
  <c r="AE665" i="35"/>
  <c r="AB665" i="35"/>
  <c r="AD665" i="35"/>
  <c r="Z665" i="35"/>
  <c r="R665" i="35"/>
  <c r="AA665" i="35"/>
  <c r="S662" i="35"/>
  <c r="Y657" i="35"/>
  <c r="AE657" i="35"/>
  <c r="AB657" i="35"/>
  <c r="X657" i="35"/>
  <c r="AD657" i="35"/>
  <c r="Z657" i="35"/>
  <c r="R657" i="35"/>
  <c r="T657" i="35" s="1"/>
  <c r="V657" i="35" s="1"/>
  <c r="AA657" i="35"/>
  <c r="X651" i="35"/>
  <c r="Y651" i="35"/>
  <c r="AE651" i="35"/>
  <c r="AD651" i="35"/>
  <c r="AB651" i="35"/>
  <c r="Z651" i="35"/>
  <c r="AA651" i="35"/>
  <c r="R651" i="35"/>
  <c r="Y645" i="35"/>
  <c r="X645" i="35"/>
  <c r="AE645" i="35"/>
  <c r="AB645" i="35"/>
  <c r="AD645" i="35"/>
  <c r="Z645" i="35"/>
  <c r="AA645" i="35"/>
  <c r="R645" i="35"/>
  <c r="S642" i="35"/>
  <c r="U642" i="35" s="1"/>
  <c r="S640" i="35"/>
  <c r="Y635" i="35"/>
  <c r="X635" i="35"/>
  <c r="AD635" i="35"/>
  <c r="AB635" i="35"/>
  <c r="AE635" i="35"/>
  <c r="Z635" i="35"/>
  <c r="AA635" i="35"/>
  <c r="R635" i="35"/>
  <c r="Y629" i="35"/>
  <c r="X629" i="35"/>
  <c r="AE629" i="35"/>
  <c r="AB629" i="35"/>
  <c r="Z629" i="35"/>
  <c r="R629" i="35"/>
  <c r="AD629" i="35"/>
  <c r="AA629" i="35"/>
  <c r="X623" i="35"/>
  <c r="Y623" i="35"/>
  <c r="AE623" i="35"/>
  <c r="AD623" i="35"/>
  <c r="AB623" i="35"/>
  <c r="Z623" i="35"/>
  <c r="AA623" i="35"/>
  <c r="R623" i="35"/>
  <c r="S620" i="35"/>
  <c r="S618" i="35"/>
  <c r="U618" i="35" s="1"/>
  <c r="Y613" i="35"/>
  <c r="X613" i="35"/>
  <c r="AE613" i="35"/>
  <c r="AD613" i="35"/>
  <c r="AB613" i="35"/>
  <c r="Z613" i="35"/>
  <c r="R613" i="35"/>
  <c r="AA613" i="35"/>
  <c r="S610" i="35"/>
  <c r="U610" i="35" s="1"/>
  <c r="Y605" i="35"/>
  <c r="X605" i="35"/>
  <c r="AE605" i="35"/>
  <c r="AB605" i="35"/>
  <c r="AD605" i="35"/>
  <c r="Z605" i="35"/>
  <c r="AA605" i="35"/>
  <c r="R605" i="35"/>
  <c r="T605" i="35" s="1"/>
  <c r="V605" i="35" s="1"/>
  <c r="X599" i="35"/>
  <c r="Y599" i="35"/>
  <c r="AE599" i="35"/>
  <c r="AD599" i="35"/>
  <c r="AB599" i="35"/>
  <c r="Z599" i="35"/>
  <c r="AA599" i="35"/>
  <c r="R599" i="35"/>
  <c r="T599" i="35" s="1"/>
  <c r="V599" i="35" s="1"/>
  <c r="Y593" i="35"/>
  <c r="X593" i="35"/>
  <c r="AE593" i="35"/>
  <c r="AB593" i="35"/>
  <c r="AD593" i="35"/>
  <c r="Z593" i="35"/>
  <c r="R593" i="35"/>
  <c r="T593" i="35" s="1"/>
  <c r="V593" i="35" s="1"/>
  <c r="AA593" i="35"/>
  <c r="Y587" i="35"/>
  <c r="AE587" i="35"/>
  <c r="X587" i="35"/>
  <c r="AD587" i="35"/>
  <c r="AB587" i="35"/>
  <c r="Z587" i="35"/>
  <c r="AA587" i="35"/>
  <c r="R587" i="35"/>
  <c r="T587" i="35" s="1"/>
  <c r="V587" i="35" s="1"/>
  <c r="Y581" i="35"/>
  <c r="X581" i="35"/>
  <c r="AE581" i="35"/>
  <c r="AB581" i="35"/>
  <c r="AD581" i="35"/>
  <c r="Z581" i="35"/>
  <c r="AA581" i="35"/>
  <c r="R581" i="35"/>
  <c r="T581" i="35" s="1"/>
  <c r="V581" i="35" s="1"/>
  <c r="X575" i="35"/>
  <c r="Y575" i="35"/>
  <c r="AE575" i="35"/>
  <c r="AD575" i="35"/>
  <c r="AB575" i="35"/>
  <c r="Z575" i="35"/>
  <c r="AA575" i="35"/>
  <c r="R575" i="35"/>
  <c r="T575" i="35" s="1"/>
  <c r="V575" i="35" s="1"/>
  <c r="S572" i="35"/>
  <c r="U572" i="35" s="1"/>
  <c r="S570" i="35"/>
  <c r="U570" i="35" s="1"/>
  <c r="Y565" i="35"/>
  <c r="X565" i="35"/>
  <c r="AB565" i="35"/>
  <c r="AD565" i="35"/>
  <c r="AE565" i="35"/>
  <c r="Z565" i="35"/>
  <c r="AA565" i="35"/>
  <c r="R565" i="35"/>
  <c r="T565" i="35" s="1"/>
  <c r="V565" i="35" s="1"/>
  <c r="X559" i="35"/>
  <c r="Y559" i="35"/>
  <c r="AE559" i="35"/>
  <c r="AD559" i="35"/>
  <c r="AB559" i="35"/>
  <c r="Z559" i="35"/>
  <c r="AA559" i="35"/>
  <c r="R559" i="35"/>
  <c r="T559" i="35" s="1"/>
  <c r="V559" i="35" s="1"/>
  <c r="Y553" i="35"/>
  <c r="X553" i="35"/>
  <c r="AE553" i="35"/>
  <c r="AD553" i="35"/>
  <c r="AB553" i="35"/>
  <c r="Z553" i="35"/>
  <c r="R553" i="35"/>
  <c r="T553" i="35" s="1"/>
  <c r="V553" i="35" s="1"/>
  <c r="AA553" i="35"/>
  <c r="S550" i="35"/>
  <c r="Y545" i="35"/>
  <c r="X545" i="35"/>
  <c r="AE545" i="35"/>
  <c r="AB545" i="35"/>
  <c r="AD545" i="35"/>
  <c r="Z545" i="35"/>
  <c r="R545" i="35"/>
  <c r="AA545" i="35"/>
  <c r="S542" i="35"/>
  <c r="U542" i="35" s="1"/>
  <c r="S540" i="35"/>
  <c r="S538" i="35"/>
  <c r="Y533" i="35"/>
  <c r="X533" i="35"/>
  <c r="AE533" i="35"/>
  <c r="AB533" i="35"/>
  <c r="AD533" i="35"/>
  <c r="Z533" i="35"/>
  <c r="R533" i="35"/>
  <c r="AA533" i="35"/>
  <c r="S530" i="35"/>
  <c r="U530" i="35" s="1"/>
  <c r="S528" i="35"/>
  <c r="U528" i="35" s="1"/>
  <c r="Y523" i="35"/>
  <c r="X523" i="35"/>
  <c r="AE523" i="35"/>
  <c r="AD523" i="35"/>
  <c r="AB523" i="35"/>
  <c r="Z523" i="35"/>
  <c r="AA523" i="35"/>
  <c r="R523" i="35"/>
  <c r="Y517" i="35"/>
  <c r="X517" i="35"/>
  <c r="AE517" i="35"/>
  <c r="AB517" i="35"/>
  <c r="AD517" i="35"/>
  <c r="Z517" i="35"/>
  <c r="AA517" i="35"/>
  <c r="R517" i="35"/>
  <c r="T517" i="35" s="1"/>
  <c r="V517" i="35" s="1"/>
  <c r="Y513" i="35"/>
  <c r="X513" i="35"/>
  <c r="AE513" i="35"/>
  <c r="AB513" i="35"/>
  <c r="AD513" i="35"/>
  <c r="Z513" i="35"/>
  <c r="AA513" i="35"/>
  <c r="R513" i="35"/>
  <c r="T513" i="35" s="1"/>
  <c r="V513" i="35" s="1"/>
  <c r="Y507" i="35"/>
  <c r="X507" i="35"/>
  <c r="AD507" i="35"/>
  <c r="AB507" i="35"/>
  <c r="AE507" i="35"/>
  <c r="Z507" i="35"/>
  <c r="R507" i="35"/>
  <c r="T507" i="35" s="1"/>
  <c r="V507" i="35" s="1"/>
  <c r="AA507" i="35"/>
  <c r="X501" i="35"/>
  <c r="Y501" i="35"/>
  <c r="AE501" i="35"/>
  <c r="AB501" i="35"/>
  <c r="AD501" i="35"/>
  <c r="Z501" i="35"/>
  <c r="AA501" i="35"/>
  <c r="R501" i="35"/>
  <c r="Y495" i="35"/>
  <c r="X495" i="35"/>
  <c r="AE495" i="35"/>
  <c r="AD495" i="35"/>
  <c r="AB495" i="35"/>
  <c r="Z495" i="35"/>
  <c r="AA495" i="35"/>
  <c r="R495" i="35"/>
  <c r="S492" i="35"/>
  <c r="U492" i="35" s="1"/>
  <c r="S490" i="35"/>
  <c r="U490" i="35" s="1"/>
  <c r="S488" i="35"/>
  <c r="Y483" i="35"/>
  <c r="X483" i="35"/>
  <c r="AD483" i="35"/>
  <c r="AB483" i="35"/>
  <c r="Z483" i="35"/>
  <c r="AE483" i="35"/>
  <c r="AA483" i="35"/>
  <c r="R483" i="35"/>
  <c r="Y477" i="35"/>
  <c r="X477" i="35"/>
  <c r="AE477" i="35"/>
  <c r="AD477" i="35"/>
  <c r="AB477" i="35"/>
  <c r="Z477" i="35"/>
  <c r="AA477" i="35"/>
  <c r="R477" i="35"/>
  <c r="Y471" i="35"/>
  <c r="X471" i="35"/>
  <c r="AE471" i="35"/>
  <c r="AD471" i="35"/>
  <c r="AB471" i="35"/>
  <c r="Z471" i="35"/>
  <c r="AA471" i="35"/>
  <c r="R471" i="35"/>
  <c r="T471" i="35" s="1"/>
  <c r="V471" i="35" s="1"/>
  <c r="S468" i="35"/>
  <c r="U468" i="35" s="1"/>
  <c r="S466" i="35"/>
  <c r="S464" i="35"/>
  <c r="Y459" i="35"/>
  <c r="X459" i="35"/>
  <c r="AE459" i="35"/>
  <c r="AD459" i="35"/>
  <c r="AB459" i="35"/>
  <c r="Z459" i="35"/>
  <c r="AA459" i="35"/>
  <c r="R459" i="35"/>
  <c r="S458" i="35"/>
  <c r="U458" i="35" s="1"/>
  <c r="Y453" i="35"/>
  <c r="X453" i="35"/>
  <c r="AE453" i="35"/>
  <c r="AB453" i="35"/>
  <c r="AD453" i="35"/>
  <c r="Z453" i="35"/>
  <c r="AA453" i="35"/>
  <c r="R453" i="35"/>
  <c r="T453" i="35" s="1"/>
  <c r="V453" i="35" s="1"/>
  <c r="Y449" i="35"/>
  <c r="X449" i="35"/>
  <c r="AE449" i="35"/>
  <c r="AB449" i="35"/>
  <c r="AD449" i="35"/>
  <c r="Z449" i="35"/>
  <c r="R449" i="35"/>
  <c r="AA449" i="35"/>
  <c r="S448" i="35"/>
  <c r="U448" i="35" s="1"/>
  <c r="S446" i="35"/>
  <c r="U446" i="35" s="1"/>
  <c r="S444" i="35"/>
  <c r="U444" i="35" s="1"/>
  <c r="Y439" i="35"/>
  <c r="X439" i="35"/>
  <c r="AE439" i="35"/>
  <c r="AD439" i="35"/>
  <c r="AB439" i="35"/>
  <c r="Z439" i="35"/>
  <c r="AA439" i="35"/>
  <c r="R439" i="35"/>
  <c r="T439" i="35" s="1"/>
  <c r="V439" i="35" s="1"/>
  <c r="Y435" i="35"/>
  <c r="X435" i="35"/>
  <c r="AE435" i="35"/>
  <c r="AD435" i="35"/>
  <c r="AB435" i="35"/>
  <c r="Z435" i="35"/>
  <c r="AA435" i="35"/>
  <c r="R435" i="35"/>
  <c r="T435" i="35" s="1"/>
  <c r="V435" i="35" s="1"/>
  <c r="Y431" i="35"/>
  <c r="X431" i="35"/>
  <c r="AE431" i="35"/>
  <c r="AD431" i="35"/>
  <c r="AB431" i="35"/>
  <c r="Z431" i="35"/>
  <c r="AA431" i="35"/>
  <c r="R431" i="35"/>
  <c r="T431" i="35" s="1"/>
  <c r="V431" i="35" s="1"/>
  <c r="Y427" i="35"/>
  <c r="X427" i="35"/>
  <c r="AE427" i="35"/>
  <c r="AD427" i="35"/>
  <c r="AB427" i="35"/>
  <c r="Z427" i="35"/>
  <c r="AA427" i="35"/>
  <c r="R427" i="35"/>
  <c r="S426" i="35"/>
  <c r="Y421" i="35"/>
  <c r="X421" i="35"/>
  <c r="AD421" i="35"/>
  <c r="AE421" i="35"/>
  <c r="AB421" i="35"/>
  <c r="Z421" i="35"/>
  <c r="AA421" i="35"/>
  <c r="R421" i="35"/>
  <c r="Y417" i="35"/>
  <c r="AE417" i="35"/>
  <c r="X417" i="35"/>
  <c r="AD417" i="35"/>
  <c r="AB417" i="35"/>
  <c r="Z417" i="35"/>
  <c r="R417" i="35"/>
  <c r="AA417" i="35"/>
  <c r="Y413" i="35"/>
  <c r="X413" i="35"/>
  <c r="AD413" i="35"/>
  <c r="AE413" i="35"/>
  <c r="AB413" i="35"/>
  <c r="Z413" i="35"/>
  <c r="AA413" i="35"/>
  <c r="R413" i="35"/>
  <c r="T413" i="35" s="1"/>
  <c r="V413" i="35" s="1"/>
  <c r="S410" i="35"/>
  <c r="U410" i="35" s="1"/>
  <c r="Y407" i="35"/>
  <c r="X407" i="35"/>
  <c r="AE407" i="35"/>
  <c r="AD407" i="35"/>
  <c r="AB407" i="35"/>
  <c r="Z407" i="35"/>
  <c r="AA407" i="35"/>
  <c r="R407" i="35"/>
  <c r="S404" i="35"/>
  <c r="S402" i="35"/>
  <c r="S400" i="35"/>
  <c r="U400" i="35" s="1"/>
  <c r="S398" i="35"/>
  <c r="U398" i="35" s="1"/>
  <c r="S396" i="35"/>
  <c r="U396" i="35" s="1"/>
  <c r="S392" i="35"/>
  <c r="U392" i="35" s="1"/>
  <c r="S390" i="35"/>
  <c r="U390" i="35" s="1"/>
  <c r="Y385" i="35"/>
  <c r="X385" i="35"/>
  <c r="AE385" i="35"/>
  <c r="AD385" i="35"/>
  <c r="AB385" i="35"/>
  <c r="Z385" i="35"/>
  <c r="R385" i="35"/>
  <c r="AA385" i="35"/>
  <c r="X379" i="35"/>
  <c r="Y379" i="35"/>
  <c r="AB379" i="35"/>
  <c r="AE379" i="35"/>
  <c r="AD379" i="35"/>
  <c r="Z379" i="35"/>
  <c r="AA379" i="35"/>
  <c r="R379" i="35"/>
  <c r="S376" i="35"/>
  <c r="U376" i="35" s="1"/>
  <c r="Y373" i="35"/>
  <c r="X373" i="35"/>
  <c r="AD373" i="35"/>
  <c r="AE373" i="35"/>
  <c r="AB373" i="35"/>
  <c r="Z373" i="35"/>
  <c r="AA373" i="35"/>
  <c r="R373" i="35"/>
  <c r="T373" i="35" s="1"/>
  <c r="V373" i="35" s="1"/>
  <c r="Y369" i="35"/>
  <c r="X369" i="35"/>
  <c r="AE369" i="35"/>
  <c r="AD369" i="35"/>
  <c r="AB369" i="35"/>
  <c r="Z369" i="35"/>
  <c r="R369" i="35"/>
  <c r="T369" i="35" s="1"/>
  <c r="V369" i="35" s="1"/>
  <c r="AA369" i="35"/>
  <c r="S368" i="35"/>
  <c r="Y365" i="35"/>
  <c r="X365" i="35"/>
  <c r="AD365" i="35"/>
  <c r="AE365" i="35"/>
  <c r="AB365" i="35"/>
  <c r="Z365" i="35"/>
  <c r="AA365" i="35"/>
  <c r="R365" i="35"/>
  <c r="S364" i="35"/>
  <c r="Y361" i="35"/>
  <c r="X361" i="35"/>
  <c r="AE361" i="35"/>
  <c r="AD361" i="35"/>
  <c r="AB361" i="35"/>
  <c r="Z361" i="35"/>
  <c r="R361" i="35"/>
  <c r="AA361" i="35"/>
  <c r="S360" i="35"/>
  <c r="U360" i="35" s="1"/>
  <c r="Y357" i="35"/>
  <c r="X357" i="35"/>
  <c r="AD357" i="35"/>
  <c r="AE357" i="35"/>
  <c r="AB357" i="35"/>
  <c r="Z357" i="35"/>
  <c r="AA357" i="35"/>
  <c r="R357" i="35"/>
  <c r="T357" i="35" s="1"/>
  <c r="V357" i="35" s="1"/>
  <c r="S356" i="35"/>
  <c r="U356" i="35" s="1"/>
  <c r="Y353" i="35"/>
  <c r="X353" i="35"/>
  <c r="AE353" i="35"/>
  <c r="AD353" i="35"/>
  <c r="AB353" i="35"/>
  <c r="Z353" i="35"/>
  <c r="R353" i="35"/>
  <c r="AA353" i="35"/>
  <c r="S352" i="35"/>
  <c r="U352" i="35" s="1"/>
  <c r="Y349" i="35"/>
  <c r="X349" i="35"/>
  <c r="AD349" i="35"/>
  <c r="AE349" i="35"/>
  <c r="AB349" i="35"/>
  <c r="Z349" i="35"/>
  <c r="AA349" i="35"/>
  <c r="R349" i="35"/>
  <c r="T349" i="35" s="1"/>
  <c r="V349" i="35" s="1"/>
  <c r="X345" i="35"/>
  <c r="Y345" i="35"/>
  <c r="AE345" i="35"/>
  <c r="AD345" i="35"/>
  <c r="AB345" i="35"/>
  <c r="Z345" i="35"/>
  <c r="R345" i="35"/>
  <c r="AA345" i="35"/>
  <c r="S344" i="35"/>
  <c r="U344" i="35" s="1"/>
  <c r="S342" i="35"/>
  <c r="Y339" i="35"/>
  <c r="X339" i="35"/>
  <c r="AE339" i="35"/>
  <c r="AB339" i="35"/>
  <c r="AD339" i="35"/>
  <c r="Z339" i="35"/>
  <c r="AA339" i="35"/>
  <c r="R339" i="35"/>
  <c r="T339" i="35" s="1"/>
  <c r="V339" i="35" s="1"/>
  <c r="Y317" i="35"/>
  <c r="X317" i="35"/>
  <c r="AE317" i="35"/>
  <c r="AD317" i="35"/>
  <c r="AB317" i="35"/>
  <c r="Z317" i="35"/>
  <c r="AA317" i="35"/>
  <c r="R317" i="35"/>
  <c r="Y126" i="35"/>
  <c r="AM126" i="35" s="1"/>
  <c r="AE126" i="35"/>
  <c r="X126" i="35"/>
  <c r="AD126" i="35"/>
  <c r="AC126" i="35"/>
  <c r="AB126" i="35"/>
  <c r="Z126" i="35"/>
  <c r="AA126" i="35"/>
  <c r="R126" i="35"/>
  <c r="Y106" i="35"/>
  <c r="AM106" i="35" s="1"/>
  <c r="AE106" i="35"/>
  <c r="X106" i="35"/>
  <c r="AB106" i="35"/>
  <c r="AD106" i="35"/>
  <c r="Z106" i="35"/>
  <c r="AC106" i="35"/>
  <c r="AA106" i="35"/>
  <c r="R106" i="35"/>
  <c r="Y70" i="35"/>
  <c r="AM70" i="35" s="1"/>
  <c r="X70" i="35"/>
  <c r="AE70" i="35"/>
  <c r="AD70" i="35"/>
  <c r="AC70" i="35"/>
  <c r="Z70" i="35"/>
  <c r="AB70" i="35"/>
  <c r="AA70" i="35"/>
  <c r="R70" i="35"/>
  <c r="Y56" i="35"/>
  <c r="AM56" i="35" s="1"/>
  <c r="X56" i="35"/>
  <c r="AD56" i="35"/>
  <c r="AE56" i="35"/>
  <c r="Z56" i="35"/>
  <c r="AB56" i="35"/>
  <c r="AC56" i="35"/>
  <c r="AA56" i="35"/>
  <c r="R56" i="35"/>
  <c r="T56" i="35" s="1"/>
  <c r="Y24" i="35"/>
  <c r="AM24" i="35" s="1"/>
  <c r="X24" i="35"/>
  <c r="AD24" i="35"/>
  <c r="AE24" i="35"/>
  <c r="AB24" i="35"/>
  <c r="AC24" i="35"/>
  <c r="Z24" i="35"/>
  <c r="AA24" i="35"/>
  <c r="R24" i="35"/>
  <c r="T24" i="35" s="1"/>
  <c r="V24" i="35" s="1"/>
  <c r="Y694" i="35"/>
  <c r="X694" i="35"/>
  <c r="AE694" i="35"/>
  <c r="AD694" i="35"/>
  <c r="Z694" i="35"/>
  <c r="AA694" i="35"/>
  <c r="AB694" i="35"/>
  <c r="R694" i="35"/>
  <c r="Y670" i="35"/>
  <c r="X670" i="35"/>
  <c r="AE670" i="35"/>
  <c r="AD670" i="35"/>
  <c r="AB670" i="35"/>
  <c r="Z670" i="35"/>
  <c r="AA670" i="35"/>
  <c r="R670" i="35"/>
  <c r="Y654" i="35"/>
  <c r="AE654" i="35"/>
  <c r="AD654" i="35"/>
  <c r="X654" i="35"/>
  <c r="AB654" i="35"/>
  <c r="AA654" i="35"/>
  <c r="Z654" i="35"/>
  <c r="R654" i="35"/>
  <c r="Y648" i="35"/>
  <c r="X648" i="35"/>
  <c r="AE648" i="35"/>
  <c r="AD648" i="35"/>
  <c r="AB648" i="35"/>
  <c r="AA648" i="35"/>
  <c r="Z648" i="35"/>
  <c r="R648" i="35"/>
  <c r="X596" i="35"/>
  <c r="Y596" i="35"/>
  <c r="AE596" i="35"/>
  <c r="AD596" i="35"/>
  <c r="AB596" i="35"/>
  <c r="Z596" i="35"/>
  <c r="AA596" i="35"/>
  <c r="R596" i="35"/>
  <c r="Y592" i="35"/>
  <c r="AE592" i="35"/>
  <c r="X592" i="35"/>
  <c r="AD592" i="35"/>
  <c r="AB592" i="35"/>
  <c r="Z592" i="35"/>
  <c r="AA592" i="35"/>
  <c r="R592" i="35"/>
  <c r="X586" i="35"/>
  <c r="Y586" i="35"/>
  <c r="AE586" i="35"/>
  <c r="AD586" i="35"/>
  <c r="AB586" i="35"/>
  <c r="Z586" i="35"/>
  <c r="R586" i="35"/>
  <c r="AA586" i="35"/>
  <c r="X572" i="35"/>
  <c r="Y572" i="35"/>
  <c r="AE572" i="35"/>
  <c r="AD572" i="35"/>
  <c r="AB572" i="35"/>
  <c r="Z572" i="35"/>
  <c r="AA572" i="35"/>
  <c r="R572" i="35"/>
  <c r="Y566" i="35"/>
  <c r="X566" i="35"/>
  <c r="AE566" i="35"/>
  <c r="AD566" i="35"/>
  <c r="Z566" i="35"/>
  <c r="AA566" i="35"/>
  <c r="AB566" i="35"/>
  <c r="R566" i="35"/>
  <c r="Y546" i="35"/>
  <c r="X546" i="35"/>
  <c r="AE546" i="35"/>
  <c r="AD546" i="35"/>
  <c r="AB546" i="35"/>
  <c r="Z546" i="35"/>
  <c r="R546" i="35"/>
  <c r="AA546" i="35"/>
  <c r="X540" i="35"/>
  <c r="Y540" i="35"/>
  <c r="AE540" i="35"/>
  <c r="AD540" i="35"/>
  <c r="AB540" i="35"/>
  <c r="Z540" i="35"/>
  <c r="AA540" i="35"/>
  <c r="R540" i="35"/>
  <c r="Y510" i="35"/>
  <c r="X510" i="35"/>
  <c r="AE510" i="35"/>
  <c r="AD510" i="35"/>
  <c r="AB510" i="35"/>
  <c r="Z510" i="35"/>
  <c r="AA510" i="35"/>
  <c r="R510" i="35"/>
  <c r="Y139" i="35"/>
  <c r="X139" i="35"/>
  <c r="AE139" i="35"/>
  <c r="AD139" i="35"/>
  <c r="AC139" i="35"/>
  <c r="AB139" i="35"/>
  <c r="Z139" i="35"/>
  <c r="AA139" i="35"/>
  <c r="R139" i="35"/>
  <c r="Y135" i="35"/>
  <c r="X135" i="35"/>
  <c r="AD135" i="35"/>
  <c r="AE135" i="35"/>
  <c r="AC135" i="35"/>
  <c r="AB135" i="35"/>
  <c r="Z135" i="35"/>
  <c r="AA135" i="35"/>
  <c r="R135" i="35"/>
  <c r="T135" i="35" s="1"/>
  <c r="Y125" i="35"/>
  <c r="X125" i="35"/>
  <c r="AE125" i="35"/>
  <c r="AD125" i="35"/>
  <c r="AC125" i="35"/>
  <c r="AB125" i="35"/>
  <c r="Z125" i="35"/>
  <c r="AA125" i="35"/>
  <c r="R125" i="35"/>
  <c r="T125" i="35" s="1"/>
  <c r="Y119" i="35"/>
  <c r="AM119" i="35" s="1"/>
  <c r="X119" i="35"/>
  <c r="AD119" i="35"/>
  <c r="AE119" i="35"/>
  <c r="AC119" i="35"/>
  <c r="AB119" i="35"/>
  <c r="Z119" i="35"/>
  <c r="AA119" i="35"/>
  <c r="R119" i="35"/>
  <c r="T119" i="35" s="1"/>
  <c r="Y115" i="35"/>
  <c r="X115" i="35"/>
  <c r="AE115" i="35"/>
  <c r="AC115" i="35"/>
  <c r="AB115" i="35"/>
  <c r="AD115" i="35"/>
  <c r="Z115" i="35"/>
  <c r="AA115" i="35"/>
  <c r="R115" i="35"/>
  <c r="Y109" i="35"/>
  <c r="X109" i="35"/>
  <c r="AE109" i="35"/>
  <c r="AD109" i="35"/>
  <c r="AC109" i="35"/>
  <c r="AB109" i="35"/>
  <c r="Z109" i="35"/>
  <c r="AA109" i="35"/>
  <c r="R109" i="35"/>
  <c r="T109" i="35" s="1"/>
  <c r="S106" i="35"/>
  <c r="U106" i="35" s="1"/>
  <c r="Y103" i="35"/>
  <c r="X103" i="35"/>
  <c r="AD103" i="35"/>
  <c r="AE103" i="35"/>
  <c r="AC103" i="35"/>
  <c r="AB103" i="35"/>
  <c r="Z103" i="35"/>
  <c r="AA103" i="35"/>
  <c r="R103" i="35"/>
  <c r="T103" i="35" s="1"/>
  <c r="Y97" i="35"/>
  <c r="X97" i="35"/>
  <c r="AE97" i="35"/>
  <c r="AD97" i="35"/>
  <c r="AC97" i="35"/>
  <c r="AB97" i="35"/>
  <c r="Z97" i="35"/>
  <c r="R97" i="35"/>
  <c r="T97" i="35" s="1"/>
  <c r="AA97" i="35"/>
  <c r="Y93" i="35"/>
  <c r="X93" i="35"/>
  <c r="AE93" i="35"/>
  <c r="AD93" i="35"/>
  <c r="AC93" i="35"/>
  <c r="AB93" i="35"/>
  <c r="Z93" i="35"/>
  <c r="AA93" i="35"/>
  <c r="R93" i="35"/>
  <c r="Y89" i="35"/>
  <c r="X89" i="35"/>
  <c r="AD89" i="35"/>
  <c r="AC89" i="35"/>
  <c r="AB89" i="35"/>
  <c r="Z89" i="35"/>
  <c r="AE89" i="35"/>
  <c r="R89" i="35"/>
  <c r="T89" i="35" s="1"/>
  <c r="AA89" i="35"/>
  <c r="S86" i="35"/>
  <c r="S82" i="35"/>
  <c r="Y79" i="35"/>
  <c r="X79" i="35"/>
  <c r="AE79" i="35"/>
  <c r="AD79" i="35"/>
  <c r="Z79" i="35"/>
  <c r="AC79" i="35"/>
  <c r="AB79" i="35"/>
  <c r="AA79" i="35"/>
  <c r="R79" i="35"/>
  <c r="T79" i="35" s="1"/>
  <c r="V79" i="35" s="1"/>
  <c r="Y69" i="35"/>
  <c r="X69" i="35"/>
  <c r="AE69" i="35"/>
  <c r="AD69" i="35"/>
  <c r="AC69" i="35"/>
  <c r="AB69" i="35"/>
  <c r="Z69" i="35"/>
  <c r="AA69" i="35"/>
  <c r="R69" i="35"/>
  <c r="T69" i="35" s="1"/>
  <c r="Y63" i="35"/>
  <c r="X63" i="35"/>
  <c r="AE63" i="35"/>
  <c r="AD63" i="35"/>
  <c r="Z63" i="35"/>
  <c r="AC63" i="35"/>
  <c r="AB63" i="35"/>
  <c r="AA63" i="35"/>
  <c r="R63" i="35"/>
  <c r="S58" i="35"/>
  <c r="U58" i="35" s="1"/>
  <c r="Y55" i="35"/>
  <c r="X55" i="35"/>
  <c r="AD55" i="35"/>
  <c r="AE55" i="35"/>
  <c r="Z55" i="35"/>
  <c r="AC55" i="35"/>
  <c r="AB55" i="35"/>
  <c r="AA55" i="35"/>
  <c r="R55" i="35"/>
  <c r="T55" i="35" s="1"/>
  <c r="S44" i="35"/>
  <c r="U44" i="35" s="1"/>
  <c r="Y41" i="35"/>
  <c r="AM41" i="35" s="1"/>
  <c r="X41" i="35"/>
  <c r="AD41" i="35"/>
  <c r="AE41" i="35"/>
  <c r="AC41" i="35"/>
  <c r="AB41" i="35"/>
  <c r="Z41" i="35"/>
  <c r="AA41" i="35"/>
  <c r="R41" i="35"/>
  <c r="T41" i="35" s="1"/>
  <c r="Y37" i="35"/>
  <c r="X37" i="35"/>
  <c r="AE37" i="35"/>
  <c r="AD37" i="35"/>
  <c r="AC37" i="35"/>
  <c r="AB37" i="35"/>
  <c r="Z37" i="35"/>
  <c r="AA37" i="35"/>
  <c r="R37" i="35"/>
  <c r="Y33" i="35"/>
  <c r="X33" i="35"/>
  <c r="AE33" i="35"/>
  <c r="AD33" i="35"/>
  <c r="AC33" i="35"/>
  <c r="AB33" i="35"/>
  <c r="Z33" i="35"/>
  <c r="AA33" i="35"/>
  <c r="R33" i="35"/>
  <c r="T33" i="35" s="1"/>
  <c r="Y29" i="35"/>
  <c r="X29" i="35"/>
  <c r="AE29" i="35"/>
  <c r="AD29" i="35"/>
  <c r="AC29" i="35"/>
  <c r="AB29" i="35"/>
  <c r="Z29" i="35"/>
  <c r="AA29" i="35"/>
  <c r="R29" i="35"/>
  <c r="T29" i="35" s="1"/>
  <c r="Y21" i="35"/>
  <c r="X21" i="35"/>
  <c r="AE21" i="35"/>
  <c r="AD21" i="35"/>
  <c r="AC21" i="35"/>
  <c r="Z21" i="35"/>
  <c r="AB21" i="35"/>
  <c r="AA21" i="35"/>
  <c r="R21" i="35"/>
  <c r="T21" i="35" s="1"/>
  <c r="Y701" i="35"/>
  <c r="X701" i="35"/>
  <c r="AE701" i="35"/>
  <c r="AD701" i="35"/>
  <c r="AB701" i="35"/>
  <c r="Z701" i="35"/>
  <c r="R701" i="35"/>
  <c r="T701" i="35" s="1"/>
  <c r="V701" i="35" s="1"/>
  <c r="AA701" i="35"/>
  <c r="S698" i="35"/>
  <c r="U698" i="35" s="1"/>
  <c r="S696" i="35"/>
  <c r="U696" i="35" s="1"/>
  <c r="Y691" i="35"/>
  <c r="X691" i="35"/>
  <c r="AE691" i="35"/>
  <c r="AB691" i="35"/>
  <c r="AD691" i="35"/>
  <c r="Z691" i="35"/>
  <c r="AA691" i="35"/>
  <c r="R691" i="35"/>
  <c r="Y685" i="35"/>
  <c r="X685" i="35"/>
  <c r="AD685" i="35"/>
  <c r="AB685" i="35"/>
  <c r="AE685" i="35"/>
  <c r="Z685" i="35"/>
  <c r="R685" i="35"/>
  <c r="T685" i="35" s="1"/>
  <c r="V685" i="35" s="1"/>
  <c r="AA685" i="35"/>
  <c r="S682" i="35"/>
  <c r="S680" i="35"/>
  <c r="U680" i="35" s="1"/>
  <c r="S678" i="35"/>
  <c r="S676" i="35"/>
  <c r="U676" i="35" s="1"/>
  <c r="X671" i="35"/>
  <c r="Y671" i="35"/>
  <c r="AE671" i="35"/>
  <c r="AD671" i="35"/>
  <c r="AB671" i="35"/>
  <c r="Z671" i="35"/>
  <c r="AA671" i="35"/>
  <c r="R671" i="35"/>
  <c r="S668" i="35"/>
  <c r="U668" i="35" s="1"/>
  <c r="Y661" i="35"/>
  <c r="X661" i="35"/>
  <c r="AE661" i="35"/>
  <c r="AD661" i="35"/>
  <c r="AB661" i="35"/>
  <c r="Z661" i="35"/>
  <c r="AA661" i="35"/>
  <c r="R661" i="35"/>
  <c r="T661" i="35" s="1"/>
  <c r="V661" i="35" s="1"/>
  <c r="S660" i="35"/>
  <c r="U660" i="35" s="1"/>
  <c r="S658" i="35"/>
  <c r="U658" i="35" s="1"/>
  <c r="S656" i="35"/>
  <c r="U656" i="35" s="1"/>
  <c r="S654" i="35"/>
  <c r="Y649" i="35"/>
  <c r="X649" i="35"/>
  <c r="AE649" i="35"/>
  <c r="AB649" i="35"/>
  <c r="AD649" i="35"/>
  <c r="Z649" i="35"/>
  <c r="R649" i="35"/>
  <c r="T649" i="35" s="1"/>
  <c r="V649" i="35" s="1"/>
  <c r="AA649" i="35"/>
  <c r="S646" i="35"/>
  <c r="U646" i="35" s="1"/>
  <c r="Y641" i="35"/>
  <c r="X641" i="35"/>
  <c r="AE641" i="35"/>
  <c r="AB641" i="35"/>
  <c r="AD641" i="35"/>
  <c r="Z641" i="35"/>
  <c r="R641" i="35"/>
  <c r="T641" i="35" s="1"/>
  <c r="V641" i="35" s="1"/>
  <c r="AA641" i="35"/>
  <c r="S638" i="35"/>
  <c r="Y633" i="35"/>
  <c r="X633" i="35"/>
  <c r="AE633" i="35"/>
  <c r="AB633" i="35"/>
  <c r="AD633" i="35"/>
  <c r="Z633" i="35"/>
  <c r="R633" i="35"/>
  <c r="T633" i="35" s="1"/>
  <c r="V633" i="35" s="1"/>
  <c r="AA633" i="35"/>
  <c r="S630" i="35"/>
  <c r="U630" i="35" s="1"/>
  <c r="S628" i="35"/>
  <c r="U628" i="35" s="1"/>
  <c r="S626" i="35"/>
  <c r="U626" i="35" s="1"/>
  <c r="S624" i="35"/>
  <c r="U624" i="35" s="1"/>
  <c r="X619" i="35"/>
  <c r="Y619" i="35"/>
  <c r="AE619" i="35"/>
  <c r="AB619" i="35"/>
  <c r="AD619" i="35"/>
  <c r="Z619" i="35"/>
  <c r="AA619" i="35"/>
  <c r="R619" i="35"/>
  <c r="T619" i="35" s="1"/>
  <c r="V619" i="35" s="1"/>
  <c r="S616" i="35"/>
  <c r="U616" i="35" s="1"/>
  <c r="S614" i="35"/>
  <c r="U614" i="35" s="1"/>
  <c r="S612" i="35"/>
  <c r="U612" i="35" s="1"/>
  <c r="S608" i="35"/>
  <c r="Y603" i="35"/>
  <c r="X603" i="35"/>
  <c r="AB603" i="35"/>
  <c r="AD603" i="35"/>
  <c r="AE603" i="35"/>
  <c r="Z603" i="35"/>
  <c r="AA603" i="35"/>
  <c r="R603" i="35"/>
  <c r="Y597" i="35"/>
  <c r="X597" i="35"/>
  <c r="AD597" i="35"/>
  <c r="AB597" i="35"/>
  <c r="AE597" i="35"/>
  <c r="Z597" i="35"/>
  <c r="R597" i="35"/>
  <c r="AA597" i="35"/>
  <c r="X591" i="35"/>
  <c r="Y591" i="35"/>
  <c r="AE591" i="35"/>
  <c r="AD591" i="35"/>
  <c r="AB591" i="35"/>
  <c r="Z591" i="35"/>
  <c r="AA591" i="35"/>
  <c r="R591" i="35"/>
  <c r="X585" i="35"/>
  <c r="Y585" i="35"/>
  <c r="AE585" i="35"/>
  <c r="AB585" i="35"/>
  <c r="AD585" i="35"/>
  <c r="Z585" i="35"/>
  <c r="R585" i="35"/>
  <c r="T585" i="35" s="1"/>
  <c r="V585" i="35" s="1"/>
  <c r="AA585" i="35"/>
  <c r="Y579" i="35"/>
  <c r="X579" i="35"/>
  <c r="AE579" i="35"/>
  <c r="AB579" i="35"/>
  <c r="Z579" i="35"/>
  <c r="AD579" i="35"/>
  <c r="AA579" i="35"/>
  <c r="R579" i="35"/>
  <c r="Y573" i="35"/>
  <c r="X573" i="35"/>
  <c r="AE573" i="35"/>
  <c r="AD573" i="35"/>
  <c r="AB573" i="35"/>
  <c r="Z573" i="35"/>
  <c r="R573" i="35"/>
  <c r="T573" i="35" s="1"/>
  <c r="V573" i="35" s="1"/>
  <c r="AA573" i="35"/>
  <c r="X567" i="35"/>
  <c r="Y567" i="35"/>
  <c r="AE567" i="35"/>
  <c r="AD567" i="35"/>
  <c r="AB567" i="35"/>
  <c r="Z567" i="35"/>
  <c r="AA567" i="35"/>
  <c r="R567" i="35"/>
  <c r="S564" i="35"/>
  <c r="U564" i="35" s="1"/>
  <c r="S562" i="35"/>
  <c r="U562" i="35" s="1"/>
  <c r="Y557" i="35"/>
  <c r="X557" i="35"/>
  <c r="AD557" i="35"/>
  <c r="AB557" i="35"/>
  <c r="AE557" i="35"/>
  <c r="Z557" i="35"/>
  <c r="AA557" i="35"/>
  <c r="R557" i="35"/>
  <c r="S554" i="35"/>
  <c r="U554" i="35" s="1"/>
  <c r="X551" i="35"/>
  <c r="Y551" i="35"/>
  <c r="AE551" i="35"/>
  <c r="AD551" i="35"/>
  <c r="AB551" i="35"/>
  <c r="Z551" i="35"/>
  <c r="AA551" i="35"/>
  <c r="R551" i="35"/>
  <c r="T551" i="35" s="1"/>
  <c r="V551" i="35" s="1"/>
  <c r="S548" i="35"/>
  <c r="U548" i="35" s="1"/>
  <c r="S546" i="35"/>
  <c r="U546" i="35" s="1"/>
  <c r="Y541" i="35"/>
  <c r="X541" i="35"/>
  <c r="AE541" i="35"/>
  <c r="AD541" i="35"/>
  <c r="AB541" i="35"/>
  <c r="Z541" i="35"/>
  <c r="R541" i="35"/>
  <c r="T541" i="35" s="1"/>
  <c r="V541" i="35" s="1"/>
  <c r="AA541" i="35"/>
  <c r="X535" i="35"/>
  <c r="Y535" i="35"/>
  <c r="AE535" i="35"/>
  <c r="AD535" i="35"/>
  <c r="AB535" i="35"/>
  <c r="Z535" i="35"/>
  <c r="AA535" i="35"/>
  <c r="R535" i="35"/>
  <c r="Y529" i="35"/>
  <c r="X529" i="35"/>
  <c r="AE529" i="35"/>
  <c r="AB529" i="35"/>
  <c r="AD529" i="35"/>
  <c r="Z529" i="35"/>
  <c r="R529" i="35"/>
  <c r="AA529" i="35"/>
  <c r="S526" i="35"/>
  <c r="U526" i="35" s="1"/>
  <c r="Y521" i="35"/>
  <c r="X521" i="35"/>
  <c r="AE521" i="35"/>
  <c r="AD521" i="35"/>
  <c r="AB521" i="35"/>
  <c r="Z521" i="35"/>
  <c r="R521" i="35"/>
  <c r="T521" i="35" s="1"/>
  <c r="V521" i="35" s="1"/>
  <c r="AA521" i="35"/>
  <c r="S518" i="35"/>
  <c r="U518" i="35" s="1"/>
  <c r="Y515" i="35"/>
  <c r="X515" i="35"/>
  <c r="AD515" i="35"/>
  <c r="AB515" i="35"/>
  <c r="Z515" i="35"/>
  <c r="AA515" i="35"/>
  <c r="R515" i="35"/>
  <c r="AE515" i="35"/>
  <c r="S512" i="35"/>
  <c r="S510" i="35"/>
  <c r="U510" i="35" s="1"/>
  <c r="S508" i="35"/>
  <c r="U508" i="35" s="1"/>
  <c r="Y503" i="35"/>
  <c r="X503" i="35"/>
  <c r="AE503" i="35"/>
  <c r="AD503" i="35"/>
  <c r="AB503" i="35"/>
  <c r="Z503" i="35"/>
  <c r="AA503" i="35"/>
  <c r="R503" i="35"/>
  <c r="T503" i="35" s="1"/>
  <c r="V503" i="35" s="1"/>
  <c r="S500" i="35"/>
  <c r="U500" i="35" s="1"/>
  <c r="S498" i="35"/>
  <c r="U498" i="35" s="1"/>
  <c r="Y493" i="35"/>
  <c r="X493" i="35"/>
  <c r="AE493" i="35"/>
  <c r="AD493" i="35"/>
  <c r="AB493" i="35"/>
  <c r="Z493" i="35"/>
  <c r="AA493" i="35"/>
  <c r="R493" i="35"/>
  <c r="T493" i="35" s="1"/>
  <c r="V493" i="35" s="1"/>
  <c r="Y487" i="35"/>
  <c r="X487" i="35"/>
  <c r="AE487" i="35"/>
  <c r="AD487" i="35"/>
  <c r="AB487" i="35"/>
  <c r="Z487" i="35"/>
  <c r="AA487" i="35"/>
  <c r="R487" i="35"/>
  <c r="T487" i="35" s="1"/>
  <c r="V487" i="35" s="1"/>
  <c r="S484" i="35"/>
  <c r="U484" i="35" s="1"/>
  <c r="S482" i="35"/>
  <c r="U482" i="35" s="1"/>
  <c r="S480" i="35"/>
  <c r="U480" i="35" s="1"/>
  <c r="Y475" i="35"/>
  <c r="X475" i="35"/>
  <c r="AD475" i="35"/>
  <c r="AB475" i="35"/>
  <c r="AE475" i="35"/>
  <c r="Z475" i="35"/>
  <c r="R475" i="35"/>
  <c r="T475" i="35" s="1"/>
  <c r="V475" i="35" s="1"/>
  <c r="AA475" i="35"/>
  <c r="X469" i="35"/>
  <c r="Y469" i="35"/>
  <c r="AB469" i="35"/>
  <c r="AD469" i="35"/>
  <c r="AE469" i="35"/>
  <c r="Z469" i="35"/>
  <c r="AA469" i="35"/>
  <c r="R469" i="35"/>
  <c r="T469" i="35" s="1"/>
  <c r="V469" i="35" s="1"/>
  <c r="Y463" i="35"/>
  <c r="X463" i="35"/>
  <c r="AE463" i="35"/>
  <c r="AD463" i="35"/>
  <c r="AB463" i="35"/>
  <c r="Z463" i="35"/>
  <c r="AA463" i="35"/>
  <c r="R463" i="35"/>
  <c r="S460" i="35"/>
  <c r="Y455" i="35"/>
  <c r="X455" i="35"/>
  <c r="AE455" i="35"/>
  <c r="AD455" i="35"/>
  <c r="AB455" i="35"/>
  <c r="Z455" i="35"/>
  <c r="AA455" i="35"/>
  <c r="R455" i="35"/>
  <c r="Y451" i="35"/>
  <c r="X451" i="35"/>
  <c r="AD451" i="35"/>
  <c r="AE451" i="35"/>
  <c r="AB451" i="35"/>
  <c r="Z451" i="35"/>
  <c r="AA451" i="35"/>
  <c r="R451" i="35"/>
  <c r="Y447" i="35"/>
  <c r="X447" i="35"/>
  <c r="AE447" i="35"/>
  <c r="AD447" i="35"/>
  <c r="AB447" i="35"/>
  <c r="Z447" i="35"/>
  <c r="AA447" i="35"/>
  <c r="R447" i="35"/>
  <c r="Y443" i="35"/>
  <c r="X443" i="35"/>
  <c r="AD443" i="35"/>
  <c r="AE443" i="35"/>
  <c r="AB443" i="35"/>
  <c r="Z443" i="35"/>
  <c r="AA443" i="35"/>
  <c r="R443" i="35"/>
  <c r="S442" i="35"/>
  <c r="U442" i="35" s="1"/>
  <c r="S440" i="35"/>
  <c r="U440" i="35" s="1"/>
  <c r="S438" i="35"/>
  <c r="U438" i="35" s="1"/>
  <c r="Y433" i="35"/>
  <c r="X433" i="35"/>
  <c r="AE433" i="35"/>
  <c r="AD433" i="35"/>
  <c r="AB433" i="35"/>
  <c r="Z433" i="35"/>
  <c r="R433" i="35"/>
  <c r="T433" i="35" s="1"/>
  <c r="V433" i="35" s="1"/>
  <c r="AA433" i="35"/>
  <c r="Y429" i="35"/>
  <c r="X429" i="35"/>
  <c r="AD429" i="35"/>
  <c r="AB429" i="35"/>
  <c r="AE429" i="35"/>
  <c r="Z429" i="35"/>
  <c r="AA429" i="35"/>
  <c r="R429" i="35"/>
  <c r="Y423" i="35"/>
  <c r="X423" i="35"/>
  <c r="AE423" i="35"/>
  <c r="AD423" i="35"/>
  <c r="AB423" i="35"/>
  <c r="Z423" i="35"/>
  <c r="AA423" i="35"/>
  <c r="R423" i="35"/>
  <c r="T423" i="35" s="1"/>
  <c r="V423" i="35" s="1"/>
  <c r="Y419" i="35"/>
  <c r="X419" i="35"/>
  <c r="AD419" i="35"/>
  <c r="AB419" i="35"/>
  <c r="AE419" i="35"/>
  <c r="Z419" i="35"/>
  <c r="AA419" i="35"/>
  <c r="R419" i="35"/>
  <c r="S418" i="35"/>
  <c r="U418" i="35" s="1"/>
  <c r="S416" i="35"/>
  <c r="U416" i="35" s="1"/>
  <c r="S414" i="35"/>
  <c r="U414" i="35" s="1"/>
  <c r="S412" i="35"/>
  <c r="U412" i="35" s="1"/>
  <c r="Y409" i="35"/>
  <c r="X409" i="35"/>
  <c r="AE409" i="35"/>
  <c r="AD409" i="35"/>
  <c r="AB409" i="35"/>
  <c r="Z409" i="35"/>
  <c r="R409" i="35"/>
  <c r="T409" i="35" s="1"/>
  <c r="V409" i="35" s="1"/>
  <c r="AA409" i="35"/>
  <c r="Y403" i="35"/>
  <c r="X403" i="35"/>
  <c r="AE403" i="35"/>
  <c r="AB403" i="35"/>
  <c r="AD403" i="35"/>
  <c r="Z403" i="35"/>
  <c r="AA403" i="35"/>
  <c r="R403" i="35"/>
  <c r="T403" i="35" s="1"/>
  <c r="V403" i="35" s="1"/>
  <c r="Y397" i="35"/>
  <c r="X397" i="35"/>
  <c r="AD397" i="35"/>
  <c r="AE397" i="35"/>
  <c r="AB397" i="35"/>
  <c r="Z397" i="35"/>
  <c r="AA397" i="35"/>
  <c r="R397" i="35"/>
  <c r="S394" i="35"/>
  <c r="Y389" i="35"/>
  <c r="X389" i="35"/>
  <c r="AD389" i="35"/>
  <c r="AE389" i="35"/>
  <c r="AB389" i="35"/>
  <c r="Z389" i="35"/>
  <c r="AA389" i="35"/>
  <c r="R389" i="35"/>
  <c r="Y383" i="35"/>
  <c r="X383" i="35"/>
  <c r="AE383" i="35"/>
  <c r="AD383" i="35"/>
  <c r="AB383" i="35"/>
  <c r="Z383" i="35"/>
  <c r="AA383" i="35"/>
  <c r="R383" i="35"/>
  <c r="Y377" i="35"/>
  <c r="X377" i="35"/>
  <c r="AE377" i="35"/>
  <c r="AD377" i="35"/>
  <c r="AB377" i="35"/>
  <c r="Z377" i="35"/>
  <c r="R377" i="35"/>
  <c r="AA377" i="35"/>
  <c r="Y371" i="35"/>
  <c r="X371" i="35"/>
  <c r="AE371" i="35"/>
  <c r="AB371" i="35"/>
  <c r="AD371" i="35"/>
  <c r="Z371" i="35"/>
  <c r="AA371" i="35"/>
  <c r="R371" i="35"/>
  <c r="N464" i="35"/>
  <c r="O464" i="35" s="1"/>
  <c r="N462" i="35"/>
  <c r="O462" i="35" s="1"/>
  <c r="N460" i="35"/>
  <c r="O460" i="35" s="1"/>
  <c r="N458" i="35"/>
  <c r="O458" i="35" s="1"/>
  <c r="N456" i="35"/>
  <c r="O456" i="35" s="1"/>
  <c r="N454" i="35"/>
  <c r="O454" i="35" s="1"/>
  <c r="N452" i="35"/>
  <c r="O452" i="35" s="1"/>
  <c r="N450" i="35"/>
  <c r="O450" i="35" s="1"/>
  <c r="N448" i="35"/>
  <c r="O448" i="35" s="1"/>
  <c r="N446" i="35"/>
  <c r="O446" i="35" s="1"/>
  <c r="N444" i="35"/>
  <c r="O444" i="35" s="1"/>
  <c r="N442" i="35"/>
  <c r="O442" i="35" s="1"/>
  <c r="N440" i="35"/>
  <c r="O440" i="35" s="1"/>
  <c r="N438" i="35"/>
  <c r="O438" i="35" s="1"/>
  <c r="N436" i="35"/>
  <c r="O436" i="35" s="1"/>
  <c r="N434" i="35"/>
  <c r="O434" i="35" s="1"/>
  <c r="N432" i="35"/>
  <c r="O432" i="35" s="1"/>
  <c r="N180" i="35"/>
  <c r="O180" i="35" s="1"/>
  <c r="N178" i="35"/>
  <c r="O178" i="35" s="1"/>
  <c r="N176" i="35"/>
  <c r="O176" i="35" s="1"/>
  <c r="N174" i="35"/>
  <c r="O174" i="35" s="1"/>
  <c r="N172" i="35"/>
  <c r="O172" i="35" s="1"/>
  <c r="N170" i="35"/>
  <c r="O170" i="35" s="1"/>
  <c r="N168" i="35"/>
  <c r="O168" i="35" s="1"/>
  <c r="N166" i="35"/>
  <c r="O166" i="35" s="1"/>
  <c r="N164" i="35"/>
  <c r="O164" i="35" s="1"/>
  <c r="N162" i="35"/>
  <c r="O162" i="35" s="1"/>
  <c r="N160" i="35"/>
  <c r="O160" i="35" s="1"/>
  <c r="N158" i="35"/>
  <c r="O158" i="35" s="1"/>
  <c r="N156" i="35"/>
  <c r="O156" i="35" s="1"/>
  <c r="N154" i="35"/>
  <c r="O154" i="35" s="1"/>
  <c r="N152" i="35"/>
  <c r="O152" i="35" s="1"/>
  <c r="N150" i="35"/>
  <c r="O150" i="35" s="1"/>
  <c r="N148" i="35"/>
  <c r="O148" i="35" s="1"/>
  <c r="N146" i="35"/>
  <c r="O146" i="35" s="1"/>
  <c r="N144" i="35"/>
  <c r="O144" i="35" s="1"/>
  <c r="N142" i="35"/>
  <c r="O142" i="35" s="1"/>
  <c r="N140" i="35"/>
  <c r="O140" i="35" s="1"/>
  <c r="X138" i="35"/>
  <c r="AE138" i="35"/>
  <c r="Y138" i="35"/>
  <c r="AM138" i="35" s="1"/>
  <c r="AD138" i="35"/>
  <c r="AC138" i="35"/>
  <c r="AB138" i="35"/>
  <c r="Z138" i="35"/>
  <c r="AA138" i="35"/>
  <c r="R138" i="35"/>
  <c r="X128" i="35"/>
  <c r="Y128" i="35"/>
  <c r="AM128" i="35" s="1"/>
  <c r="AE128" i="35"/>
  <c r="AD128" i="35"/>
  <c r="Z128" i="35"/>
  <c r="AC128" i="35"/>
  <c r="AB128" i="35"/>
  <c r="AA128" i="35"/>
  <c r="R128" i="35"/>
  <c r="Y122" i="35"/>
  <c r="AM122" i="35" s="1"/>
  <c r="AE122" i="35"/>
  <c r="X122" i="35"/>
  <c r="AD122" i="35"/>
  <c r="AB122" i="35"/>
  <c r="Z122" i="35"/>
  <c r="AC122" i="35"/>
  <c r="AA122" i="35"/>
  <c r="R122" i="35"/>
  <c r="T122" i="35" s="1"/>
  <c r="Y108" i="35"/>
  <c r="AM108" i="35" s="1"/>
  <c r="X108" i="35"/>
  <c r="AE108" i="35"/>
  <c r="AD108" i="35"/>
  <c r="AB108" i="35"/>
  <c r="AC108" i="35"/>
  <c r="Z108" i="35"/>
  <c r="AA108" i="35"/>
  <c r="R108" i="35"/>
  <c r="T108" i="35" s="1"/>
  <c r="Y90" i="35"/>
  <c r="AM90" i="35" s="1"/>
  <c r="X90" i="35"/>
  <c r="AE90" i="35"/>
  <c r="AD90" i="35"/>
  <c r="AB90" i="35"/>
  <c r="AC90" i="35"/>
  <c r="Z90" i="35"/>
  <c r="AA90" i="35"/>
  <c r="R90" i="35"/>
  <c r="T90" i="35" s="1"/>
  <c r="Y62" i="35"/>
  <c r="AM62" i="35" s="1"/>
  <c r="X62" i="35"/>
  <c r="AE62" i="35"/>
  <c r="AD62" i="35"/>
  <c r="AC62" i="35"/>
  <c r="AB62" i="35"/>
  <c r="Z62" i="35"/>
  <c r="AA62" i="35"/>
  <c r="R62" i="35"/>
  <c r="T62" i="35" s="1"/>
  <c r="Y696" i="35"/>
  <c r="X696" i="35"/>
  <c r="AE696" i="35"/>
  <c r="AD696" i="35"/>
  <c r="AB696" i="35"/>
  <c r="Z696" i="35"/>
  <c r="AA696" i="35"/>
  <c r="R696" i="35"/>
  <c r="Y688" i="35"/>
  <c r="X688" i="35"/>
  <c r="AE688" i="35"/>
  <c r="AD688" i="35"/>
  <c r="AB688" i="35"/>
  <c r="Z688" i="35"/>
  <c r="AA688" i="35"/>
  <c r="R688" i="35"/>
  <c r="Y680" i="35"/>
  <c r="X680" i="35"/>
  <c r="AE680" i="35"/>
  <c r="AD680" i="35"/>
  <c r="AB680" i="35"/>
  <c r="AA680" i="35"/>
  <c r="Z680" i="35"/>
  <c r="R680" i="35"/>
  <c r="Y672" i="35"/>
  <c r="X672" i="35"/>
  <c r="AE672" i="35"/>
  <c r="AB672" i="35"/>
  <c r="AD672" i="35"/>
  <c r="Z672" i="35"/>
  <c r="AA672" i="35"/>
  <c r="R672" i="35"/>
  <c r="Y664" i="35"/>
  <c r="X664" i="35"/>
  <c r="AE664" i="35"/>
  <c r="AD664" i="35"/>
  <c r="AB664" i="35"/>
  <c r="Z664" i="35"/>
  <c r="AA664" i="35"/>
  <c r="R664" i="35"/>
  <c r="Y656" i="35"/>
  <c r="X656" i="35"/>
  <c r="AE656" i="35"/>
  <c r="AD656" i="35"/>
  <c r="AB656" i="35"/>
  <c r="Z656" i="35"/>
  <c r="AA656" i="35"/>
  <c r="R656" i="35"/>
  <c r="Y638" i="35"/>
  <c r="X638" i="35"/>
  <c r="AE638" i="35"/>
  <c r="AD638" i="35"/>
  <c r="AB638" i="35"/>
  <c r="Z638" i="35"/>
  <c r="AA638" i="35"/>
  <c r="R638" i="35"/>
  <c r="Y630" i="35"/>
  <c r="X630" i="35"/>
  <c r="AE630" i="35"/>
  <c r="AD630" i="35"/>
  <c r="AB630" i="35"/>
  <c r="Z630" i="35"/>
  <c r="AA630" i="35"/>
  <c r="R630" i="35"/>
  <c r="X556" i="35"/>
  <c r="AD556" i="35"/>
  <c r="AB556" i="35"/>
  <c r="Z556" i="35"/>
  <c r="AA556" i="35"/>
  <c r="R556" i="35"/>
  <c r="Y556" i="35"/>
  <c r="AE556" i="35"/>
  <c r="Y534" i="35"/>
  <c r="X534" i="35"/>
  <c r="AE534" i="35"/>
  <c r="AD534" i="35"/>
  <c r="Z534" i="35"/>
  <c r="AB534" i="35"/>
  <c r="AA534" i="35"/>
  <c r="R534" i="35"/>
  <c r="Y133" i="35"/>
  <c r="X133" i="35"/>
  <c r="AE133" i="35"/>
  <c r="AD133" i="35"/>
  <c r="AC133" i="35"/>
  <c r="AB133" i="35"/>
  <c r="Z133" i="35"/>
  <c r="AA133" i="35"/>
  <c r="R133" i="35"/>
  <c r="T133" i="35" s="1"/>
  <c r="Y129" i="35"/>
  <c r="X129" i="35"/>
  <c r="AE129" i="35"/>
  <c r="AD129" i="35"/>
  <c r="AC129" i="35"/>
  <c r="AB129" i="35"/>
  <c r="Z129" i="35"/>
  <c r="R129" i="35"/>
  <c r="AA129" i="35"/>
  <c r="S126" i="35"/>
  <c r="U126" i="35" s="1"/>
  <c r="Y113" i="35"/>
  <c r="X113" i="35"/>
  <c r="AE113" i="35"/>
  <c r="AD113" i="35"/>
  <c r="AC113" i="35"/>
  <c r="AB113" i="35"/>
  <c r="Z113" i="35"/>
  <c r="R113" i="35"/>
  <c r="T113" i="35" s="1"/>
  <c r="AA113" i="35"/>
  <c r="Y99" i="35"/>
  <c r="X99" i="35"/>
  <c r="AE99" i="35"/>
  <c r="AD99" i="35"/>
  <c r="AC99" i="35"/>
  <c r="AB99" i="35"/>
  <c r="Z99" i="35"/>
  <c r="AA99" i="35"/>
  <c r="R99" i="35"/>
  <c r="T99" i="35" s="1"/>
  <c r="V99" i="35" s="1"/>
  <c r="Y95" i="35"/>
  <c r="X95" i="35"/>
  <c r="AE95" i="35"/>
  <c r="AD95" i="35"/>
  <c r="AB95" i="35"/>
  <c r="AA95" i="35"/>
  <c r="AC95" i="35"/>
  <c r="Z95" i="35"/>
  <c r="R95" i="35"/>
  <c r="T95" i="35" s="1"/>
  <c r="Y91" i="35"/>
  <c r="X91" i="35"/>
  <c r="AB91" i="35"/>
  <c r="AC91" i="35"/>
  <c r="AE91" i="35"/>
  <c r="Z91" i="35"/>
  <c r="AD91" i="35"/>
  <c r="AA91" i="35"/>
  <c r="R91" i="35"/>
  <c r="T91" i="35" s="1"/>
  <c r="Y85" i="35"/>
  <c r="X85" i="35"/>
  <c r="AE85" i="35"/>
  <c r="AD85" i="35"/>
  <c r="AC85" i="35"/>
  <c r="AB85" i="35"/>
  <c r="Z85" i="35"/>
  <c r="AA85" i="35"/>
  <c r="R85" i="35"/>
  <c r="T85" i="35" s="1"/>
  <c r="Y73" i="35"/>
  <c r="X73" i="35"/>
  <c r="AD73" i="35"/>
  <c r="AC73" i="35"/>
  <c r="AB73" i="35"/>
  <c r="AE73" i="35"/>
  <c r="Z73" i="35"/>
  <c r="R73" i="35"/>
  <c r="T73" i="35" s="1"/>
  <c r="AA73" i="35"/>
  <c r="Y71" i="35"/>
  <c r="X71" i="35"/>
  <c r="AD71" i="35"/>
  <c r="AE71" i="35"/>
  <c r="Z71" i="35"/>
  <c r="AC71" i="35"/>
  <c r="AB71" i="35"/>
  <c r="AA71" i="35"/>
  <c r="R71" i="35"/>
  <c r="T71" i="35" s="1"/>
  <c r="Y67" i="35"/>
  <c r="X67" i="35"/>
  <c r="AE67" i="35"/>
  <c r="AD67" i="35"/>
  <c r="AB67" i="35"/>
  <c r="AC67" i="35"/>
  <c r="Z67" i="35"/>
  <c r="AA67" i="35"/>
  <c r="R67" i="35"/>
  <c r="T67" i="35" s="1"/>
  <c r="Y25" i="35"/>
  <c r="X25" i="35"/>
  <c r="AD25" i="35"/>
  <c r="AC25" i="35"/>
  <c r="AB25" i="35"/>
  <c r="Z25" i="35"/>
  <c r="AA25" i="35"/>
  <c r="R25" i="35"/>
  <c r="T25" i="35" s="1"/>
  <c r="AE25" i="35"/>
  <c r="Y15" i="35"/>
  <c r="X15" i="35"/>
  <c r="AE15" i="35"/>
  <c r="AD15" i="35"/>
  <c r="AB15" i="35"/>
  <c r="Z15" i="35"/>
  <c r="AC15" i="35"/>
  <c r="AA15" i="35"/>
  <c r="R15" i="35"/>
  <c r="Y699" i="35"/>
  <c r="AE699" i="35"/>
  <c r="AD699" i="35"/>
  <c r="AB699" i="35"/>
  <c r="X699" i="35"/>
  <c r="Z699" i="35"/>
  <c r="AA699" i="35"/>
  <c r="R699" i="35"/>
  <c r="Y693" i="35"/>
  <c r="X693" i="35"/>
  <c r="AB693" i="35"/>
  <c r="AD693" i="35"/>
  <c r="Z693" i="35"/>
  <c r="AE693" i="35"/>
  <c r="AA693" i="35"/>
  <c r="R693" i="35"/>
  <c r="T693" i="35" s="1"/>
  <c r="V693" i="35" s="1"/>
  <c r="X687" i="35"/>
  <c r="AE687" i="35"/>
  <c r="AD687" i="35"/>
  <c r="Y687" i="35"/>
  <c r="AB687" i="35"/>
  <c r="Z687" i="35"/>
  <c r="AA687" i="35"/>
  <c r="R687" i="35"/>
  <c r="X681" i="35"/>
  <c r="Y681" i="35"/>
  <c r="AE681" i="35"/>
  <c r="AB681" i="35"/>
  <c r="Z681" i="35"/>
  <c r="R681" i="35"/>
  <c r="AD681" i="35"/>
  <c r="AA681" i="35"/>
  <c r="Y675" i="35"/>
  <c r="X675" i="35"/>
  <c r="AD675" i="35"/>
  <c r="AB675" i="35"/>
  <c r="AE675" i="35"/>
  <c r="Z675" i="35"/>
  <c r="AA675" i="35"/>
  <c r="R675" i="35"/>
  <c r="T675" i="35" s="1"/>
  <c r="V675" i="35" s="1"/>
  <c r="S672" i="35"/>
  <c r="U672" i="35" s="1"/>
  <c r="Y667" i="35"/>
  <c r="X667" i="35"/>
  <c r="AE667" i="35"/>
  <c r="AB667" i="35"/>
  <c r="AD667" i="35"/>
  <c r="Z667" i="35"/>
  <c r="AA667" i="35"/>
  <c r="R667" i="35"/>
  <c r="X663" i="35"/>
  <c r="Y663" i="35"/>
  <c r="AE663" i="35"/>
  <c r="AD663" i="35"/>
  <c r="AB663" i="35"/>
  <c r="Z663" i="35"/>
  <c r="AA663" i="35"/>
  <c r="R663" i="35"/>
  <c r="X655" i="35"/>
  <c r="Y655" i="35"/>
  <c r="AE655" i="35"/>
  <c r="AD655" i="35"/>
  <c r="AB655" i="35"/>
  <c r="Z655" i="35"/>
  <c r="AA655" i="35"/>
  <c r="R655" i="35"/>
  <c r="T655" i="35" s="1"/>
  <c r="V655" i="35" s="1"/>
  <c r="S652" i="35"/>
  <c r="U652" i="35" s="1"/>
  <c r="S650" i="35"/>
  <c r="U650" i="35" s="1"/>
  <c r="S648" i="35"/>
  <c r="U648" i="35" s="1"/>
  <c r="Y643" i="35"/>
  <c r="X643" i="35"/>
  <c r="AB643" i="35"/>
  <c r="AD643" i="35"/>
  <c r="Z643" i="35"/>
  <c r="AE643" i="35"/>
  <c r="AA643" i="35"/>
  <c r="R643" i="35"/>
  <c r="T643" i="35" s="1"/>
  <c r="V643" i="35" s="1"/>
  <c r="Y637" i="35"/>
  <c r="X637" i="35"/>
  <c r="AE637" i="35"/>
  <c r="AD637" i="35"/>
  <c r="AB637" i="35"/>
  <c r="Z637" i="35"/>
  <c r="AA637" i="35"/>
  <c r="R637" i="35"/>
  <c r="T637" i="35" s="1"/>
  <c r="V637" i="35" s="1"/>
  <c r="S634" i="35"/>
  <c r="U634" i="35" s="1"/>
  <c r="S632" i="35"/>
  <c r="U632" i="35" s="1"/>
  <c r="Y627" i="35"/>
  <c r="X627" i="35"/>
  <c r="AE627" i="35"/>
  <c r="AB627" i="35"/>
  <c r="AD627" i="35"/>
  <c r="Z627" i="35"/>
  <c r="AA627" i="35"/>
  <c r="R627" i="35"/>
  <c r="T627" i="35" s="1"/>
  <c r="V627" i="35" s="1"/>
  <c r="Y621" i="35"/>
  <c r="X621" i="35"/>
  <c r="AD621" i="35"/>
  <c r="AE621" i="35"/>
  <c r="AB621" i="35"/>
  <c r="Z621" i="35"/>
  <c r="AA621" i="35"/>
  <c r="R621" i="35"/>
  <c r="T621" i="35" s="1"/>
  <c r="V621" i="35" s="1"/>
  <c r="X615" i="35"/>
  <c r="Y615" i="35"/>
  <c r="AE615" i="35"/>
  <c r="AD615" i="35"/>
  <c r="AB615" i="35"/>
  <c r="Z615" i="35"/>
  <c r="AA615" i="35"/>
  <c r="R615" i="35"/>
  <c r="Y609" i="35"/>
  <c r="X609" i="35"/>
  <c r="AE609" i="35"/>
  <c r="AD609" i="35"/>
  <c r="AB609" i="35"/>
  <c r="Z609" i="35"/>
  <c r="R609" i="35"/>
  <c r="T609" i="35" s="1"/>
  <c r="V609" i="35" s="1"/>
  <c r="AA609" i="35"/>
  <c r="S606" i="35"/>
  <c r="U606" i="35" s="1"/>
  <c r="S604" i="35"/>
  <c r="U604" i="35" s="1"/>
  <c r="S602" i="35"/>
  <c r="U602" i="35" s="1"/>
  <c r="S600" i="35"/>
  <c r="U600" i="35" s="1"/>
  <c r="S598" i="35"/>
  <c r="U598" i="35" s="1"/>
  <c r="S596" i="35"/>
  <c r="U596" i="35" s="1"/>
  <c r="S594" i="35"/>
  <c r="U594" i="35" s="1"/>
  <c r="Y589" i="35"/>
  <c r="X589" i="35"/>
  <c r="AE589" i="35"/>
  <c r="AD589" i="35"/>
  <c r="AB589" i="35"/>
  <c r="Z589" i="35"/>
  <c r="AA589" i="35"/>
  <c r="R589" i="35"/>
  <c r="X583" i="35"/>
  <c r="Y583" i="35"/>
  <c r="AE583" i="35"/>
  <c r="AD583" i="35"/>
  <c r="AB583" i="35"/>
  <c r="Z583" i="35"/>
  <c r="AA583" i="35"/>
  <c r="R583" i="35"/>
  <c r="S580" i="35"/>
  <c r="U580" i="35" s="1"/>
  <c r="S578" i="35"/>
  <c r="S576" i="35"/>
  <c r="U576" i="35" s="1"/>
  <c r="S574" i="35"/>
  <c r="U574" i="35" s="1"/>
  <c r="Y569" i="35"/>
  <c r="X569" i="35"/>
  <c r="AE569" i="35"/>
  <c r="AD569" i="35"/>
  <c r="AB569" i="35"/>
  <c r="Z569" i="35"/>
  <c r="R569" i="35"/>
  <c r="T569" i="35" s="1"/>
  <c r="V569" i="35" s="1"/>
  <c r="AA569" i="35"/>
  <c r="Y563" i="35"/>
  <c r="X563" i="35"/>
  <c r="AE563" i="35"/>
  <c r="AD563" i="35"/>
  <c r="AB563" i="35"/>
  <c r="Z563" i="35"/>
  <c r="AA563" i="35"/>
  <c r="R563" i="35"/>
  <c r="S560" i="35"/>
  <c r="U560" i="35" s="1"/>
  <c r="S558" i="35"/>
  <c r="U558" i="35" s="1"/>
  <c r="S556" i="35"/>
  <c r="U556" i="35" s="1"/>
  <c r="Y549" i="35"/>
  <c r="X549" i="35"/>
  <c r="AE549" i="35"/>
  <c r="AB549" i="35"/>
  <c r="AD549" i="35"/>
  <c r="Z549" i="35"/>
  <c r="AA549" i="35"/>
  <c r="R549" i="35"/>
  <c r="X543" i="35"/>
  <c r="AE543" i="35"/>
  <c r="AD543" i="35"/>
  <c r="Y543" i="35"/>
  <c r="AB543" i="35"/>
  <c r="Z543" i="35"/>
  <c r="AA543" i="35"/>
  <c r="R543" i="35"/>
  <c r="T543" i="35" s="1"/>
  <c r="V543" i="35" s="1"/>
  <c r="X537" i="35"/>
  <c r="Y537" i="35"/>
  <c r="AE537" i="35"/>
  <c r="AD537" i="35"/>
  <c r="AB537" i="35"/>
  <c r="Z537" i="35"/>
  <c r="R537" i="35"/>
  <c r="T537" i="35" s="1"/>
  <c r="V537" i="35" s="1"/>
  <c r="AA537" i="35"/>
  <c r="Y531" i="35"/>
  <c r="X531" i="35"/>
  <c r="AE531" i="35"/>
  <c r="AD531" i="35"/>
  <c r="AB531" i="35"/>
  <c r="Z531" i="35"/>
  <c r="AA531" i="35"/>
  <c r="R531" i="35"/>
  <c r="T531" i="35" s="1"/>
  <c r="V531" i="35" s="1"/>
  <c r="X527" i="35"/>
  <c r="Y527" i="35"/>
  <c r="AE527" i="35"/>
  <c r="AD527" i="35"/>
  <c r="AB527" i="35"/>
  <c r="Z527" i="35"/>
  <c r="AA527" i="35"/>
  <c r="R527" i="35"/>
  <c r="T527" i="35" s="1"/>
  <c r="V527" i="35" s="1"/>
  <c r="S524" i="35"/>
  <c r="U524" i="35" s="1"/>
  <c r="S522" i="35"/>
  <c r="U522" i="35" s="1"/>
  <c r="S520" i="35"/>
  <c r="U520" i="35" s="1"/>
  <c r="S516" i="35"/>
  <c r="U516" i="35" s="1"/>
  <c r="S514" i="35"/>
  <c r="U514" i="35" s="1"/>
  <c r="X509" i="35"/>
  <c r="Y509" i="35"/>
  <c r="AE509" i="35"/>
  <c r="AD509" i="35"/>
  <c r="AB509" i="35"/>
  <c r="Z509" i="35"/>
  <c r="AA509" i="35"/>
  <c r="R509" i="35"/>
  <c r="T509" i="35" s="1"/>
  <c r="V509" i="35" s="1"/>
  <c r="S506" i="35"/>
  <c r="U506" i="35" s="1"/>
  <c r="S504" i="35"/>
  <c r="U504" i="35" s="1"/>
  <c r="S502" i="35"/>
  <c r="U502" i="35" s="1"/>
  <c r="Y497" i="35"/>
  <c r="AE497" i="35"/>
  <c r="X497" i="35"/>
  <c r="AB497" i="35"/>
  <c r="AD497" i="35"/>
  <c r="Z497" i="35"/>
  <c r="AA497" i="35"/>
  <c r="R497" i="35"/>
  <c r="T497" i="35" s="1"/>
  <c r="V497" i="35" s="1"/>
  <c r="Y491" i="35"/>
  <c r="X491" i="35"/>
  <c r="AE491" i="35"/>
  <c r="AD491" i="35"/>
  <c r="AB491" i="35"/>
  <c r="Z491" i="35"/>
  <c r="R491" i="35"/>
  <c r="T491" i="35" s="1"/>
  <c r="V491" i="35" s="1"/>
  <c r="AA491" i="35"/>
  <c r="X485" i="35"/>
  <c r="AE485" i="35"/>
  <c r="Y485" i="35"/>
  <c r="AB485" i="35"/>
  <c r="AD485" i="35"/>
  <c r="Z485" i="35"/>
  <c r="AA485" i="35"/>
  <c r="R485" i="35"/>
  <c r="Y479" i="35"/>
  <c r="X479" i="35"/>
  <c r="AE479" i="35"/>
  <c r="AD479" i="35"/>
  <c r="AB479" i="35"/>
  <c r="Z479" i="35"/>
  <c r="AA479" i="35"/>
  <c r="R479" i="35"/>
  <c r="T479" i="35" s="1"/>
  <c r="V479" i="35" s="1"/>
  <c r="Y473" i="35"/>
  <c r="X473" i="35"/>
  <c r="AE473" i="35"/>
  <c r="AD473" i="35"/>
  <c r="AB473" i="35"/>
  <c r="Z473" i="35"/>
  <c r="R473" i="35"/>
  <c r="AA473" i="35"/>
  <c r="S470" i="35"/>
  <c r="U470" i="35" s="1"/>
  <c r="Y465" i="35"/>
  <c r="X465" i="35"/>
  <c r="AE465" i="35"/>
  <c r="AB465" i="35"/>
  <c r="AD465" i="35"/>
  <c r="Z465" i="35"/>
  <c r="AA465" i="35"/>
  <c r="R465" i="35"/>
  <c r="S462" i="35"/>
  <c r="U462" i="35" s="1"/>
  <c r="S408" i="35"/>
  <c r="S406" i="35"/>
  <c r="U406" i="35" s="1"/>
  <c r="Y401" i="35"/>
  <c r="X401" i="35"/>
  <c r="AE401" i="35"/>
  <c r="AD401" i="35"/>
  <c r="AB401" i="35"/>
  <c r="Z401" i="35"/>
  <c r="AA401" i="35"/>
  <c r="R401" i="35"/>
  <c r="T401" i="35" s="1"/>
  <c r="V401" i="35" s="1"/>
  <c r="Y395" i="35"/>
  <c r="X395" i="35"/>
  <c r="AE395" i="35"/>
  <c r="AD395" i="35"/>
  <c r="AB395" i="35"/>
  <c r="Z395" i="35"/>
  <c r="AA395" i="35"/>
  <c r="R395" i="35"/>
  <c r="Y391" i="35"/>
  <c r="X391" i="35"/>
  <c r="AE391" i="35"/>
  <c r="AD391" i="35"/>
  <c r="AB391" i="35"/>
  <c r="Z391" i="35"/>
  <c r="AA391" i="35"/>
  <c r="R391" i="35"/>
  <c r="S388" i="35"/>
  <c r="U388" i="35" s="1"/>
  <c r="S386" i="35"/>
  <c r="U386" i="35" s="1"/>
  <c r="S384" i="35"/>
  <c r="U384" i="35" s="1"/>
  <c r="S382" i="35"/>
  <c r="U382" i="35" s="1"/>
  <c r="S380" i="35"/>
  <c r="U380" i="35" s="1"/>
  <c r="Y347" i="35"/>
  <c r="X347" i="35"/>
  <c r="AB347" i="35"/>
  <c r="AE347" i="35"/>
  <c r="AD347" i="35"/>
  <c r="Z347" i="35"/>
  <c r="AA347" i="35"/>
  <c r="R347" i="35"/>
  <c r="N115" i="35"/>
  <c r="O115" i="35" s="1"/>
  <c r="N63" i="35"/>
  <c r="O63" i="35" s="1"/>
  <c r="N47" i="35"/>
  <c r="O47" i="35" s="1"/>
  <c r="N27" i="35"/>
  <c r="O27" i="35" s="1"/>
  <c r="N25" i="35"/>
  <c r="O25" i="35" s="1"/>
  <c r="N21" i="35"/>
  <c r="O21" i="35" s="1"/>
  <c r="N472" i="35"/>
  <c r="O472" i="35" s="1"/>
  <c r="N470" i="35"/>
  <c r="O470" i="35" s="1"/>
  <c r="N468" i="35"/>
  <c r="O468" i="35" s="1"/>
  <c r="N466" i="35"/>
  <c r="O466" i="35" s="1"/>
  <c r="N386" i="35"/>
  <c r="O386" i="35" s="1"/>
  <c r="N384" i="35"/>
  <c r="O384" i="35" s="1"/>
  <c r="N382" i="35"/>
  <c r="O382" i="35" s="1"/>
  <c r="N380" i="35"/>
  <c r="O380" i="35" s="1"/>
  <c r="N378" i="35"/>
  <c r="O378" i="35" s="1"/>
  <c r="N376" i="35"/>
  <c r="O376" i="35" s="1"/>
  <c r="N374" i="35"/>
  <c r="O374" i="35" s="1"/>
  <c r="N372" i="35"/>
  <c r="O372" i="35" s="1"/>
  <c r="N370" i="35"/>
  <c r="O370" i="35" s="1"/>
  <c r="N368" i="35"/>
  <c r="O368" i="35" s="1"/>
  <c r="N366" i="35"/>
  <c r="O366" i="35" s="1"/>
  <c r="N364" i="35"/>
  <c r="O364" i="35" s="1"/>
  <c r="N362" i="35"/>
  <c r="O362" i="35" s="1"/>
  <c r="N360" i="35"/>
  <c r="O360" i="35" s="1"/>
  <c r="N358" i="35"/>
  <c r="O358" i="35" s="1"/>
  <c r="N356" i="35"/>
  <c r="O356" i="35" s="1"/>
  <c r="N354" i="35"/>
  <c r="O354" i="35" s="1"/>
  <c r="N352" i="35"/>
  <c r="O352" i="35" s="1"/>
  <c r="N350" i="35"/>
  <c r="O350" i="35" s="1"/>
  <c r="N348" i="35"/>
  <c r="O348" i="35" s="1"/>
  <c r="N346" i="35"/>
  <c r="O346" i="35" s="1"/>
  <c r="N344" i="35"/>
  <c r="O344" i="35" s="1"/>
  <c r="N342" i="35"/>
  <c r="O342" i="35" s="1"/>
  <c r="N340" i="35"/>
  <c r="O340" i="35" s="1"/>
  <c r="N338" i="35"/>
  <c r="O338" i="35" s="1"/>
  <c r="N336" i="35"/>
  <c r="O336" i="35" s="1"/>
  <c r="N334" i="35"/>
  <c r="O334" i="35" s="1"/>
  <c r="N332" i="35"/>
  <c r="O332" i="35" s="1"/>
  <c r="N330" i="35"/>
  <c r="O330" i="35" s="1"/>
  <c r="N328" i="35"/>
  <c r="O328" i="35" s="1"/>
  <c r="N326" i="35"/>
  <c r="O326" i="35" s="1"/>
  <c r="N324" i="35"/>
  <c r="O324" i="35" s="1"/>
  <c r="N322" i="35"/>
  <c r="O322" i="35" s="1"/>
  <c r="N320" i="35"/>
  <c r="O320" i="35" s="1"/>
  <c r="N318" i="35"/>
  <c r="O318" i="35" s="1"/>
  <c r="N316" i="35"/>
  <c r="O316" i="35" s="1"/>
  <c r="N314" i="35"/>
  <c r="O314" i="35" s="1"/>
  <c r="N312" i="35"/>
  <c r="O312" i="35" s="1"/>
  <c r="N310" i="35"/>
  <c r="O310" i="35" s="1"/>
  <c r="N308" i="35"/>
  <c r="O308" i="35" s="1"/>
  <c r="N306" i="35"/>
  <c r="O306" i="35" s="1"/>
  <c r="N304" i="35"/>
  <c r="O304" i="35" s="1"/>
  <c r="N302" i="35"/>
  <c r="O302" i="35" s="1"/>
  <c r="N300" i="35"/>
  <c r="O300" i="35" s="1"/>
  <c r="N298" i="35"/>
  <c r="O298" i="35" s="1"/>
  <c r="N296" i="35"/>
  <c r="O296" i="35" s="1"/>
  <c r="N294" i="35"/>
  <c r="O294" i="35" s="1"/>
  <c r="N292" i="35"/>
  <c r="O292" i="35" s="1"/>
  <c r="N290" i="35"/>
  <c r="O290" i="35" s="1"/>
  <c r="N288" i="35"/>
  <c r="O288" i="35" s="1"/>
  <c r="N286" i="35"/>
  <c r="O286" i="35" s="1"/>
  <c r="N284" i="35"/>
  <c r="O284" i="35" s="1"/>
  <c r="N282" i="35"/>
  <c r="O282" i="35" s="1"/>
  <c r="N280" i="35"/>
  <c r="O280" i="35" s="1"/>
  <c r="N278" i="35"/>
  <c r="O278" i="35" s="1"/>
  <c r="N276" i="35"/>
  <c r="O276" i="35" s="1"/>
  <c r="N274" i="35"/>
  <c r="O274" i="35" s="1"/>
  <c r="N272" i="35"/>
  <c r="O272" i="35" s="1"/>
  <c r="N270" i="35"/>
  <c r="O270" i="35" s="1"/>
  <c r="N268" i="35"/>
  <c r="O268" i="35" s="1"/>
  <c r="N266" i="35"/>
  <c r="O266" i="35" s="1"/>
  <c r="N264" i="35"/>
  <c r="O264" i="35" s="1"/>
  <c r="N262" i="35"/>
  <c r="O262" i="35" s="1"/>
  <c r="N260" i="35"/>
  <c r="O260" i="35" s="1"/>
  <c r="N258" i="35"/>
  <c r="O258" i="35" s="1"/>
  <c r="N256" i="35"/>
  <c r="O256" i="35" s="1"/>
  <c r="N254" i="35"/>
  <c r="O254" i="35" s="1"/>
  <c r="N252" i="35"/>
  <c r="O252" i="35" s="1"/>
  <c r="N250" i="35"/>
  <c r="O250" i="35" s="1"/>
  <c r="N248" i="35"/>
  <c r="O248" i="35" s="1"/>
  <c r="N246" i="35"/>
  <c r="O246" i="35" s="1"/>
  <c r="N244" i="35"/>
  <c r="O244" i="35" s="1"/>
  <c r="N242" i="35"/>
  <c r="O242" i="35" s="1"/>
  <c r="N240" i="35"/>
  <c r="O240" i="35" s="1"/>
  <c r="N238" i="35"/>
  <c r="O238" i="35" s="1"/>
  <c r="N236" i="35"/>
  <c r="O236" i="35" s="1"/>
  <c r="N234" i="35"/>
  <c r="O234" i="35" s="1"/>
  <c r="N232" i="35"/>
  <c r="O232" i="35" s="1"/>
  <c r="N230" i="35"/>
  <c r="O230" i="35" s="1"/>
  <c r="N228" i="35"/>
  <c r="O228" i="35" s="1"/>
  <c r="N226" i="35"/>
  <c r="O226" i="35" s="1"/>
  <c r="N371" i="35"/>
  <c r="O371" i="35" s="1"/>
  <c r="N369" i="35"/>
  <c r="O369" i="35" s="1"/>
  <c r="N367" i="35"/>
  <c r="O367" i="35" s="1"/>
  <c r="N365" i="35"/>
  <c r="O365" i="35" s="1"/>
  <c r="N363" i="35"/>
  <c r="O363" i="35" s="1"/>
  <c r="N361" i="35"/>
  <c r="O361" i="35" s="1"/>
  <c r="N359" i="35"/>
  <c r="O359" i="35" s="1"/>
  <c r="N357" i="35"/>
  <c r="O357" i="35" s="1"/>
  <c r="N355" i="35"/>
  <c r="O355" i="35" s="1"/>
  <c r="N353" i="35"/>
  <c r="O353" i="35" s="1"/>
  <c r="N351" i="35"/>
  <c r="O351" i="35" s="1"/>
  <c r="N349" i="35"/>
  <c r="O349" i="35" s="1"/>
  <c r="N347" i="35"/>
  <c r="O347" i="35" s="1"/>
  <c r="N345" i="35"/>
  <c r="O345" i="35" s="1"/>
  <c r="N343" i="35"/>
  <c r="O343" i="35" s="1"/>
  <c r="N341" i="35"/>
  <c r="O341" i="35" s="1"/>
  <c r="N339" i="35"/>
  <c r="O339" i="35" s="1"/>
  <c r="N337" i="35"/>
  <c r="O337" i="35" s="1"/>
  <c r="N335" i="35"/>
  <c r="O335" i="35" s="1"/>
  <c r="N333" i="35"/>
  <c r="O333" i="35" s="1"/>
  <c r="N331" i="35"/>
  <c r="O331" i="35" s="1"/>
  <c r="N329" i="35"/>
  <c r="O329" i="35" s="1"/>
  <c r="N327" i="35"/>
  <c r="O327" i="35" s="1"/>
  <c r="N325" i="35"/>
  <c r="O325" i="35" s="1"/>
  <c r="N323" i="35"/>
  <c r="O323" i="35" s="1"/>
  <c r="N321" i="35"/>
  <c r="O321" i="35" s="1"/>
  <c r="N319" i="35"/>
  <c r="O319" i="35" s="1"/>
  <c r="N317" i="35"/>
  <c r="O317" i="35" s="1"/>
  <c r="N315" i="35"/>
  <c r="O315" i="35" s="1"/>
  <c r="U130" i="35"/>
  <c r="T131" i="35"/>
  <c r="U120" i="35"/>
  <c r="T105" i="35"/>
  <c r="T49" i="35"/>
  <c r="T37" i="35"/>
  <c r="T101" i="35"/>
  <c r="N313" i="35"/>
  <c r="O313" i="35" s="1"/>
  <c r="N311" i="35"/>
  <c r="O311" i="35" s="1"/>
  <c r="N309" i="35"/>
  <c r="O309" i="35" s="1"/>
  <c r="N307" i="35"/>
  <c r="O307" i="35" s="1"/>
  <c r="N305" i="35"/>
  <c r="O305" i="35" s="1"/>
  <c r="N303" i="35"/>
  <c r="O303" i="35" s="1"/>
  <c r="N301" i="35"/>
  <c r="O301" i="35" s="1"/>
  <c r="N299" i="35"/>
  <c r="O299" i="35" s="1"/>
  <c r="N297" i="35"/>
  <c r="O297" i="35" s="1"/>
  <c r="N295" i="35"/>
  <c r="O295" i="35" s="1"/>
  <c r="N293" i="35"/>
  <c r="O293" i="35" s="1"/>
  <c r="N291" i="35"/>
  <c r="O291" i="35" s="1"/>
  <c r="N289" i="35"/>
  <c r="O289" i="35" s="1"/>
  <c r="N287" i="35"/>
  <c r="O287" i="35" s="1"/>
  <c r="N285" i="35"/>
  <c r="O285" i="35" s="1"/>
  <c r="N283" i="35"/>
  <c r="O283" i="35" s="1"/>
  <c r="N281" i="35"/>
  <c r="O281" i="35" s="1"/>
  <c r="N279" i="35"/>
  <c r="O279" i="35" s="1"/>
  <c r="N277" i="35"/>
  <c r="O277" i="35" s="1"/>
  <c r="N275" i="35"/>
  <c r="O275" i="35" s="1"/>
  <c r="N273" i="35"/>
  <c r="O273" i="35" s="1"/>
  <c r="N271" i="35"/>
  <c r="O271" i="35" s="1"/>
  <c r="N269" i="35"/>
  <c r="O269" i="35" s="1"/>
  <c r="N267" i="35"/>
  <c r="O267" i="35" s="1"/>
  <c r="N265" i="35"/>
  <c r="O265" i="35" s="1"/>
  <c r="N263" i="35"/>
  <c r="O263" i="35" s="1"/>
  <c r="N261" i="35"/>
  <c r="O261" i="35" s="1"/>
  <c r="N259" i="35"/>
  <c r="O259" i="35" s="1"/>
  <c r="N257" i="35"/>
  <c r="O257" i="35" s="1"/>
  <c r="N255" i="35"/>
  <c r="O255" i="35" s="1"/>
  <c r="N253" i="35"/>
  <c r="O253" i="35" s="1"/>
  <c r="N251" i="35"/>
  <c r="O251" i="35" s="1"/>
  <c r="N249" i="35"/>
  <c r="O249" i="35" s="1"/>
  <c r="N247" i="35"/>
  <c r="O247" i="35" s="1"/>
  <c r="N245" i="35"/>
  <c r="O245" i="35" s="1"/>
  <c r="N243" i="35"/>
  <c r="O243" i="35" s="1"/>
  <c r="N241" i="35"/>
  <c r="O241" i="35" s="1"/>
  <c r="N239" i="35"/>
  <c r="O239" i="35" s="1"/>
  <c r="N237" i="35"/>
  <c r="O237" i="35" s="1"/>
  <c r="N235" i="35"/>
  <c r="O235" i="35" s="1"/>
  <c r="N233" i="35"/>
  <c r="O233" i="35" s="1"/>
  <c r="N231" i="35"/>
  <c r="O231" i="35" s="1"/>
  <c r="N229" i="35"/>
  <c r="O229" i="35" s="1"/>
  <c r="N227" i="35"/>
  <c r="O227" i="35" s="1"/>
  <c r="N225" i="35"/>
  <c r="O225" i="35" s="1"/>
  <c r="N223" i="35"/>
  <c r="O223" i="35" s="1"/>
  <c r="N221" i="35"/>
  <c r="O221" i="35" s="1"/>
  <c r="N219" i="35"/>
  <c r="O219" i="35" s="1"/>
  <c r="N217" i="35"/>
  <c r="O217" i="35" s="1"/>
  <c r="N215" i="35"/>
  <c r="O215" i="35" s="1"/>
  <c r="N213" i="35"/>
  <c r="O213" i="35" s="1"/>
  <c r="N211" i="35"/>
  <c r="O211" i="35" s="1"/>
  <c r="N209" i="35"/>
  <c r="O209" i="35" s="1"/>
  <c r="N207" i="35"/>
  <c r="O207" i="35" s="1"/>
  <c r="N205" i="35"/>
  <c r="O205" i="35" s="1"/>
  <c r="N203" i="35"/>
  <c r="O203" i="35" s="1"/>
  <c r="N201" i="35"/>
  <c r="O201" i="35" s="1"/>
  <c r="N199" i="35"/>
  <c r="O199" i="35" s="1"/>
  <c r="N197" i="35"/>
  <c r="O197" i="35" s="1"/>
  <c r="N195" i="35"/>
  <c r="O195" i="35" s="1"/>
  <c r="N193" i="35"/>
  <c r="O193" i="35" s="1"/>
  <c r="N191" i="35"/>
  <c r="O191" i="35" s="1"/>
  <c r="N189" i="35"/>
  <c r="O189" i="35" s="1"/>
  <c r="N187" i="35"/>
  <c r="O187" i="35" s="1"/>
  <c r="N185" i="35"/>
  <c r="O185" i="35" s="1"/>
  <c r="N183" i="35"/>
  <c r="O183" i="35" s="1"/>
  <c r="N181" i="35"/>
  <c r="O181" i="35" s="1"/>
  <c r="N179" i="35"/>
  <c r="O179" i="35" s="1"/>
  <c r="N177" i="35"/>
  <c r="O177" i="35" s="1"/>
  <c r="N175" i="35"/>
  <c r="O175" i="35" s="1"/>
  <c r="N173" i="35"/>
  <c r="O173" i="35" s="1"/>
  <c r="N171" i="35"/>
  <c r="O171" i="35" s="1"/>
  <c r="N169" i="35"/>
  <c r="O169" i="35" s="1"/>
  <c r="N167" i="35"/>
  <c r="O167" i="35" s="1"/>
  <c r="N165" i="35"/>
  <c r="O165" i="35" s="1"/>
  <c r="N163" i="35"/>
  <c r="O163" i="35" s="1"/>
  <c r="N161" i="35"/>
  <c r="O161" i="35" s="1"/>
  <c r="N159" i="35"/>
  <c r="O159" i="35" s="1"/>
  <c r="N157" i="35"/>
  <c r="O157" i="35" s="1"/>
  <c r="N155" i="35"/>
  <c r="O155" i="35" s="1"/>
  <c r="N153" i="35"/>
  <c r="O153" i="35" s="1"/>
  <c r="N151" i="35"/>
  <c r="O151" i="35" s="1"/>
  <c r="N149" i="35"/>
  <c r="O149" i="35" s="1"/>
  <c r="N147" i="35"/>
  <c r="O147" i="35" s="1"/>
  <c r="N145" i="35"/>
  <c r="O145" i="35" s="1"/>
  <c r="N103" i="35"/>
  <c r="O103" i="35" s="1"/>
  <c r="N93" i="35"/>
  <c r="O93" i="35" s="1"/>
  <c r="N617" i="35"/>
  <c r="O617" i="35" s="1"/>
  <c r="N615" i="35"/>
  <c r="O615" i="35" s="1"/>
  <c r="N613" i="35"/>
  <c r="O613" i="35" s="1"/>
  <c r="N611" i="35"/>
  <c r="O611" i="35" s="1"/>
  <c r="N609" i="35"/>
  <c r="O609" i="35" s="1"/>
  <c r="N607" i="35"/>
  <c r="O607" i="35" s="1"/>
  <c r="N605" i="35"/>
  <c r="O605" i="35" s="1"/>
  <c r="N603" i="35"/>
  <c r="O603" i="35" s="1"/>
  <c r="N601" i="35"/>
  <c r="O601" i="35" s="1"/>
  <c r="N599" i="35"/>
  <c r="O599" i="35" s="1"/>
  <c r="N597" i="35"/>
  <c r="O597" i="35" s="1"/>
  <c r="N595" i="35"/>
  <c r="O595" i="35" s="1"/>
  <c r="N593" i="35"/>
  <c r="O593" i="35" s="1"/>
  <c r="N591" i="35"/>
  <c r="O591" i="35" s="1"/>
  <c r="N589" i="35"/>
  <c r="O589" i="35" s="1"/>
  <c r="N587" i="35"/>
  <c r="O587" i="35" s="1"/>
  <c r="N585" i="35"/>
  <c r="O585" i="35" s="1"/>
  <c r="N583" i="35"/>
  <c r="O583" i="35" s="1"/>
  <c r="N581" i="35"/>
  <c r="O581" i="35" s="1"/>
  <c r="N579" i="35"/>
  <c r="O579" i="35" s="1"/>
  <c r="N577" i="35"/>
  <c r="O577" i="35" s="1"/>
  <c r="N575" i="35"/>
  <c r="O575" i="35" s="1"/>
  <c r="N573" i="35"/>
  <c r="O573" i="35" s="1"/>
  <c r="N571" i="35"/>
  <c r="O571" i="35" s="1"/>
  <c r="N569" i="35"/>
  <c r="O569" i="35" s="1"/>
  <c r="N567" i="35"/>
  <c r="O567" i="35" s="1"/>
  <c r="N565" i="35"/>
  <c r="O565" i="35" s="1"/>
  <c r="N563" i="35"/>
  <c r="O563" i="35" s="1"/>
  <c r="N561" i="35"/>
  <c r="O561" i="35" s="1"/>
  <c r="N559" i="35"/>
  <c r="O559" i="35" s="1"/>
  <c r="N557" i="35"/>
  <c r="O557" i="35" s="1"/>
  <c r="N555" i="35"/>
  <c r="O555" i="35" s="1"/>
  <c r="N553" i="35"/>
  <c r="O553" i="35" s="1"/>
  <c r="N551" i="35"/>
  <c r="O551" i="35" s="1"/>
  <c r="N549" i="35"/>
  <c r="O549" i="35" s="1"/>
  <c r="N547" i="35"/>
  <c r="O547" i="35" s="1"/>
  <c r="N545" i="35"/>
  <c r="O545" i="35" s="1"/>
  <c r="N543" i="35"/>
  <c r="O543" i="35" s="1"/>
  <c r="U42" i="35"/>
  <c r="U49" i="35"/>
  <c r="T647" i="35"/>
  <c r="V647" i="35" s="1"/>
  <c r="T579" i="35"/>
  <c r="V579" i="35" s="1"/>
  <c r="T511" i="35"/>
  <c r="V511" i="35" s="1"/>
  <c r="U29" i="35"/>
  <c r="T499" i="35"/>
  <c r="V499" i="35" s="1"/>
  <c r="T623" i="35"/>
  <c r="V623" i="35" s="1"/>
  <c r="N541" i="35"/>
  <c r="O541" i="35" s="1"/>
  <c r="N539" i="35"/>
  <c r="O539" i="35" s="1"/>
  <c r="N537" i="35"/>
  <c r="O537" i="35" s="1"/>
  <c r="N535" i="35"/>
  <c r="O535" i="35" s="1"/>
  <c r="N533" i="35"/>
  <c r="O533" i="35" s="1"/>
  <c r="N531" i="35"/>
  <c r="O531" i="35" s="1"/>
  <c r="N529" i="35"/>
  <c r="O529" i="35" s="1"/>
  <c r="N527" i="35"/>
  <c r="O527" i="35" s="1"/>
  <c r="N525" i="35"/>
  <c r="O525" i="35" s="1"/>
  <c r="N523" i="35"/>
  <c r="O523" i="35" s="1"/>
  <c r="N521" i="35"/>
  <c r="O521" i="35" s="1"/>
  <c r="N519" i="35"/>
  <c r="O519" i="35" s="1"/>
  <c r="N517" i="35"/>
  <c r="O517" i="35" s="1"/>
  <c r="N515" i="35"/>
  <c r="O515" i="35" s="1"/>
  <c r="N513" i="35"/>
  <c r="O513" i="35" s="1"/>
  <c r="N511" i="35"/>
  <c r="O511" i="35" s="1"/>
  <c r="N509" i="35"/>
  <c r="O509" i="35" s="1"/>
  <c r="N507" i="35"/>
  <c r="O507" i="35" s="1"/>
  <c r="N505" i="35"/>
  <c r="O505" i="35" s="1"/>
  <c r="N503" i="35"/>
  <c r="O503" i="35" s="1"/>
  <c r="N501" i="35"/>
  <c r="O501" i="35" s="1"/>
  <c r="N499" i="35"/>
  <c r="O499" i="35" s="1"/>
  <c r="N497" i="35"/>
  <c r="O497" i="35" s="1"/>
  <c r="N495" i="35"/>
  <c r="O495" i="35" s="1"/>
  <c r="N493" i="35"/>
  <c r="O493" i="35" s="1"/>
  <c r="N491" i="35"/>
  <c r="O491" i="35" s="1"/>
  <c r="N489" i="35"/>
  <c r="O489" i="35" s="1"/>
  <c r="N487" i="35"/>
  <c r="O487" i="35" s="1"/>
  <c r="N485" i="35"/>
  <c r="O485" i="35" s="1"/>
  <c r="N483" i="35"/>
  <c r="O483" i="35" s="1"/>
  <c r="N481" i="35"/>
  <c r="O481" i="35" s="1"/>
  <c r="N479" i="35"/>
  <c r="O479" i="35" s="1"/>
  <c r="N477" i="35"/>
  <c r="O477" i="35" s="1"/>
  <c r="N475" i="35"/>
  <c r="O475" i="35" s="1"/>
  <c r="N473" i="35"/>
  <c r="O473" i="35" s="1"/>
  <c r="N471" i="35"/>
  <c r="O471" i="35" s="1"/>
  <c r="N469" i="35"/>
  <c r="O469" i="35" s="1"/>
  <c r="N467" i="35"/>
  <c r="O467" i="35" s="1"/>
  <c r="N465" i="35"/>
  <c r="O465" i="35" s="1"/>
  <c r="N463" i="35"/>
  <c r="O463" i="35" s="1"/>
  <c r="N461" i="35"/>
  <c r="O461" i="35" s="1"/>
  <c r="N459" i="35"/>
  <c r="O459" i="35" s="1"/>
  <c r="N457" i="35"/>
  <c r="O457" i="35" s="1"/>
  <c r="N455" i="35"/>
  <c r="O455" i="35" s="1"/>
  <c r="N453" i="35"/>
  <c r="O453" i="35" s="1"/>
  <c r="N451" i="35"/>
  <c r="O451" i="35" s="1"/>
  <c r="N449" i="35"/>
  <c r="O449" i="35" s="1"/>
  <c r="N447" i="35"/>
  <c r="O447" i="35" s="1"/>
  <c r="N445" i="35"/>
  <c r="O445" i="35" s="1"/>
  <c r="N443" i="35"/>
  <c r="O443" i="35" s="1"/>
  <c r="N441" i="35"/>
  <c r="O441" i="35" s="1"/>
  <c r="N439" i="35"/>
  <c r="O439" i="35" s="1"/>
  <c r="N437" i="35"/>
  <c r="O437" i="35" s="1"/>
  <c r="N435" i="35"/>
  <c r="O435" i="35" s="1"/>
  <c r="N433" i="35"/>
  <c r="O433" i="35" s="1"/>
  <c r="N431" i="35"/>
  <c r="O431" i="35" s="1"/>
  <c r="N429" i="35"/>
  <c r="O429" i="35" s="1"/>
  <c r="N427" i="35"/>
  <c r="O427" i="35" s="1"/>
  <c r="N425" i="35"/>
  <c r="O425" i="35" s="1"/>
  <c r="N423" i="35"/>
  <c r="O423" i="35" s="1"/>
  <c r="N421" i="35"/>
  <c r="O421" i="35" s="1"/>
  <c r="N419" i="35"/>
  <c r="O419" i="35" s="1"/>
  <c r="N417" i="35"/>
  <c r="O417" i="35" s="1"/>
  <c r="N415" i="35"/>
  <c r="O415" i="35" s="1"/>
  <c r="N413" i="35"/>
  <c r="O413" i="35" s="1"/>
  <c r="N411" i="35"/>
  <c r="O411" i="35" s="1"/>
  <c r="N409" i="35"/>
  <c r="O409" i="35" s="1"/>
  <c r="N407" i="35"/>
  <c r="O407" i="35" s="1"/>
  <c r="N405" i="35"/>
  <c r="O405" i="35" s="1"/>
  <c r="N403" i="35"/>
  <c r="O403" i="35" s="1"/>
  <c r="N401" i="35"/>
  <c r="O401" i="35" s="1"/>
  <c r="N399" i="35"/>
  <c r="O399" i="35" s="1"/>
  <c r="N397" i="35"/>
  <c r="O397" i="35" s="1"/>
  <c r="N395" i="35"/>
  <c r="O395" i="35" s="1"/>
  <c r="N393" i="35"/>
  <c r="O393" i="35" s="1"/>
  <c r="N391" i="35"/>
  <c r="O391" i="35" s="1"/>
  <c r="N389" i="35"/>
  <c r="O389" i="35" s="1"/>
  <c r="N387" i="35"/>
  <c r="O387" i="35" s="1"/>
  <c r="N385" i="35"/>
  <c r="O385" i="35" s="1"/>
  <c r="N383" i="35"/>
  <c r="O383" i="35" s="1"/>
  <c r="N381" i="35"/>
  <c r="O381" i="35" s="1"/>
  <c r="N379" i="35"/>
  <c r="O379" i="35" s="1"/>
  <c r="N377" i="35"/>
  <c r="O377" i="35" s="1"/>
  <c r="N375" i="35"/>
  <c r="O375" i="35" s="1"/>
  <c r="N373" i="35"/>
  <c r="O373" i="35" s="1"/>
  <c r="U16" i="35"/>
  <c r="N701" i="35"/>
  <c r="O701" i="35" s="1"/>
  <c r="N699" i="35"/>
  <c r="O699" i="35" s="1"/>
  <c r="N697" i="35"/>
  <c r="O697" i="35" s="1"/>
  <c r="N695" i="35"/>
  <c r="O695" i="35" s="1"/>
  <c r="N693" i="35"/>
  <c r="O693" i="35" s="1"/>
  <c r="N691" i="35"/>
  <c r="O691" i="35" s="1"/>
  <c r="N689" i="35"/>
  <c r="O689" i="35" s="1"/>
  <c r="N687" i="35"/>
  <c r="O687" i="35" s="1"/>
  <c r="N685" i="35"/>
  <c r="O685" i="35" s="1"/>
  <c r="N683" i="35"/>
  <c r="O683" i="35" s="1"/>
  <c r="N681" i="35"/>
  <c r="O681" i="35" s="1"/>
  <c r="N679" i="35"/>
  <c r="O679" i="35" s="1"/>
  <c r="N677" i="35"/>
  <c r="O677" i="35" s="1"/>
  <c r="N675" i="35"/>
  <c r="O675" i="35" s="1"/>
  <c r="N673" i="35"/>
  <c r="O673" i="35" s="1"/>
  <c r="N671" i="35"/>
  <c r="O671" i="35" s="1"/>
  <c r="N669" i="35"/>
  <c r="O669" i="35" s="1"/>
  <c r="N667" i="35"/>
  <c r="O667" i="35" s="1"/>
  <c r="N665" i="35"/>
  <c r="O665" i="35" s="1"/>
  <c r="N663" i="35"/>
  <c r="O663" i="35" s="1"/>
  <c r="N661" i="35"/>
  <c r="O661" i="35" s="1"/>
  <c r="N659" i="35"/>
  <c r="O659" i="35" s="1"/>
  <c r="N657" i="35"/>
  <c r="O657" i="35" s="1"/>
  <c r="N655" i="35"/>
  <c r="O655" i="35" s="1"/>
  <c r="N653" i="35"/>
  <c r="O653" i="35" s="1"/>
  <c r="N651" i="35"/>
  <c r="O651" i="35" s="1"/>
  <c r="N649" i="35"/>
  <c r="O649" i="35" s="1"/>
  <c r="N647" i="35"/>
  <c r="O647" i="35" s="1"/>
  <c r="N645" i="35"/>
  <c r="O645" i="35" s="1"/>
  <c r="N643" i="35"/>
  <c r="O643" i="35" s="1"/>
  <c r="N641" i="35"/>
  <c r="O641" i="35" s="1"/>
  <c r="N639" i="35"/>
  <c r="O639" i="35" s="1"/>
  <c r="N637" i="35"/>
  <c r="O637" i="35" s="1"/>
  <c r="N635" i="35"/>
  <c r="O635" i="35" s="1"/>
  <c r="N633" i="35"/>
  <c r="O633" i="35" s="1"/>
  <c r="N631" i="35"/>
  <c r="O631" i="35" s="1"/>
  <c r="N629" i="35"/>
  <c r="O629" i="35" s="1"/>
  <c r="N627" i="35"/>
  <c r="O627" i="35" s="1"/>
  <c r="N625" i="35"/>
  <c r="O625" i="35" s="1"/>
  <c r="N623" i="35"/>
  <c r="O623" i="35" s="1"/>
  <c r="N621" i="35"/>
  <c r="O621" i="35" s="1"/>
  <c r="N619" i="35"/>
  <c r="O619" i="35" s="1"/>
  <c r="T361" i="35"/>
  <c r="V361" i="35" s="1"/>
  <c r="T293" i="35"/>
  <c r="V293" i="35" s="1"/>
  <c r="T277" i="35"/>
  <c r="V277" i="35" s="1"/>
  <c r="T261" i="35"/>
  <c r="V261" i="35" s="1"/>
  <c r="T245" i="35"/>
  <c r="V245" i="35" s="1"/>
  <c r="T213" i="35"/>
  <c r="V213" i="35" s="1"/>
  <c r="U32" i="35"/>
  <c r="U41" i="35"/>
  <c r="U119" i="35"/>
  <c r="T120" i="35"/>
  <c r="U117" i="35"/>
  <c r="U115" i="35"/>
  <c r="U105" i="35"/>
  <c r="T78" i="35"/>
  <c r="U77" i="35"/>
  <c r="T72" i="35"/>
  <c r="Q68" i="35"/>
  <c r="S68" i="35" s="1"/>
  <c r="U68" i="35" s="1"/>
  <c r="T48" i="35"/>
  <c r="Q46" i="35"/>
  <c r="S46" i="35" s="1"/>
  <c r="U46" i="35" s="1"/>
  <c r="U45" i="35"/>
  <c r="U43" i="35"/>
  <c r="U23" i="35"/>
  <c r="Q20" i="35"/>
  <c r="S20" i="35" s="1"/>
  <c r="U20" i="35" s="1"/>
  <c r="Q14" i="35"/>
  <c r="S14" i="35" s="1"/>
  <c r="U14" i="35" s="1"/>
  <c r="U701" i="35"/>
  <c r="U693" i="35"/>
  <c r="U691" i="35"/>
  <c r="U685" i="35"/>
  <c r="U683" i="35"/>
  <c r="U675" i="35"/>
  <c r="U667" i="35"/>
  <c r="U659" i="35"/>
  <c r="U651" i="35"/>
  <c r="U643" i="35"/>
  <c r="U641" i="35"/>
  <c r="U635" i="35"/>
  <c r="U633" i="35"/>
  <c r="U611" i="35"/>
  <c r="U609" i="35"/>
  <c r="U585" i="35"/>
  <c r="U579" i="35"/>
  <c r="U577" i="35"/>
  <c r="U571" i="35"/>
  <c r="U569" i="35"/>
  <c r="U561" i="35"/>
  <c r="U553" i="35"/>
  <c r="U551" i="35"/>
  <c r="U529" i="35"/>
  <c r="U527" i="35"/>
  <c r="U519" i="35"/>
  <c r="U497" i="35"/>
  <c r="U489" i="35"/>
  <c r="U479" i="35"/>
  <c r="U471" i="35"/>
  <c r="U463" i="35"/>
  <c r="U461" i="35"/>
  <c r="U453" i="35"/>
  <c r="U429" i="35"/>
  <c r="U417" i="35"/>
  <c r="U409" i="35"/>
  <c r="U397" i="35"/>
  <c r="U393" i="35"/>
  <c r="U379" i="35"/>
  <c r="U377" i="35"/>
  <c r="U373" i="35"/>
  <c r="U369" i="35"/>
  <c r="U365" i="35"/>
  <c r="U361" i="35"/>
  <c r="U359" i="35"/>
  <c r="U343" i="35"/>
  <c r="U339" i="35"/>
  <c r="U331" i="35"/>
  <c r="U321" i="35"/>
  <c r="U317" i="35"/>
  <c r="U313" i="35"/>
  <c r="U303" i="35"/>
  <c r="U299" i="35"/>
  <c r="U295" i="35"/>
  <c r="U291" i="35"/>
  <c r="U289" i="35"/>
  <c r="U287" i="35"/>
  <c r="U285" i="35"/>
  <c r="U283" i="35"/>
  <c r="U281" i="35"/>
  <c r="U279" i="35"/>
  <c r="U277" i="35"/>
  <c r="U275" i="35"/>
  <c r="U273" i="35"/>
  <c r="U271" i="35"/>
  <c r="U269" i="35"/>
  <c r="U267" i="35"/>
  <c r="U265" i="35"/>
  <c r="U263" i="35"/>
  <c r="U261" i="35"/>
  <c r="U138" i="35"/>
  <c r="V137" i="35"/>
  <c r="Q136" i="35"/>
  <c r="S136" i="35" s="1"/>
  <c r="U136" i="35" s="1"/>
  <c r="Q134" i="35"/>
  <c r="S134" i="35" s="1"/>
  <c r="U134" i="35" s="1"/>
  <c r="U127" i="35"/>
  <c r="U83" i="35"/>
  <c r="Q80" i="35"/>
  <c r="Q66" i="35"/>
  <c r="S66" i="35" s="1"/>
  <c r="U66" i="35" s="1"/>
  <c r="U65" i="35"/>
  <c r="Q54" i="35"/>
  <c r="S54" i="35" s="1"/>
  <c r="U54" i="35" s="1"/>
  <c r="Q52" i="35"/>
  <c r="S52" i="35" s="1"/>
  <c r="U52" i="35" s="1"/>
  <c r="Q50" i="35"/>
  <c r="S50" i="35" s="1"/>
  <c r="U50" i="35" s="1"/>
  <c r="Q38" i="35"/>
  <c r="S38" i="35" s="1"/>
  <c r="U38" i="35" s="1"/>
  <c r="T32" i="35"/>
  <c r="Q30" i="35"/>
  <c r="Q28" i="35"/>
  <c r="S28" i="35" s="1"/>
  <c r="U28" i="35" s="1"/>
  <c r="Q22" i="35"/>
  <c r="S22" i="35" s="1"/>
  <c r="U22" i="35" s="1"/>
  <c r="U19" i="35"/>
  <c r="U677" i="35"/>
  <c r="U661" i="35"/>
  <c r="U653" i="35"/>
  <c r="U645" i="35"/>
  <c r="U637" i="35"/>
  <c r="U629" i="35"/>
  <c r="U621" i="35"/>
  <c r="U613" i="35"/>
  <c r="U583" i="35"/>
  <c r="U581" i="35"/>
  <c r="U573" i="35"/>
  <c r="U567" i="35"/>
  <c r="U565" i="35"/>
  <c r="U559" i="35"/>
  <c r="U557" i="35"/>
  <c r="U549" i="35"/>
  <c r="U541" i="35"/>
  <c r="U533" i="35"/>
  <c r="U525" i="35"/>
  <c r="U517" i="35"/>
  <c r="U509" i="35"/>
  <c r="U499" i="35"/>
  <c r="U485" i="35"/>
  <c r="U483" i="35"/>
  <c r="U469" i="35"/>
  <c r="U467" i="35"/>
  <c r="U445" i="35"/>
  <c r="U443" i="35"/>
  <c r="U437" i="35"/>
  <c r="U435" i="35"/>
  <c r="U427" i="35"/>
  <c r="U411" i="35"/>
  <c r="U395" i="35"/>
  <c r="U391" i="35"/>
  <c r="U385" i="35"/>
  <c r="U383" i="35"/>
  <c r="U375" i="35"/>
  <c r="U371" i="35"/>
  <c r="U367" i="35"/>
  <c r="U363" i="35"/>
  <c r="U357" i="35"/>
  <c r="U355" i="35"/>
  <c r="U353" i="35"/>
  <c r="U349" i="35"/>
  <c r="U347" i="35"/>
  <c r="U341" i="35"/>
  <c r="U337" i="35"/>
  <c r="U333" i="35"/>
  <c r="U329" i="35"/>
  <c r="U327" i="35"/>
  <c r="U325" i="35"/>
  <c r="U323" i="35"/>
  <c r="U319" i="35"/>
  <c r="U311" i="35"/>
  <c r="U307" i="35"/>
  <c r="U305" i="35"/>
  <c r="U297" i="35"/>
  <c r="U293" i="35"/>
  <c r="U34" i="35"/>
  <c r="U39" i="35"/>
  <c r="U100" i="35"/>
  <c r="U139" i="35"/>
  <c r="Q124" i="35"/>
  <c r="S124" i="35" s="1"/>
  <c r="U124" i="35" s="1"/>
  <c r="U109" i="35"/>
  <c r="T104" i="35"/>
  <c r="Q84" i="35"/>
  <c r="S84" i="35" s="1"/>
  <c r="U84" i="35" s="1"/>
  <c r="T74" i="35"/>
  <c r="V74" i="35" s="1"/>
  <c r="T64" i="35"/>
  <c r="Q60" i="35"/>
  <c r="U55" i="35"/>
  <c r="U53" i="35"/>
  <c r="U47" i="35"/>
  <c r="T36" i="35"/>
  <c r="U35" i="35"/>
  <c r="U697" i="35"/>
  <c r="T689" i="35"/>
  <c r="V689" i="35" s="1"/>
  <c r="U681" i="35"/>
  <c r="U673" i="35"/>
  <c r="U665" i="35"/>
  <c r="U657" i="35"/>
  <c r="U627" i="35"/>
  <c r="U625" i="35"/>
  <c r="U619" i="35"/>
  <c r="U617" i="35"/>
  <c r="U603" i="35"/>
  <c r="U595" i="35"/>
  <c r="U593" i="35"/>
  <c r="U563" i="35"/>
  <c r="U547" i="35"/>
  <c r="U545" i="35"/>
  <c r="U513" i="35"/>
  <c r="U511" i="35"/>
  <c r="U505" i="35"/>
  <c r="U503" i="35"/>
  <c r="U501" i="35"/>
  <c r="U491" i="35"/>
  <c r="U477" i="35"/>
  <c r="U475" i="35"/>
  <c r="U473" i="35"/>
  <c r="U465" i="35"/>
  <c r="U457" i="35"/>
  <c r="T449" i="35"/>
  <c r="V449" i="35" s="1"/>
  <c r="U441" i="35"/>
  <c r="U433" i="35"/>
  <c r="U423" i="35"/>
  <c r="U415" i="35"/>
  <c r="U407" i="35"/>
  <c r="U389" i="35"/>
  <c r="U25" i="35"/>
  <c r="U37" i="35"/>
  <c r="U56" i="35"/>
  <c r="U88" i="35"/>
  <c r="T115" i="35"/>
  <c r="T132" i="35"/>
  <c r="V132" i="35" s="1"/>
  <c r="U121" i="35"/>
  <c r="Q110" i="35"/>
  <c r="S110" i="35" s="1"/>
  <c r="U110" i="35" s="1"/>
  <c r="T88" i="35"/>
  <c r="V88" i="35" s="1"/>
  <c r="T82" i="35"/>
  <c r="V82" i="35" s="1"/>
  <c r="U81" i="35"/>
  <c r="T76" i="35"/>
  <c r="U33" i="35"/>
  <c r="U27" i="35"/>
  <c r="Q26" i="35"/>
  <c r="S26" i="35" s="1"/>
  <c r="U26" i="35" s="1"/>
  <c r="T18" i="35"/>
  <c r="U695" i="35"/>
  <c r="U687" i="35"/>
  <c r="U679" i="35"/>
  <c r="U671" i="35"/>
  <c r="U655" i="35"/>
  <c r="U647" i="35"/>
  <c r="T639" i="35"/>
  <c r="V639" i="35" s="1"/>
  <c r="U631" i="35"/>
  <c r="U623" i="35"/>
  <c r="U615" i="35"/>
  <c r="U607" i="35"/>
  <c r="U599" i="35"/>
  <c r="U597" i="35"/>
  <c r="U591" i="35"/>
  <c r="U589" i="35"/>
  <c r="U543" i="35"/>
  <c r="U539" i="35"/>
  <c r="U537" i="35"/>
  <c r="U535" i="35"/>
  <c r="U523" i="35"/>
  <c r="U515" i="35"/>
  <c r="U507" i="35"/>
  <c r="U481" i="35"/>
  <c r="U459" i="35"/>
  <c r="U455" i="35"/>
  <c r="U447" i="35"/>
  <c r="U439" i="35"/>
  <c r="U431" i="35"/>
  <c r="U421" i="35"/>
  <c r="U413" i="35"/>
  <c r="T405" i="35"/>
  <c r="V405" i="35" s="1"/>
  <c r="U403" i="35"/>
  <c r="U70" i="35"/>
  <c r="U122" i="35"/>
  <c r="U112" i="35"/>
  <c r="T77" i="35"/>
  <c r="T43" i="35"/>
  <c r="V43" i="35" s="1"/>
  <c r="U608" i="35"/>
  <c r="U584" i="35"/>
  <c r="U578" i="35"/>
  <c r="T539" i="35"/>
  <c r="V539" i="35" s="1"/>
  <c r="U538" i="35"/>
  <c r="U464" i="35"/>
  <c r="T459" i="35"/>
  <c r="V459" i="35" s="1"/>
  <c r="U434" i="35"/>
  <c r="U428" i="35"/>
  <c r="U426" i="35"/>
  <c r="U404" i="35"/>
  <c r="T375" i="35"/>
  <c r="V375" i="35" s="1"/>
  <c r="U368" i="35"/>
  <c r="U362" i="35"/>
  <c r="T343" i="35"/>
  <c r="V343" i="35" s="1"/>
  <c r="U342" i="35"/>
  <c r="U338" i="35"/>
  <c r="U336" i="35"/>
  <c r="U326" i="35"/>
  <c r="U322" i="35"/>
  <c r="U320" i="35"/>
  <c r="U314" i="35"/>
  <c r="U310" i="35"/>
  <c r="U308" i="35"/>
  <c r="U306" i="35"/>
  <c r="U304" i="35"/>
  <c r="U294" i="35"/>
  <c r="U290" i="35"/>
  <c r="T289" i="35"/>
  <c r="V289" i="35" s="1"/>
  <c r="T288" i="35"/>
  <c r="V288" i="35" s="1"/>
  <c r="T287" i="35"/>
  <c r="V287" i="35" s="1"/>
  <c r="U282" i="35"/>
  <c r="U278" i="35"/>
  <c r="U274" i="35"/>
  <c r="T273" i="35"/>
  <c r="V273" i="35" s="1"/>
  <c r="T272" i="35"/>
  <c r="V272" i="35" s="1"/>
  <c r="T271" i="35"/>
  <c r="V271" i="35" s="1"/>
  <c r="U266" i="35"/>
  <c r="U264" i="35"/>
  <c r="U262" i="35"/>
  <c r="U132" i="35"/>
  <c r="T35" i="35"/>
  <c r="V35" i="35" s="1"/>
  <c r="U690" i="35"/>
  <c r="U654" i="35"/>
  <c r="U644" i="35"/>
  <c r="U638" i="35"/>
  <c r="T591" i="35"/>
  <c r="V591" i="35" s="1"/>
  <c r="U588" i="35"/>
  <c r="U582" i="35"/>
  <c r="U550" i="35"/>
  <c r="U540" i="35"/>
  <c r="U532" i="35"/>
  <c r="T525" i="35"/>
  <c r="V525" i="35" s="1"/>
  <c r="U512" i="35"/>
  <c r="T483" i="35"/>
  <c r="V483" i="35" s="1"/>
  <c r="U478" i="35"/>
  <c r="U466" i="35"/>
  <c r="U460" i="35"/>
  <c r="U436" i="35"/>
  <c r="U424" i="35"/>
  <c r="U394" i="35"/>
  <c r="T389" i="35"/>
  <c r="V389" i="35" s="1"/>
  <c r="U372" i="35"/>
  <c r="U370" i="35"/>
  <c r="U366" i="35"/>
  <c r="U364" i="35"/>
  <c r="U15" i="35"/>
  <c r="U18" i="35"/>
  <c r="U40" i="35"/>
  <c r="U51" i="35"/>
  <c r="U64" i="35"/>
  <c r="U78" i="35"/>
  <c r="U90" i="35"/>
  <c r="U108" i="35"/>
  <c r="N13" i="35"/>
  <c r="O13" i="35" s="1"/>
  <c r="U114" i="35"/>
  <c r="U96" i="35"/>
  <c r="T87" i="35"/>
  <c r="U72" i="35"/>
  <c r="U678" i="35"/>
  <c r="U662" i="35"/>
  <c r="T653" i="35"/>
  <c r="V653" i="35" s="1"/>
  <c r="U640" i="35"/>
  <c r="T635" i="35"/>
  <c r="V635" i="35" s="1"/>
  <c r="T603" i="35"/>
  <c r="V603" i="35" s="1"/>
  <c r="T577" i="35"/>
  <c r="V577" i="35" s="1"/>
  <c r="T571" i="35"/>
  <c r="V571" i="35" s="1"/>
  <c r="U552" i="35"/>
  <c r="U536" i="35"/>
  <c r="T519" i="35"/>
  <c r="V519" i="35" s="1"/>
  <c r="U496" i="35"/>
  <c r="T489" i="35"/>
  <c r="V489" i="35" s="1"/>
  <c r="U488" i="35"/>
  <c r="U474" i="35"/>
  <c r="T457" i="35"/>
  <c r="V457" i="35" s="1"/>
  <c r="U456" i="35"/>
  <c r="U454" i="35"/>
  <c r="U450" i="35"/>
  <c r="U432" i="35"/>
  <c r="T421" i="35"/>
  <c r="V421" i="35" s="1"/>
  <c r="U408" i="35"/>
  <c r="U402" i="35"/>
  <c r="U378" i="35"/>
  <c r="U346" i="35"/>
  <c r="U21" i="35"/>
  <c r="U48" i="35"/>
  <c r="U82" i="35"/>
  <c r="U98" i="35"/>
  <c r="U62" i="35"/>
  <c r="U692" i="35"/>
  <c r="U682" i="35"/>
  <c r="U674" i="35"/>
  <c r="U664" i="35"/>
  <c r="T659" i="35"/>
  <c r="V659" i="35" s="1"/>
  <c r="T651" i="35"/>
  <c r="V651" i="35" s="1"/>
  <c r="T645" i="35"/>
  <c r="V645" i="35" s="1"/>
  <c r="U620" i="35"/>
  <c r="T613" i="35"/>
  <c r="V613" i="35" s="1"/>
  <c r="U116" i="35"/>
  <c r="U36" i="35"/>
  <c r="U76" i="35"/>
  <c r="U104" i="35"/>
  <c r="U259" i="35"/>
  <c r="U255" i="35"/>
  <c r="U253" i="35"/>
  <c r="U251" i="35"/>
  <c r="U245" i="35"/>
  <c r="U243" i="35"/>
  <c r="U241" i="35"/>
  <c r="U239" i="35"/>
  <c r="U237" i="35"/>
  <c r="U235" i="35"/>
  <c r="U233" i="35"/>
  <c r="U231" i="35"/>
  <c r="U229" i="35"/>
  <c r="U227" i="35"/>
  <c r="U225" i="35"/>
  <c r="U223" i="35"/>
  <c r="U221" i="35"/>
  <c r="U217" i="35"/>
  <c r="U215" i="35"/>
  <c r="U213" i="35"/>
  <c r="U211" i="35"/>
  <c r="U209" i="35"/>
  <c r="U207" i="35"/>
  <c r="U205" i="35"/>
  <c r="U203" i="35"/>
  <c r="U201" i="35"/>
  <c r="U199" i="35"/>
  <c r="U197" i="35"/>
  <c r="U195" i="35"/>
  <c r="U193" i="35"/>
  <c r="U191" i="35"/>
  <c r="U189" i="35"/>
  <c r="U187" i="35"/>
  <c r="U185" i="35"/>
  <c r="U183" i="35"/>
  <c r="U181" i="35"/>
  <c r="U179" i="35"/>
  <c r="U177" i="35"/>
  <c r="U175" i="35"/>
  <c r="U173" i="35"/>
  <c r="U171" i="35"/>
  <c r="U169" i="35"/>
  <c r="U167" i="35"/>
  <c r="U165" i="35"/>
  <c r="U163" i="35"/>
  <c r="U161" i="35"/>
  <c r="U159" i="35"/>
  <c r="U157" i="35"/>
  <c r="U155" i="35"/>
  <c r="U153" i="35"/>
  <c r="U151" i="35"/>
  <c r="U149" i="35"/>
  <c r="U147" i="35"/>
  <c r="U145" i="35"/>
  <c r="U143" i="35"/>
  <c r="N139" i="35"/>
  <c r="O139" i="35" s="1"/>
  <c r="N137" i="35"/>
  <c r="O137" i="35" s="1"/>
  <c r="N135" i="35"/>
  <c r="O135" i="35" s="1"/>
  <c r="N133" i="35"/>
  <c r="O133" i="35" s="1"/>
  <c r="N131" i="35"/>
  <c r="O131" i="35" s="1"/>
  <c r="N129" i="35"/>
  <c r="O129" i="35" s="1"/>
  <c r="N127" i="35"/>
  <c r="O127" i="35" s="1"/>
  <c r="N125" i="35"/>
  <c r="O125" i="35" s="1"/>
  <c r="N123" i="35"/>
  <c r="O123" i="35" s="1"/>
  <c r="N121" i="35"/>
  <c r="O121" i="35" s="1"/>
  <c r="N119" i="35"/>
  <c r="O119" i="35" s="1"/>
  <c r="N117" i="35"/>
  <c r="O117" i="35" s="1"/>
  <c r="N113" i="35"/>
  <c r="O113" i="35" s="1"/>
  <c r="N111" i="35"/>
  <c r="O111" i="35" s="1"/>
  <c r="N109" i="35"/>
  <c r="O109" i="35" s="1"/>
  <c r="N107" i="35"/>
  <c r="O107" i="35" s="1"/>
  <c r="N105" i="35"/>
  <c r="O105" i="35" s="1"/>
  <c r="N101" i="35"/>
  <c r="O101" i="35" s="1"/>
  <c r="N99" i="35"/>
  <c r="O99" i="35" s="1"/>
  <c r="N97" i="35"/>
  <c r="O97" i="35" s="1"/>
  <c r="N95" i="35"/>
  <c r="O95" i="35" s="1"/>
  <c r="N91" i="35"/>
  <c r="O91" i="35" s="1"/>
  <c r="N89" i="35"/>
  <c r="O89" i="35" s="1"/>
  <c r="N87" i="35"/>
  <c r="O87" i="35" s="1"/>
  <c r="N85" i="35"/>
  <c r="O85" i="35" s="1"/>
  <c r="N83" i="35"/>
  <c r="O83" i="35" s="1"/>
  <c r="N81" i="35"/>
  <c r="O81" i="35" s="1"/>
  <c r="N79" i="35"/>
  <c r="O79" i="35" s="1"/>
  <c r="N77" i="35"/>
  <c r="O77" i="35" s="1"/>
  <c r="N75" i="35"/>
  <c r="O75" i="35" s="1"/>
  <c r="N73" i="35"/>
  <c r="O73" i="35" s="1"/>
  <c r="N71" i="35"/>
  <c r="O71" i="35" s="1"/>
  <c r="N69" i="35"/>
  <c r="O69" i="35" s="1"/>
  <c r="N67" i="35"/>
  <c r="O67" i="35" s="1"/>
  <c r="N65" i="35"/>
  <c r="O65" i="35" s="1"/>
  <c r="N59" i="35"/>
  <c r="O59" i="35" s="1"/>
  <c r="N57" i="35"/>
  <c r="O57" i="35" s="1"/>
  <c r="N55" i="35"/>
  <c r="O55" i="35" s="1"/>
  <c r="N51" i="35"/>
  <c r="O51" i="35" s="1"/>
  <c r="N49" i="35"/>
  <c r="O49" i="35" s="1"/>
  <c r="N45" i="35"/>
  <c r="O45" i="35" s="1"/>
  <c r="N43" i="35"/>
  <c r="O43" i="35" s="1"/>
  <c r="N41" i="35"/>
  <c r="O41" i="35" s="1"/>
  <c r="N39" i="35"/>
  <c r="O39" i="35" s="1"/>
  <c r="N37" i="35"/>
  <c r="O37" i="35" s="1"/>
  <c r="N35" i="35"/>
  <c r="O35" i="35" s="1"/>
  <c r="N33" i="35"/>
  <c r="O33" i="35" s="1"/>
  <c r="N31" i="35"/>
  <c r="O31" i="35" s="1"/>
  <c r="N29" i="35"/>
  <c r="O29" i="35" s="1"/>
  <c r="N23" i="35"/>
  <c r="O23" i="35" s="1"/>
  <c r="N19" i="35"/>
  <c r="O19" i="35" s="1"/>
  <c r="N17" i="35"/>
  <c r="O17" i="35" s="1"/>
  <c r="N15" i="35"/>
  <c r="O15" i="35" s="1"/>
  <c r="U258" i="35"/>
  <c r="U256" i="35"/>
  <c r="U254" i="35"/>
  <c r="U246" i="35"/>
  <c r="U242" i="35"/>
  <c r="T240" i="35"/>
  <c r="V240" i="35" s="1"/>
  <c r="U234" i="35"/>
  <c r="T231" i="35"/>
  <c r="V231" i="35" s="1"/>
  <c r="U230" i="35"/>
  <c r="U226" i="35"/>
  <c r="T224" i="35"/>
  <c r="V224" i="35" s="1"/>
  <c r="U218" i="35"/>
  <c r="U214" i="35"/>
  <c r="U210" i="35"/>
  <c r="U208" i="35"/>
  <c r="T198" i="35"/>
  <c r="V198" i="35" s="1"/>
  <c r="T194" i="35"/>
  <c r="V194" i="35" s="1"/>
  <c r="U192" i="35"/>
  <c r="U178" i="35"/>
  <c r="U176" i="35"/>
  <c r="U172" i="35"/>
  <c r="T166" i="35"/>
  <c r="V166" i="35" s="1"/>
  <c r="T162" i="35"/>
  <c r="V162" i="35" s="1"/>
  <c r="U160" i="35"/>
  <c r="T150" i="35"/>
  <c r="V150" i="35" s="1"/>
  <c r="AL150" i="35" s="1"/>
  <c r="U146" i="35"/>
  <c r="T144" i="35"/>
  <c r="V144" i="35" s="1"/>
  <c r="AL144" i="35" s="1"/>
  <c r="U129" i="35"/>
  <c r="V72" i="35"/>
  <c r="U71" i="35"/>
  <c r="U69" i="35"/>
  <c r="V32" i="35"/>
  <c r="U94" i="35"/>
  <c r="U113" i="35"/>
  <c r="V125" i="35"/>
  <c r="U125" i="35"/>
  <c r="U123" i="35"/>
  <c r="U91" i="35"/>
  <c r="U89" i="35"/>
  <c r="U103" i="35"/>
  <c r="U135" i="35"/>
  <c r="U131" i="35"/>
  <c r="U95" i="35"/>
  <c r="U57" i="35"/>
  <c r="U85" i="35"/>
  <c r="V107" i="35"/>
  <c r="U133" i="35"/>
  <c r="V78" i="35"/>
  <c r="U137" i="35"/>
  <c r="U67" i="35"/>
  <c r="U107" i="35"/>
  <c r="V131" i="35"/>
  <c r="U101" i="35"/>
  <c r="U87" i="35"/>
  <c r="U63" i="35"/>
  <c r="U61" i="35"/>
  <c r="U111" i="35"/>
  <c r="V105" i="35"/>
  <c r="V61" i="35"/>
  <c r="V101" i="35"/>
  <c r="V37" i="35"/>
  <c r="V109" i="35"/>
  <c r="U13" i="35"/>
  <c r="U74" i="35"/>
  <c r="U97" i="35"/>
  <c r="AM73" i="35" l="1"/>
  <c r="AL99" i="35"/>
  <c r="AM133" i="35"/>
  <c r="AM55" i="35"/>
  <c r="AM93" i="35"/>
  <c r="AL109" i="35"/>
  <c r="AM135" i="35"/>
  <c r="AM23" i="35"/>
  <c r="AM65" i="35"/>
  <c r="AM111" i="35"/>
  <c r="AL131" i="35"/>
  <c r="AL72" i="35"/>
  <c r="AM85" i="35"/>
  <c r="AL37" i="35"/>
  <c r="AM97" i="35"/>
  <c r="AM139" i="35"/>
  <c r="AM27" i="35"/>
  <c r="AM75" i="35"/>
  <c r="AM117" i="35"/>
  <c r="AM19" i="35"/>
  <c r="AL101" i="35"/>
  <c r="AL74" i="35"/>
  <c r="AM146" i="35"/>
  <c r="AL108" i="35"/>
  <c r="AM91" i="35"/>
  <c r="AM21" i="35"/>
  <c r="AM63" i="35"/>
  <c r="AM103" i="35"/>
  <c r="AM31" i="35"/>
  <c r="AM81" i="35"/>
  <c r="AL107" i="35"/>
  <c r="AM121" i="35"/>
  <c r="AM77" i="35"/>
  <c r="AM123" i="35"/>
  <c r="AM13" i="35"/>
  <c r="AL78" i="35"/>
  <c r="AL92" i="35"/>
  <c r="AH44" i="35"/>
  <c r="AM144" i="35"/>
  <c r="AL88" i="35"/>
  <c r="AL132" i="35"/>
  <c r="V138" i="35"/>
  <c r="AL138" i="35" s="1"/>
  <c r="AM95" i="35"/>
  <c r="AM29" i="35"/>
  <c r="AM69" i="35"/>
  <c r="AL125" i="35"/>
  <c r="AL17" i="35"/>
  <c r="AM39" i="35"/>
  <c r="AL111" i="35"/>
  <c r="AL137" i="35"/>
  <c r="AM35" i="35"/>
  <c r="AM83" i="35"/>
  <c r="AL105" i="35"/>
  <c r="AM127" i="35"/>
  <c r="AM140" i="35"/>
  <c r="AM142" i="35"/>
  <c r="AM148" i="35"/>
  <c r="AM150" i="35"/>
  <c r="AM152" i="35"/>
  <c r="AM15" i="35"/>
  <c r="AM99" i="35"/>
  <c r="AM33" i="35"/>
  <c r="AM79" i="35"/>
  <c r="AM109" i="35"/>
  <c r="AL43" i="35"/>
  <c r="AM43" i="35"/>
  <c r="AL65" i="35"/>
  <c r="AM145" i="35"/>
  <c r="AM45" i="35"/>
  <c r="AL61" i="35"/>
  <c r="AM87" i="35"/>
  <c r="AM67" i="35"/>
  <c r="AM25" i="35"/>
  <c r="AM113" i="35"/>
  <c r="AM37" i="35"/>
  <c r="AM115" i="35"/>
  <c r="AL24" i="35"/>
  <c r="AM47" i="35"/>
  <c r="AL75" i="35"/>
  <c r="AM131" i="35"/>
  <c r="AM147" i="35"/>
  <c r="AM49" i="35"/>
  <c r="AM101" i="35"/>
  <c r="AL82" i="35"/>
  <c r="AM51" i="35"/>
  <c r="AM137" i="35"/>
  <c r="AM149" i="35"/>
  <c r="V53" i="35"/>
  <c r="AL53" i="35" s="1"/>
  <c r="AM105" i="35"/>
  <c r="AH140" i="35"/>
  <c r="AM71" i="35"/>
  <c r="AM129" i="35"/>
  <c r="AL79" i="35"/>
  <c r="AM89" i="35"/>
  <c r="AM125" i="35"/>
  <c r="AM17" i="35"/>
  <c r="AM59" i="35"/>
  <c r="AM107" i="35"/>
  <c r="AM151" i="35"/>
  <c r="AL35" i="35"/>
  <c r="AM57" i="35"/>
  <c r="AL32" i="35"/>
  <c r="AL112" i="35"/>
  <c r="T53" i="35"/>
  <c r="T116" i="35"/>
  <c r="V116" i="35" s="1"/>
  <c r="AL116" i="35" s="1"/>
  <c r="T280" i="35"/>
  <c r="V280" i="35" s="1"/>
  <c r="V57" i="35"/>
  <c r="AL57" i="35" s="1"/>
  <c r="V111" i="35"/>
  <c r="V98" i="35"/>
  <c r="AL98" i="35" s="1"/>
  <c r="T27" i="35"/>
  <c r="T86" i="35"/>
  <c r="K14" i="34"/>
  <c r="K18" i="34" s="1"/>
  <c r="T244" i="35"/>
  <c r="V244" i="35" s="1"/>
  <c r="V123" i="35"/>
  <c r="AL123" i="35" s="1"/>
  <c r="V39" i="35"/>
  <c r="AL39" i="35" s="1"/>
  <c r="V71" i="35"/>
  <c r="AL71" i="35" s="1"/>
  <c r="V56" i="35"/>
  <c r="AL56" i="35" s="1"/>
  <c r="V122" i="35"/>
  <c r="AL122" i="35" s="1"/>
  <c r="T15" i="35"/>
  <c r="V15" i="35" s="1"/>
  <c r="AL15" i="35" s="1"/>
  <c r="T216" i="35"/>
  <c r="V216" i="35" s="1"/>
  <c r="T252" i="35"/>
  <c r="V252" i="35" s="1"/>
  <c r="V112" i="35"/>
  <c r="U92" i="35"/>
  <c r="T121" i="35"/>
  <c r="V121" i="35" s="1"/>
  <c r="AL121" i="35" s="1"/>
  <c r="V29" i="35"/>
  <c r="AL29" i="35" s="1"/>
  <c r="T128" i="35"/>
  <c r="V128" i="35" s="1"/>
  <c r="AL128" i="35" s="1"/>
  <c r="V108" i="35"/>
  <c r="V90" i="35"/>
  <c r="AL90" i="35" s="1"/>
  <c r="T63" i="35"/>
  <c r="V63" i="35" s="1"/>
  <c r="AL63" i="35" s="1"/>
  <c r="V85" i="35"/>
  <c r="AL85" i="35" s="1"/>
  <c r="V91" i="35"/>
  <c r="AL91" i="35" s="1"/>
  <c r="V55" i="35"/>
  <c r="AL55" i="35" s="1"/>
  <c r="V135" i="35"/>
  <c r="AL135" i="35" s="1"/>
  <c r="V89" i="35"/>
  <c r="AL89" i="35" s="1"/>
  <c r="V133" i="35"/>
  <c r="AL133" i="35" s="1"/>
  <c r="T23" i="35"/>
  <c r="V23" i="35" s="1"/>
  <c r="AL23" i="35" s="1"/>
  <c r="T138" i="35"/>
  <c r="T126" i="35"/>
  <c r="V126" i="35" s="1"/>
  <c r="AL126" i="35" s="1"/>
  <c r="V41" i="35"/>
  <c r="AL41" i="35" s="1"/>
  <c r="U86" i="35"/>
  <c r="V25" i="35"/>
  <c r="AL25" i="35" s="1"/>
  <c r="V119" i="35"/>
  <c r="AL119" i="35" s="1"/>
  <c r="Y38" i="35"/>
  <c r="AM38" i="35" s="1"/>
  <c r="X38" i="35"/>
  <c r="AE38" i="35"/>
  <c r="AD38" i="35"/>
  <c r="AC38" i="35"/>
  <c r="Z38" i="35"/>
  <c r="AB38" i="35"/>
  <c r="AA38" i="35"/>
  <c r="R38" i="35"/>
  <c r="Y54" i="35"/>
  <c r="AM54" i="35" s="1"/>
  <c r="X54" i="35"/>
  <c r="AE54" i="35"/>
  <c r="AD54" i="35"/>
  <c r="AC54" i="35"/>
  <c r="Z54" i="35"/>
  <c r="AB54" i="35"/>
  <c r="AA54" i="35"/>
  <c r="R54" i="35"/>
  <c r="T54" i="35" s="1"/>
  <c r="Y22" i="35"/>
  <c r="AM22" i="35" s="1"/>
  <c r="X22" i="35"/>
  <c r="AE22" i="35"/>
  <c r="AD22" i="35"/>
  <c r="AB22" i="35"/>
  <c r="AC22" i="35"/>
  <c r="Z22" i="35"/>
  <c r="AA22" i="35"/>
  <c r="R22" i="35"/>
  <c r="Y46" i="35"/>
  <c r="AM46" i="35" s="1"/>
  <c r="AE46" i="35"/>
  <c r="AD46" i="35"/>
  <c r="X46" i="35"/>
  <c r="AC46" i="35"/>
  <c r="Z46" i="35"/>
  <c r="AB46" i="35"/>
  <c r="AA46" i="35"/>
  <c r="R46" i="35"/>
  <c r="Y52" i="35"/>
  <c r="AM52" i="35" s="1"/>
  <c r="X52" i="35"/>
  <c r="AE52" i="35"/>
  <c r="AD52" i="35"/>
  <c r="AC52" i="35"/>
  <c r="AB52" i="35"/>
  <c r="Z52" i="35"/>
  <c r="AA52" i="35"/>
  <c r="R52" i="35"/>
  <c r="T52" i="35" s="1"/>
  <c r="V52" i="35" s="1"/>
  <c r="Y28" i="35"/>
  <c r="AM28" i="35" s="1"/>
  <c r="X28" i="35"/>
  <c r="AE28" i="35"/>
  <c r="AB28" i="35"/>
  <c r="AD28" i="35"/>
  <c r="AC28" i="35"/>
  <c r="AA28" i="35"/>
  <c r="R28" i="35"/>
  <c r="Z28" i="35"/>
  <c r="Y14" i="35"/>
  <c r="AM14" i="35" s="1"/>
  <c r="X14" i="35"/>
  <c r="AE14" i="35"/>
  <c r="AD14" i="35"/>
  <c r="AB14" i="35"/>
  <c r="AC14" i="35"/>
  <c r="Z14" i="35"/>
  <c r="AA14" i="35"/>
  <c r="R14" i="35"/>
  <c r="T14" i="35" s="1"/>
  <c r="T129" i="35"/>
  <c r="V129" i="35" s="1"/>
  <c r="AL129" i="35" s="1"/>
  <c r="X26" i="35"/>
  <c r="AE26" i="35"/>
  <c r="Y26" i="35"/>
  <c r="AM26" i="35" s="1"/>
  <c r="AD26" i="35"/>
  <c r="AB26" i="35"/>
  <c r="AC26" i="35"/>
  <c r="Z26" i="35"/>
  <c r="AA26" i="35"/>
  <c r="R26" i="35"/>
  <c r="T26" i="35" s="1"/>
  <c r="Y110" i="35"/>
  <c r="AM110" i="35" s="1"/>
  <c r="X110" i="35"/>
  <c r="AE110" i="35"/>
  <c r="AD110" i="35"/>
  <c r="AC110" i="35"/>
  <c r="Z110" i="35"/>
  <c r="AA110" i="35"/>
  <c r="AB110" i="35"/>
  <c r="R110" i="35"/>
  <c r="Y60" i="35"/>
  <c r="AM60" i="35" s="1"/>
  <c r="X60" i="35"/>
  <c r="AE60" i="35"/>
  <c r="AC60" i="35"/>
  <c r="AD60" i="35"/>
  <c r="AB60" i="35"/>
  <c r="AA60" i="35"/>
  <c r="R60" i="35"/>
  <c r="Z60" i="35"/>
  <c r="Y30" i="35"/>
  <c r="AM30" i="35" s="1"/>
  <c r="X30" i="35"/>
  <c r="AE30" i="35"/>
  <c r="AD30" i="35"/>
  <c r="AC30" i="35"/>
  <c r="AB30" i="35"/>
  <c r="Z30" i="35"/>
  <c r="AA30" i="35"/>
  <c r="R30" i="35"/>
  <c r="S30" i="35"/>
  <c r="X66" i="35"/>
  <c r="Y66" i="35"/>
  <c r="AM66" i="35" s="1"/>
  <c r="AE66" i="35"/>
  <c r="AD66" i="35"/>
  <c r="AB66" i="35"/>
  <c r="AC66" i="35"/>
  <c r="Z66" i="35"/>
  <c r="AA66" i="35"/>
  <c r="R66" i="35"/>
  <c r="T66" i="35" s="1"/>
  <c r="Y134" i="35"/>
  <c r="AM134" i="35" s="1"/>
  <c r="X134" i="35"/>
  <c r="AE134" i="35"/>
  <c r="AD134" i="35"/>
  <c r="AC134" i="35"/>
  <c r="AB134" i="35"/>
  <c r="AA134" i="35"/>
  <c r="Z134" i="35"/>
  <c r="R134" i="35"/>
  <c r="T134" i="35" s="1"/>
  <c r="Y68" i="35"/>
  <c r="AM68" i="35" s="1"/>
  <c r="X68" i="35"/>
  <c r="AE68" i="35"/>
  <c r="AD68" i="35"/>
  <c r="AB68" i="35"/>
  <c r="AC68" i="35"/>
  <c r="AA68" i="35"/>
  <c r="Z68" i="35"/>
  <c r="R68" i="35"/>
  <c r="Y84" i="35"/>
  <c r="AM84" i="35" s="1"/>
  <c r="X84" i="35"/>
  <c r="AE84" i="35"/>
  <c r="AD84" i="35"/>
  <c r="AB84" i="35"/>
  <c r="Z84" i="35"/>
  <c r="AA84" i="35"/>
  <c r="AC84" i="35"/>
  <c r="R84" i="35"/>
  <c r="Y124" i="35"/>
  <c r="AM124" i="35" s="1"/>
  <c r="X124" i="35"/>
  <c r="AE124" i="35"/>
  <c r="AC124" i="35"/>
  <c r="AB124" i="35"/>
  <c r="AD124" i="35"/>
  <c r="Z124" i="35"/>
  <c r="AA124" i="35"/>
  <c r="R124" i="35"/>
  <c r="T124" i="35" s="1"/>
  <c r="X50" i="35"/>
  <c r="Y50" i="35"/>
  <c r="AM50" i="35" s="1"/>
  <c r="AE50" i="35"/>
  <c r="AC50" i="35"/>
  <c r="AB50" i="35"/>
  <c r="Z50" i="35"/>
  <c r="AD50" i="35"/>
  <c r="AA50" i="35"/>
  <c r="R50" i="35"/>
  <c r="S60" i="35"/>
  <c r="U60" i="35" s="1"/>
  <c r="X80" i="35"/>
  <c r="Y80" i="35"/>
  <c r="AM80" i="35" s="1"/>
  <c r="AE80" i="35"/>
  <c r="AD80" i="35"/>
  <c r="Z80" i="35"/>
  <c r="AC80" i="35"/>
  <c r="AB80" i="35"/>
  <c r="AA80" i="35"/>
  <c r="R80" i="35"/>
  <c r="Y136" i="35"/>
  <c r="AM136" i="35" s="1"/>
  <c r="X136" i="35"/>
  <c r="AD136" i="35"/>
  <c r="Z136" i="35"/>
  <c r="AE136" i="35"/>
  <c r="AB136" i="35"/>
  <c r="AC136" i="35"/>
  <c r="AA136" i="35"/>
  <c r="R136" i="35"/>
  <c r="T136" i="35" s="1"/>
  <c r="Y20" i="35"/>
  <c r="AM20" i="35" s="1"/>
  <c r="X20" i="35"/>
  <c r="AE20" i="35"/>
  <c r="AD20" i="35"/>
  <c r="AB20" i="35"/>
  <c r="Z20" i="35"/>
  <c r="AA20" i="35"/>
  <c r="AC20" i="35"/>
  <c r="R20" i="35"/>
  <c r="S80" i="35"/>
  <c r="U80" i="35" s="1"/>
  <c r="V13" i="35"/>
  <c r="AL13" i="35" s="1"/>
  <c r="V103" i="35"/>
  <c r="AL103" i="35" s="1"/>
  <c r="V95" i="35"/>
  <c r="AL95" i="35" s="1"/>
  <c r="T223" i="35"/>
  <c r="V223" i="35" s="1"/>
  <c r="T19" i="35"/>
  <c r="V19" i="35" s="1"/>
  <c r="AL19" i="35" s="1"/>
  <c r="T267" i="35"/>
  <c r="V267" i="35" s="1"/>
  <c r="T319" i="35"/>
  <c r="V319" i="35" s="1"/>
  <c r="T663" i="35"/>
  <c r="V663" i="35" s="1"/>
  <c r="T315" i="35"/>
  <c r="V315" i="35" s="1"/>
  <c r="T597" i="35"/>
  <c r="V597" i="35" s="1"/>
  <c r="T345" i="35"/>
  <c r="V345" i="35" s="1"/>
  <c r="T687" i="35"/>
  <c r="V687" i="35" s="1"/>
  <c r="T481" i="35"/>
  <c r="V481" i="35" s="1"/>
  <c r="T377" i="35"/>
  <c r="V377" i="35" s="1"/>
  <c r="T299" i="35"/>
  <c r="V299" i="35" s="1"/>
  <c r="U154" i="35"/>
  <c r="T535" i="35"/>
  <c r="V535" i="35" s="1"/>
  <c r="V49" i="35"/>
  <c r="AL49" i="35" s="1"/>
  <c r="V34" i="35"/>
  <c r="AL34" i="35" s="1"/>
  <c r="T182" i="35"/>
  <c r="V182" i="35" s="1"/>
  <c r="T239" i="35"/>
  <c r="V239" i="35" s="1"/>
  <c r="T355" i="35"/>
  <c r="V355" i="35" s="1"/>
  <c r="T397" i="35"/>
  <c r="V397" i="35" s="1"/>
  <c r="T317" i="35"/>
  <c r="V317" i="35" s="1"/>
  <c r="T611" i="35"/>
  <c r="V611" i="35" s="1"/>
  <c r="T233" i="35"/>
  <c r="V233" i="35" s="1"/>
  <c r="V67" i="35"/>
  <c r="AL67" i="35" s="1"/>
  <c r="V21" i="35"/>
  <c r="AL21" i="35" s="1"/>
  <c r="V69" i="35"/>
  <c r="AL69" i="35" s="1"/>
  <c r="V36" i="35"/>
  <c r="AL36" i="35" s="1"/>
  <c r="T81" i="35"/>
  <c r="V81" i="35" s="1"/>
  <c r="AL81" i="35" s="1"/>
  <c r="T365" i="35"/>
  <c r="V365" i="35" s="1"/>
  <c r="T47" i="35"/>
  <c r="V47" i="35" s="1"/>
  <c r="AL47" i="35" s="1"/>
  <c r="T429" i="35"/>
  <c r="V429" i="35" s="1"/>
  <c r="T665" i="35"/>
  <c r="V665" i="35" s="1"/>
  <c r="T309" i="35"/>
  <c r="V309" i="35" s="1"/>
  <c r="T699" i="35"/>
  <c r="V699" i="35" s="1"/>
  <c r="T118" i="35"/>
  <c r="V118" i="35" s="1"/>
  <c r="AL118" i="35" s="1"/>
  <c r="V120" i="35"/>
  <c r="AL120" i="35" s="1"/>
  <c r="T353" i="35"/>
  <c r="V353" i="35" s="1"/>
  <c r="T58" i="35"/>
  <c r="V58" i="35" s="1"/>
  <c r="AL58" i="35" s="1"/>
  <c r="V104" i="35"/>
  <c r="AL104" i="35" s="1"/>
  <c r="T184" i="35"/>
  <c r="V184" i="35" s="1"/>
  <c r="T200" i="35"/>
  <c r="V200" i="35" s="1"/>
  <c r="T241" i="35"/>
  <c r="V241" i="35" s="1"/>
  <c r="T557" i="35"/>
  <c r="V557" i="35" s="1"/>
  <c r="T371" i="35"/>
  <c r="V371" i="35" s="1"/>
  <c r="T583" i="35"/>
  <c r="V583" i="35" s="1"/>
  <c r="T303" i="35"/>
  <c r="V303" i="35" s="1"/>
  <c r="T495" i="35"/>
  <c r="V495" i="35" s="1"/>
  <c r="T335" i="35"/>
  <c r="V335" i="35" s="1"/>
  <c r="T130" i="35"/>
  <c r="V130" i="35" s="1"/>
  <c r="AL130" i="35" s="1"/>
  <c r="T515" i="35"/>
  <c r="V515" i="35" s="1"/>
  <c r="U315" i="35"/>
  <c r="V62" i="35"/>
  <c r="AL62" i="35" s="1"/>
  <c r="T455" i="35"/>
  <c r="V455" i="35" s="1"/>
  <c r="T617" i="35"/>
  <c r="V617" i="35" s="1"/>
  <c r="T341" i="35"/>
  <c r="V341" i="35" s="1"/>
  <c r="T327" i="35"/>
  <c r="V327" i="35" s="1"/>
  <c r="T94" i="35"/>
  <c r="V94" i="35" s="1"/>
  <c r="AL94" i="35" s="1"/>
  <c r="T607" i="35"/>
  <c r="V607" i="35" s="1"/>
  <c r="T127" i="35"/>
  <c r="V127" i="35" s="1"/>
  <c r="AL127" i="35" s="1"/>
  <c r="T681" i="35"/>
  <c r="V681" i="35" s="1"/>
  <c r="T381" i="35"/>
  <c r="V381" i="35" s="1"/>
  <c r="T477" i="35"/>
  <c r="V477" i="35" s="1"/>
  <c r="T417" i="35"/>
  <c r="V417" i="35" s="1"/>
  <c r="T329" i="35"/>
  <c r="V329" i="35" s="1"/>
  <c r="T391" i="35"/>
  <c r="V391" i="35" s="1"/>
  <c r="T269" i="35"/>
  <c r="V269" i="35" s="1"/>
  <c r="T285" i="35"/>
  <c r="V285" i="35" s="1"/>
  <c r="T379" i="35"/>
  <c r="V379" i="35" s="1"/>
  <c r="T225" i="35"/>
  <c r="V225" i="35" s="1"/>
  <c r="T545" i="35"/>
  <c r="V545" i="35" s="1"/>
  <c r="V73" i="35"/>
  <c r="AL73" i="35" s="1"/>
  <c r="T367" i="35"/>
  <c r="V367" i="35" s="1"/>
  <c r="T615" i="35"/>
  <c r="V615" i="35" s="1"/>
  <c r="T297" i="35"/>
  <c r="V297" i="35" s="1"/>
  <c r="T208" i="35"/>
  <c r="V208" i="35" s="1"/>
  <c r="T415" i="35"/>
  <c r="V415" i="35" s="1"/>
  <c r="T395" i="35"/>
  <c r="V395" i="35" s="1"/>
  <c r="U186" i="35"/>
  <c r="T589" i="35"/>
  <c r="V589" i="35" s="1"/>
  <c r="T235" i="35"/>
  <c r="V235" i="35" s="1"/>
  <c r="T549" i="35"/>
  <c r="V549" i="35" s="1"/>
  <c r="T325" i="35"/>
  <c r="V325" i="35" s="1"/>
  <c r="T337" i="35"/>
  <c r="V337" i="35" s="1"/>
  <c r="T447" i="35"/>
  <c r="V447" i="35" s="1"/>
  <c r="T523" i="35"/>
  <c r="V523" i="35" s="1"/>
  <c r="T100" i="35"/>
  <c r="V100" i="35" s="1"/>
  <c r="AL100" i="35" s="1"/>
  <c r="T188" i="35"/>
  <c r="V188" i="35" s="1"/>
  <c r="T227" i="35"/>
  <c r="V227" i="35" s="1"/>
  <c r="T567" i="35"/>
  <c r="V567" i="35" s="1"/>
  <c r="U247" i="35"/>
  <c r="T59" i="35"/>
  <c r="V59" i="35" s="1"/>
  <c r="AL59" i="35" s="1"/>
  <c r="T347" i="35"/>
  <c r="V347" i="35" s="1"/>
  <c r="T221" i="35"/>
  <c r="V221" i="35" s="1"/>
  <c r="T237" i="35"/>
  <c r="V237" i="35" s="1"/>
  <c r="T253" i="35"/>
  <c r="V253" i="35" s="1"/>
  <c r="T323" i="35"/>
  <c r="V323" i="35" s="1"/>
  <c r="V18" i="35"/>
  <c r="AL18" i="35" s="1"/>
  <c r="U166" i="35"/>
  <c r="T178" i="35"/>
  <c r="V178" i="35" s="1"/>
  <c r="U249" i="35"/>
  <c r="T383" i="35"/>
  <c r="V383" i="35" s="1"/>
  <c r="T501" i="35"/>
  <c r="V501" i="35" s="1"/>
  <c r="T677" i="35"/>
  <c r="V677" i="35" s="1"/>
  <c r="T291" i="35"/>
  <c r="V291" i="35" s="1"/>
  <c r="T485" i="35"/>
  <c r="V485" i="35" s="1"/>
  <c r="U521" i="35"/>
  <c r="U601" i="35"/>
  <c r="T451" i="35"/>
  <c r="V451" i="35" s="1"/>
  <c r="T671" i="35"/>
  <c r="V671" i="35" s="1"/>
  <c r="T259" i="35"/>
  <c r="V259" i="35" s="1"/>
  <c r="U198" i="35"/>
  <c r="T275" i="35"/>
  <c r="V275" i="35" s="1"/>
  <c r="T441" i="35"/>
  <c r="V441" i="35" s="1"/>
  <c r="T419" i="35"/>
  <c r="V419" i="35" s="1"/>
  <c r="T215" i="35"/>
  <c r="V215" i="35" s="1"/>
  <c r="T251" i="35"/>
  <c r="V251" i="35" s="1"/>
  <c r="T156" i="35"/>
  <c r="V156" i="35" s="1"/>
  <c r="T563" i="35"/>
  <c r="V563" i="35" s="1"/>
  <c r="T407" i="35"/>
  <c r="V407" i="35" s="1"/>
  <c r="T473" i="35"/>
  <c r="V473" i="35" s="1"/>
  <c r="U162" i="35"/>
  <c r="U168" i="35"/>
  <c r="U194" i="35"/>
  <c r="U200" i="35"/>
  <c r="T140" i="35"/>
  <c r="V140" i="35" s="1"/>
  <c r="T529" i="35"/>
  <c r="V529" i="35" s="1"/>
  <c r="T279" i="35"/>
  <c r="V279" i="35" s="1"/>
  <c r="T93" i="35"/>
  <c r="V93" i="35" s="1"/>
  <c r="AL93" i="35" s="1"/>
  <c r="T385" i="35"/>
  <c r="V385" i="35" s="1"/>
  <c r="V64" i="35"/>
  <c r="AL64" i="35" s="1"/>
  <c r="U144" i="35"/>
  <c r="U150" i="35"/>
  <c r="U182" i="35"/>
  <c r="T172" i="35"/>
  <c r="V172" i="35" s="1"/>
  <c r="T210" i="35"/>
  <c r="V210" i="35" s="1"/>
  <c r="U219" i="35"/>
  <c r="T629" i="35"/>
  <c r="V629" i="35" s="1"/>
  <c r="U531" i="35"/>
  <c r="U639" i="35"/>
  <c r="U75" i="35"/>
  <c r="U689" i="35"/>
  <c r="U170" i="35"/>
  <c r="U202" i="35"/>
  <c r="T229" i="35"/>
  <c r="V229" i="35" s="1"/>
  <c r="T255" i="35"/>
  <c r="V255" i="35" s="1"/>
  <c r="T204" i="35"/>
  <c r="V204" i="35" s="1"/>
  <c r="T359" i="35"/>
  <c r="V359" i="35" s="1"/>
  <c r="T427" i="35"/>
  <c r="V427" i="35" s="1"/>
  <c r="T667" i="35"/>
  <c r="V667" i="35" s="1"/>
  <c r="T691" i="35"/>
  <c r="V691" i="35" s="1"/>
  <c r="T363" i="35"/>
  <c r="V363" i="35" s="1"/>
  <c r="T465" i="35"/>
  <c r="V465" i="35" s="1"/>
  <c r="T547" i="35"/>
  <c r="V547" i="35" s="1"/>
  <c r="U493" i="35"/>
  <c r="U387" i="35"/>
  <c r="T399" i="35"/>
  <c r="V399" i="35" s="1"/>
  <c r="U575" i="35"/>
  <c r="V76" i="35"/>
  <c r="AL76" i="35" s="1"/>
  <c r="V40" i="35"/>
  <c r="AL40" i="35" s="1"/>
  <c r="U152" i="35"/>
  <c r="U184" i="35"/>
  <c r="T217" i="35"/>
  <c r="V217" i="35" s="1"/>
  <c r="T160" i="35"/>
  <c r="V160" i="35" s="1"/>
  <c r="T625" i="35"/>
  <c r="V625" i="35" s="1"/>
  <c r="T117" i="35"/>
  <c r="V117" i="35" s="1"/>
  <c r="AL117" i="35" s="1"/>
  <c r="T176" i="35"/>
  <c r="V176" i="35" s="1"/>
  <c r="T311" i="35"/>
  <c r="V311" i="35" s="1"/>
  <c r="T533" i="35"/>
  <c r="V533" i="35" s="1"/>
  <c r="T139" i="35"/>
  <c r="V139" i="35" s="1"/>
  <c r="AL139" i="35" s="1"/>
  <c r="V48" i="35"/>
  <c r="AL48" i="35" s="1"/>
  <c r="U142" i="35"/>
  <c r="T149" i="35"/>
  <c r="V149" i="35" s="1"/>
  <c r="AL149" i="35" s="1"/>
  <c r="T192" i="35"/>
  <c r="V192" i="35" s="1"/>
  <c r="T695" i="35"/>
  <c r="V695" i="35" s="1"/>
  <c r="T443" i="35"/>
  <c r="V443" i="35" s="1"/>
  <c r="U405" i="35"/>
  <c r="T163" i="35"/>
  <c r="V163" i="35" s="1"/>
  <c r="T153" i="35"/>
  <c r="V153" i="35" s="1"/>
  <c r="T201" i="35"/>
  <c r="V201" i="35" s="1"/>
  <c r="T164" i="35"/>
  <c r="V164" i="35" s="1"/>
  <c r="T232" i="35"/>
  <c r="V232" i="35" s="1"/>
  <c r="T362" i="35"/>
  <c r="V362" i="35" s="1"/>
  <c r="T554" i="35"/>
  <c r="V554" i="35" s="1"/>
  <c r="T652" i="35"/>
  <c r="V652" i="35" s="1"/>
  <c r="T159" i="35"/>
  <c r="V159" i="35" s="1"/>
  <c r="T175" i="35"/>
  <c r="V175" i="35" s="1"/>
  <c r="U180" i="35"/>
  <c r="T191" i="35"/>
  <c r="V191" i="35" s="1"/>
  <c r="U196" i="35"/>
  <c r="T207" i="35"/>
  <c r="V207" i="35" s="1"/>
  <c r="U212" i="35"/>
  <c r="U216" i="35"/>
  <c r="U220" i="35"/>
  <c r="U224" i="35"/>
  <c r="U228" i="35"/>
  <c r="U236" i="35"/>
  <c r="U240" i="35"/>
  <c r="U244" i="35"/>
  <c r="U248" i="35"/>
  <c r="U252" i="35"/>
  <c r="U257" i="35"/>
  <c r="U272" i="35"/>
  <c r="U276" i="35"/>
  <c r="U280" i="35"/>
  <c r="U284" i="35"/>
  <c r="U288" i="35"/>
  <c r="U292" i="35"/>
  <c r="T406" i="35"/>
  <c r="V406" i="35" s="1"/>
  <c r="T448" i="35"/>
  <c r="V448" i="35" s="1"/>
  <c r="T474" i="35"/>
  <c r="V474" i="35" s="1"/>
  <c r="U495" i="35"/>
  <c r="T516" i="35"/>
  <c r="V516" i="35" s="1"/>
  <c r="T532" i="35"/>
  <c r="V532" i="35" s="1"/>
  <c r="T640" i="35"/>
  <c r="V640" i="35" s="1"/>
  <c r="U663" i="35"/>
  <c r="U79" i="35"/>
  <c r="T424" i="35"/>
  <c r="V424" i="35" s="1"/>
  <c r="U449" i="35"/>
  <c r="T528" i="35"/>
  <c r="V528" i="35" s="1"/>
  <c r="U555" i="35"/>
  <c r="U649" i="35"/>
  <c r="T690" i="35"/>
  <c r="V690" i="35" s="1"/>
  <c r="U301" i="35"/>
  <c r="U309" i="35"/>
  <c r="T334" i="35"/>
  <c r="V334" i="35" s="1"/>
  <c r="U345" i="35"/>
  <c r="U351" i="35"/>
  <c r="T358" i="35"/>
  <c r="V358" i="35" s="1"/>
  <c r="U381" i="35"/>
  <c r="T388" i="35"/>
  <c r="V388" i="35" s="1"/>
  <c r="U399" i="35"/>
  <c r="U425" i="35"/>
  <c r="T438" i="35"/>
  <c r="V438" i="35" s="1"/>
  <c r="T550" i="35"/>
  <c r="V550" i="35" s="1"/>
  <c r="U605" i="35"/>
  <c r="T646" i="35"/>
  <c r="V646" i="35" s="1"/>
  <c r="U669" i="35"/>
  <c r="U699" i="35"/>
  <c r="T268" i="35"/>
  <c r="V268" i="35" s="1"/>
  <c r="T304" i="35"/>
  <c r="V304" i="35" s="1"/>
  <c r="U335" i="35"/>
  <c r="T348" i="35"/>
  <c r="V348" i="35" s="1"/>
  <c r="T374" i="35"/>
  <c r="V374" i="35" s="1"/>
  <c r="T390" i="35"/>
  <c r="V390" i="35" s="1"/>
  <c r="U401" i="35"/>
  <c r="U419" i="35"/>
  <c r="U451" i="35"/>
  <c r="T464" i="35"/>
  <c r="V464" i="35" s="1"/>
  <c r="U487" i="35"/>
  <c r="T512" i="35"/>
  <c r="V512" i="35" s="1"/>
  <c r="T530" i="35"/>
  <c r="V530" i="35" s="1"/>
  <c r="U587" i="35"/>
  <c r="T612" i="35"/>
  <c r="V612" i="35" s="1"/>
  <c r="T676" i="35"/>
  <c r="V676" i="35" s="1"/>
  <c r="U17" i="35"/>
  <c r="T143" i="35"/>
  <c r="V143" i="35" s="1"/>
  <c r="AL143" i="35" s="1"/>
  <c r="T185" i="35"/>
  <c r="V185" i="35" s="1"/>
  <c r="T148" i="35"/>
  <c r="V148" i="35" s="1"/>
  <c r="AL148" i="35" s="1"/>
  <c r="T582" i="35"/>
  <c r="V582" i="35" s="1"/>
  <c r="T680" i="35"/>
  <c r="V680" i="35" s="1"/>
  <c r="T620" i="35"/>
  <c r="V620" i="35" s="1"/>
  <c r="T316" i="35"/>
  <c r="V316" i="35" s="1"/>
  <c r="T386" i="35"/>
  <c r="V386" i="35" s="1"/>
  <c r="V96" i="35"/>
  <c r="AL96" i="35" s="1"/>
  <c r="T165" i="35"/>
  <c r="V165" i="35" s="1"/>
  <c r="T181" i="35"/>
  <c r="V181" i="35" s="1"/>
  <c r="T197" i="35"/>
  <c r="V197" i="35" s="1"/>
  <c r="T258" i="35"/>
  <c r="V258" i="35" s="1"/>
  <c r="T496" i="35"/>
  <c r="V496" i="35" s="1"/>
  <c r="T600" i="35"/>
  <c r="V600" i="35" s="1"/>
  <c r="T664" i="35"/>
  <c r="V664" i="35" s="1"/>
  <c r="U99" i="35"/>
  <c r="T450" i="35"/>
  <c r="V450" i="35" s="1"/>
  <c r="T506" i="35"/>
  <c r="V506" i="35" s="1"/>
  <c r="T538" i="35"/>
  <c r="V538" i="35" s="1"/>
  <c r="T556" i="35"/>
  <c r="V556" i="35" s="1"/>
  <c r="T604" i="35"/>
  <c r="V604" i="35" s="1"/>
  <c r="T650" i="35"/>
  <c r="V650" i="35" s="1"/>
  <c r="T302" i="35"/>
  <c r="V302" i="35" s="1"/>
  <c r="T310" i="35"/>
  <c r="V310" i="35" s="1"/>
  <c r="T346" i="35"/>
  <c r="V346" i="35" s="1"/>
  <c r="T360" i="35"/>
  <c r="V360" i="35" s="1"/>
  <c r="T400" i="35"/>
  <c r="V400" i="35" s="1"/>
  <c r="T510" i="35"/>
  <c r="V510" i="35" s="1"/>
  <c r="T606" i="35"/>
  <c r="V606" i="35" s="1"/>
  <c r="T670" i="35"/>
  <c r="V670" i="35" s="1"/>
  <c r="T700" i="35"/>
  <c r="V700" i="35" s="1"/>
  <c r="T102" i="35"/>
  <c r="V102" i="35" s="1"/>
  <c r="AL102" i="35" s="1"/>
  <c r="T308" i="35"/>
  <c r="V308" i="35" s="1"/>
  <c r="T336" i="35"/>
  <c r="V336" i="35" s="1"/>
  <c r="T352" i="35"/>
  <c r="V352" i="35" s="1"/>
  <c r="T402" i="35"/>
  <c r="V402" i="35" s="1"/>
  <c r="T420" i="35"/>
  <c r="V420" i="35" s="1"/>
  <c r="T536" i="35"/>
  <c r="V536" i="35" s="1"/>
  <c r="T588" i="35"/>
  <c r="V588" i="35" s="1"/>
  <c r="T618" i="35"/>
  <c r="V618" i="35" s="1"/>
  <c r="T211" i="35"/>
  <c r="V211" i="35" s="1"/>
  <c r="U174" i="35"/>
  <c r="T114" i="35"/>
  <c r="V114" i="35" s="1"/>
  <c r="AL114" i="35" s="1"/>
  <c r="T466" i="35"/>
  <c r="V466" i="35" s="1"/>
  <c r="T586" i="35"/>
  <c r="V586" i="35" s="1"/>
  <c r="T460" i="35"/>
  <c r="V460" i="35" s="1"/>
  <c r="T576" i="35"/>
  <c r="V576" i="35" s="1"/>
  <c r="V87" i="35"/>
  <c r="AL87" i="35" s="1"/>
  <c r="T145" i="35"/>
  <c r="V145" i="35" s="1"/>
  <c r="AL145" i="35" s="1"/>
  <c r="T155" i="35"/>
  <c r="V155" i="35" s="1"/>
  <c r="T171" i="35"/>
  <c r="V171" i="35" s="1"/>
  <c r="T187" i="35"/>
  <c r="V187" i="35" s="1"/>
  <c r="T203" i="35"/>
  <c r="V203" i="35" s="1"/>
  <c r="U30" i="35"/>
  <c r="T463" i="35"/>
  <c r="V463" i="35" s="1"/>
  <c r="T432" i="35"/>
  <c r="V432" i="35" s="1"/>
  <c r="T500" i="35"/>
  <c r="V500" i="35" s="1"/>
  <c r="T546" i="35"/>
  <c r="V546" i="35" s="1"/>
  <c r="T624" i="35"/>
  <c r="V624" i="35" s="1"/>
  <c r="T688" i="35"/>
  <c r="V688" i="35" s="1"/>
  <c r="T408" i="35"/>
  <c r="V408" i="35" s="1"/>
  <c r="T492" i="35"/>
  <c r="V492" i="35" s="1"/>
  <c r="T610" i="35"/>
  <c r="V610" i="35" s="1"/>
  <c r="T674" i="35"/>
  <c r="V674" i="35" s="1"/>
  <c r="T294" i="35"/>
  <c r="V294" i="35" s="1"/>
  <c r="T320" i="35"/>
  <c r="V320" i="35" s="1"/>
  <c r="T328" i="35"/>
  <c r="V328" i="35" s="1"/>
  <c r="T372" i="35"/>
  <c r="V372" i="35" s="1"/>
  <c r="T404" i="35"/>
  <c r="V404" i="35" s="1"/>
  <c r="T486" i="35"/>
  <c r="V486" i="35" s="1"/>
  <c r="T534" i="35"/>
  <c r="V534" i="35" s="1"/>
  <c r="T568" i="35"/>
  <c r="V568" i="35" s="1"/>
  <c r="T630" i="35"/>
  <c r="V630" i="35" s="1"/>
  <c r="T70" i="35"/>
  <c r="V70" i="35" s="1"/>
  <c r="AL70" i="35" s="1"/>
  <c r="T264" i="35"/>
  <c r="V264" i="35" s="1"/>
  <c r="T274" i="35"/>
  <c r="V274" i="35" s="1"/>
  <c r="T278" i="35"/>
  <c r="V278" i="35" s="1"/>
  <c r="T282" i="35"/>
  <c r="V282" i="35" s="1"/>
  <c r="T286" i="35"/>
  <c r="V286" i="35" s="1"/>
  <c r="T290" i="35"/>
  <c r="V290" i="35" s="1"/>
  <c r="T296" i="35"/>
  <c r="V296" i="35" s="1"/>
  <c r="T322" i="35"/>
  <c r="V322" i="35" s="1"/>
  <c r="T356" i="35"/>
  <c r="V356" i="35" s="1"/>
  <c r="T366" i="35"/>
  <c r="V366" i="35" s="1"/>
  <c r="T544" i="35"/>
  <c r="V544" i="35" s="1"/>
  <c r="T562" i="35"/>
  <c r="V562" i="35" s="1"/>
  <c r="T594" i="35"/>
  <c r="V594" i="35" s="1"/>
  <c r="T626" i="35"/>
  <c r="V626" i="35" s="1"/>
  <c r="T660" i="35"/>
  <c r="V660" i="35" s="1"/>
  <c r="T694" i="35"/>
  <c r="V694" i="35" s="1"/>
  <c r="T195" i="35"/>
  <c r="V195" i="35" s="1"/>
  <c r="T256" i="35"/>
  <c r="V256" i="35" s="1"/>
  <c r="T169" i="35"/>
  <c r="V169" i="35" s="1"/>
  <c r="T468" i="35"/>
  <c r="V468" i="35" s="1"/>
  <c r="T616" i="35"/>
  <c r="V616" i="35" s="1"/>
  <c r="T368" i="35"/>
  <c r="V368" i="35" s="1"/>
  <c r="T622" i="35"/>
  <c r="V622" i="35" s="1"/>
  <c r="T318" i="35"/>
  <c r="V318" i="35" s="1"/>
  <c r="T504" i="35"/>
  <c r="V504" i="35" s="1"/>
  <c r="T193" i="35"/>
  <c r="V193" i="35" s="1"/>
  <c r="T209" i="35"/>
  <c r="V209" i="35" s="1"/>
  <c r="T146" i="35"/>
  <c r="V146" i="35" s="1"/>
  <c r="AL146" i="35" s="1"/>
  <c r="T158" i="35"/>
  <c r="V158" i="35" s="1"/>
  <c r="T190" i="35"/>
  <c r="V190" i="35" s="1"/>
  <c r="T206" i="35"/>
  <c r="V206" i="35" s="1"/>
  <c r="T214" i="35"/>
  <c r="V214" i="35" s="1"/>
  <c r="T218" i="35"/>
  <c r="V218" i="35" s="1"/>
  <c r="T222" i="35"/>
  <c r="V222" i="35" s="1"/>
  <c r="T226" i="35"/>
  <c r="V226" i="35" s="1"/>
  <c r="T230" i="35"/>
  <c r="V230" i="35" s="1"/>
  <c r="T234" i="35"/>
  <c r="V234" i="35" s="1"/>
  <c r="T238" i="35"/>
  <c r="V238" i="35" s="1"/>
  <c r="T242" i="35"/>
  <c r="V242" i="35" s="1"/>
  <c r="T246" i="35"/>
  <c r="V246" i="35" s="1"/>
  <c r="T250" i="35"/>
  <c r="V250" i="35" s="1"/>
  <c r="T254" i="35"/>
  <c r="V254" i="35" s="1"/>
  <c r="T414" i="35"/>
  <c r="V414" i="35" s="1"/>
  <c r="T456" i="35"/>
  <c r="V456" i="35" s="1"/>
  <c r="T482" i="35"/>
  <c r="V482" i="35" s="1"/>
  <c r="T552" i="35"/>
  <c r="V552" i="35" s="1"/>
  <c r="T648" i="35"/>
  <c r="V648" i="35" s="1"/>
  <c r="T434" i="35"/>
  <c r="V434" i="35" s="1"/>
  <c r="T698" i="35"/>
  <c r="V698" i="35" s="1"/>
  <c r="T338" i="35"/>
  <c r="V338" i="35" s="1"/>
  <c r="T354" i="35"/>
  <c r="V354" i="35" s="1"/>
  <c r="T384" i="35"/>
  <c r="V384" i="35" s="1"/>
  <c r="T392" i="35"/>
  <c r="V392" i="35" s="1"/>
  <c r="T428" i="35"/>
  <c r="V428" i="35" s="1"/>
  <c r="T494" i="35"/>
  <c r="V494" i="35" s="1"/>
  <c r="T654" i="35"/>
  <c r="V654" i="35" s="1"/>
  <c r="V54" i="35"/>
  <c r="T270" i="35"/>
  <c r="V270" i="35" s="1"/>
  <c r="T326" i="35"/>
  <c r="V326" i="35" s="1"/>
  <c r="T394" i="35"/>
  <c r="V394" i="35" s="1"/>
  <c r="T454" i="35"/>
  <c r="V454" i="35" s="1"/>
  <c r="T472" i="35"/>
  <c r="V472" i="35" s="1"/>
  <c r="T490" i="35"/>
  <c r="V490" i="35" s="1"/>
  <c r="T520" i="35"/>
  <c r="V520" i="35" s="1"/>
  <c r="T602" i="35"/>
  <c r="V602" i="35" s="1"/>
  <c r="T106" i="35"/>
  <c r="V106" i="35" s="1"/>
  <c r="AL106" i="35" s="1"/>
  <c r="T540" i="35"/>
  <c r="V540" i="35" s="1"/>
  <c r="T522" i="35"/>
  <c r="V522" i="35" s="1"/>
  <c r="T526" i="35"/>
  <c r="V526" i="35" s="1"/>
  <c r="T262" i="35"/>
  <c r="V262" i="35" s="1"/>
  <c r="T344" i="35"/>
  <c r="V344" i="35" s="1"/>
  <c r="T572" i="35"/>
  <c r="V572" i="35" s="1"/>
  <c r="T636" i="35"/>
  <c r="V636" i="35" s="1"/>
  <c r="T161" i="35"/>
  <c r="V161" i="35" s="1"/>
  <c r="T177" i="35"/>
  <c r="V177" i="35" s="1"/>
  <c r="T141" i="35"/>
  <c r="V141" i="35" s="1"/>
  <c r="T151" i="35"/>
  <c r="V151" i="35" s="1"/>
  <c r="AL151" i="35" s="1"/>
  <c r="T167" i="35"/>
  <c r="V167" i="35" s="1"/>
  <c r="T183" i="35"/>
  <c r="V183" i="35" s="1"/>
  <c r="T199" i="35"/>
  <c r="V199" i="35" s="1"/>
  <c r="T488" i="35"/>
  <c r="V488" i="35" s="1"/>
  <c r="T558" i="35"/>
  <c r="V558" i="35" s="1"/>
  <c r="T592" i="35"/>
  <c r="V592" i="35" s="1"/>
  <c r="T608" i="35"/>
  <c r="V608" i="35" s="1"/>
  <c r="T672" i="35"/>
  <c r="V672" i="35" s="1"/>
  <c r="T458" i="35"/>
  <c r="V458" i="35" s="1"/>
  <c r="T564" i="35"/>
  <c r="V564" i="35" s="1"/>
  <c r="T596" i="35"/>
  <c r="V596" i="35" s="1"/>
  <c r="T628" i="35"/>
  <c r="V628" i="35" s="1"/>
  <c r="T658" i="35"/>
  <c r="V658" i="35" s="1"/>
  <c r="T16" i="35"/>
  <c r="V16" i="35"/>
  <c r="AL16" i="35" s="1"/>
  <c r="T306" i="35"/>
  <c r="V306" i="35" s="1"/>
  <c r="T312" i="35"/>
  <c r="V312" i="35" s="1"/>
  <c r="T364" i="35"/>
  <c r="V364" i="35" s="1"/>
  <c r="T470" i="35"/>
  <c r="V470" i="35" s="1"/>
  <c r="T518" i="35"/>
  <c r="V518" i="35" s="1"/>
  <c r="T584" i="35"/>
  <c r="V584" i="35" s="1"/>
  <c r="T614" i="35"/>
  <c r="V614" i="35" s="1"/>
  <c r="T678" i="35"/>
  <c r="V678" i="35" s="1"/>
  <c r="T314" i="35"/>
  <c r="V314" i="35" s="1"/>
  <c r="T340" i="35"/>
  <c r="V340" i="35" s="1"/>
  <c r="T410" i="35"/>
  <c r="V410" i="35" s="1"/>
  <c r="T430" i="35"/>
  <c r="V430" i="35" s="1"/>
  <c r="T580" i="35"/>
  <c r="V580" i="35" s="1"/>
  <c r="T644" i="35"/>
  <c r="V644" i="35" s="1"/>
  <c r="T426" i="35"/>
  <c r="V426" i="35" s="1"/>
  <c r="T484" i="35"/>
  <c r="V484" i="35" s="1"/>
  <c r="T666" i="35"/>
  <c r="V666" i="35" s="1"/>
  <c r="V42" i="35"/>
  <c r="AL42" i="35" s="1"/>
  <c r="T147" i="35"/>
  <c r="V147" i="35" s="1"/>
  <c r="AL147" i="35" s="1"/>
  <c r="T157" i="35"/>
  <c r="V157" i="35" s="1"/>
  <c r="T173" i="35"/>
  <c r="V173" i="35" s="1"/>
  <c r="T189" i="35"/>
  <c r="V189" i="35" s="1"/>
  <c r="T205" i="35"/>
  <c r="V205" i="35" s="1"/>
  <c r="T260" i="35"/>
  <c r="V260" i="35" s="1"/>
  <c r="T45" i="35"/>
  <c r="V45" i="35" s="1"/>
  <c r="AL45" i="35" s="1"/>
  <c r="T440" i="35"/>
  <c r="V440" i="35" s="1"/>
  <c r="T508" i="35"/>
  <c r="V508" i="35" s="1"/>
  <c r="T524" i="35"/>
  <c r="V524" i="35" s="1"/>
  <c r="T566" i="35"/>
  <c r="V566" i="35" s="1"/>
  <c r="T632" i="35"/>
  <c r="V632" i="35" s="1"/>
  <c r="T696" i="35"/>
  <c r="V696" i="35" s="1"/>
  <c r="T416" i="35"/>
  <c r="V416" i="35" s="1"/>
  <c r="T570" i="35"/>
  <c r="V570" i="35" s="1"/>
  <c r="T634" i="35"/>
  <c r="V634" i="35" s="1"/>
  <c r="T682" i="35"/>
  <c r="V682" i="35" s="1"/>
  <c r="T324" i="35"/>
  <c r="V324" i="35" s="1"/>
  <c r="T330" i="35"/>
  <c r="V330" i="35" s="1"/>
  <c r="T376" i="35"/>
  <c r="V376" i="35" s="1"/>
  <c r="T412" i="35"/>
  <c r="V412" i="35" s="1"/>
  <c r="T446" i="35"/>
  <c r="V446" i="35" s="1"/>
  <c r="T476" i="35"/>
  <c r="V476" i="35" s="1"/>
  <c r="T542" i="35"/>
  <c r="V542" i="35" s="1"/>
  <c r="T560" i="35"/>
  <c r="V560" i="35" s="1"/>
  <c r="T590" i="35"/>
  <c r="V590" i="35" s="1"/>
  <c r="T638" i="35"/>
  <c r="V638" i="35" s="1"/>
  <c r="T684" i="35"/>
  <c r="V684" i="35" s="1"/>
  <c r="T44" i="35"/>
  <c r="V44" i="35" s="1"/>
  <c r="AL44" i="35" s="1"/>
  <c r="T266" i="35"/>
  <c r="V266" i="35" s="1"/>
  <c r="T300" i="35"/>
  <c r="V300" i="35" s="1"/>
  <c r="T370" i="35"/>
  <c r="V370" i="35" s="1"/>
  <c r="T380" i="35"/>
  <c r="V380" i="35" s="1"/>
  <c r="T436" i="35"/>
  <c r="V436" i="35" s="1"/>
  <c r="T668" i="35"/>
  <c r="V668" i="35" s="1"/>
  <c r="T686" i="35"/>
  <c r="V686" i="35" s="1"/>
  <c r="T179" i="35"/>
  <c r="V179" i="35" s="1"/>
  <c r="T422" i="35"/>
  <c r="V422" i="35" s="1"/>
  <c r="T462" i="35"/>
  <c r="V462" i="35" s="1"/>
  <c r="T574" i="35"/>
  <c r="V574" i="35" s="1"/>
  <c r="T656" i="35"/>
  <c r="V656" i="35" s="1"/>
  <c r="T442" i="35"/>
  <c r="V442" i="35" s="1"/>
  <c r="T478" i="35"/>
  <c r="V478" i="35" s="1"/>
  <c r="T514" i="35"/>
  <c r="V514" i="35" s="1"/>
  <c r="T548" i="35"/>
  <c r="V548" i="35" s="1"/>
  <c r="T578" i="35"/>
  <c r="V578" i="35" s="1"/>
  <c r="T642" i="35"/>
  <c r="V642" i="35" s="1"/>
  <c r="T298" i="35"/>
  <c r="V298" i="35" s="1"/>
  <c r="T342" i="35"/>
  <c r="V342" i="35" s="1"/>
  <c r="T350" i="35"/>
  <c r="V350" i="35" s="1"/>
  <c r="T378" i="35"/>
  <c r="V378" i="35" s="1"/>
  <c r="T396" i="35"/>
  <c r="V396" i="35" s="1"/>
  <c r="T418" i="35"/>
  <c r="V418" i="35" s="1"/>
  <c r="T452" i="35"/>
  <c r="V452" i="35" s="1"/>
  <c r="T502" i="35"/>
  <c r="V502" i="35" s="1"/>
  <c r="T598" i="35"/>
  <c r="V598" i="35" s="1"/>
  <c r="T662" i="35"/>
  <c r="V662" i="35" s="1"/>
  <c r="T692" i="35"/>
  <c r="V692" i="35" s="1"/>
  <c r="T332" i="35"/>
  <c r="V332" i="35" s="1"/>
  <c r="T382" i="35"/>
  <c r="V382" i="35" s="1"/>
  <c r="T398" i="35"/>
  <c r="V398" i="35" s="1"/>
  <c r="T444" i="35"/>
  <c r="V444" i="35" s="1"/>
  <c r="T480" i="35"/>
  <c r="V480" i="35" s="1"/>
  <c r="T498" i="35"/>
  <c r="V498" i="35" s="1"/>
  <c r="V14" i="35"/>
  <c r="V27" i="35"/>
  <c r="AL27" i="35" s="1"/>
  <c r="V97" i="35"/>
  <c r="AL97" i="35" s="1"/>
  <c r="V83" i="35"/>
  <c r="AL83" i="35" s="1"/>
  <c r="V113" i="35"/>
  <c r="AL113" i="35" s="1"/>
  <c r="V86" i="35"/>
  <c r="AL86" i="35" s="1"/>
  <c r="V115" i="35"/>
  <c r="AL115" i="35" s="1"/>
  <c r="V31" i="35"/>
  <c r="AL31" i="35" s="1"/>
  <c r="U31" i="35"/>
  <c r="U73" i="35"/>
  <c r="V33" i="35"/>
  <c r="AL33" i="35" s="1"/>
  <c r="V77" i="35"/>
  <c r="AL77" i="35" s="1"/>
  <c r="V51" i="35"/>
  <c r="AL51" i="35" s="1"/>
  <c r="AL54" i="35" l="1"/>
  <c r="AL136" i="35"/>
  <c r="AI44" i="35"/>
  <c r="V136" i="35"/>
  <c r="T30" i="35"/>
  <c r="V30" i="35" s="1"/>
  <c r="AL14" i="35"/>
  <c r="AI140" i="35"/>
  <c r="AL140" i="35"/>
  <c r="AL52" i="35"/>
  <c r="AL84" i="35"/>
  <c r="AL30" i="35"/>
  <c r="AL141" i="35"/>
  <c r="AI141" i="35"/>
  <c r="V26" i="35"/>
  <c r="AL26" i="35" s="1"/>
  <c r="T80" i="35"/>
  <c r="V80" i="35" s="1"/>
  <c r="AL80" i="35" s="1"/>
  <c r="V124" i="35"/>
  <c r="AL124" i="35" s="1"/>
  <c r="T60" i="35"/>
  <c r="V60" i="35" s="1"/>
  <c r="AL60" i="35" s="1"/>
  <c r="V134" i="35"/>
  <c r="AL134" i="35" s="1"/>
  <c r="V66" i="35"/>
  <c r="AL66" i="35" s="1"/>
  <c r="T46" i="35"/>
  <c r="V46" i="35" s="1"/>
  <c r="AL46" i="35" s="1"/>
  <c r="T28" i="35"/>
  <c r="V28" i="35" s="1"/>
  <c r="AL28" i="35" s="1"/>
  <c r="T110" i="35"/>
  <c r="V110" i="35" s="1"/>
  <c r="AL110" i="35" s="1"/>
  <c r="T22" i="35"/>
  <c r="V22" i="35" s="1"/>
  <c r="AL22" i="35" s="1"/>
  <c r="T84" i="35"/>
  <c r="V84" i="35"/>
  <c r="T50" i="35"/>
  <c r="V50" i="35" s="1"/>
  <c r="AL50" i="35" s="1"/>
  <c r="T38" i="35"/>
  <c r="V38" i="35" s="1"/>
  <c r="AL38" i="35" s="1"/>
  <c r="T20" i="35"/>
  <c r="V20" i="35" s="1"/>
  <c r="AL20" i="35" s="1"/>
  <c r="T68" i="35"/>
  <c r="V68" i="35" s="1"/>
  <c r="AL68" i="35" s="1"/>
  <c r="C93" i="31" l="1"/>
  <c r="B93" i="31"/>
  <c r="A93" i="31"/>
  <c r="C92" i="31"/>
  <c r="B92" i="31"/>
  <c r="E92" i="31" s="1"/>
  <c r="A92" i="31"/>
  <c r="C91" i="31"/>
  <c r="B91" i="31"/>
  <c r="A91" i="31"/>
  <c r="C90" i="31"/>
  <c r="B90" i="31"/>
  <c r="E90" i="31" s="1"/>
  <c r="A90" i="31"/>
  <c r="C89" i="31"/>
  <c r="B89" i="31"/>
  <c r="A89" i="31"/>
  <c r="C88" i="31"/>
  <c r="B88" i="31"/>
  <c r="E88" i="31" s="1"/>
  <c r="A88" i="31"/>
  <c r="C87" i="31"/>
  <c r="B87" i="31"/>
  <c r="E87" i="31" s="1"/>
  <c r="A87" i="31"/>
  <c r="C86" i="31"/>
  <c r="B86" i="31"/>
  <c r="E86" i="31" s="1"/>
  <c r="A86" i="31"/>
  <c r="C85" i="31"/>
  <c r="B85" i="31"/>
  <c r="A85" i="31"/>
  <c r="C84" i="31"/>
  <c r="B84" i="31"/>
  <c r="E84" i="31" s="1"/>
  <c r="A84" i="31"/>
  <c r="C79" i="31"/>
  <c r="B79" i="31"/>
  <c r="A79" i="31"/>
  <c r="C78" i="31"/>
  <c r="B78" i="31"/>
  <c r="A78" i="31"/>
  <c r="C77" i="31"/>
  <c r="B77" i="31"/>
  <c r="A77" i="31"/>
  <c r="C76" i="31"/>
  <c r="B76" i="31"/>
  <c r="A76" i="31"/>
  <c r="C75" i="31"/>
  <c r="B75" i="31"/>
  <c r="A75" i="31"/>
  <c r="C74" i="31"/>
  <c r="B74" i="31"/>
  <c r="A74" i="31"/>
  <c r="C73" i="31"/>
  <c r="B73" i="31"/>
  <c r="A73" i="31"/>
  <c r="C72" i="31"/>
  <c r="B72" i="31"/>
  <c r="A72" i="31"/>
  <c r="C71" i="31"/>
  <c r="B71" i="31"/>
  <c r="A71" i="31"/>
  <c r="C70" i="31"/>
  <c r="B70" i="31"/>
  <c r="A70" i="31"/>
  <c r="C65" i="31"/>
  <c r="B65" i="31"/>
  <c r="A65" i="31"/>
  <c r="C64" i="31"/>
  <c r="B64" i="31"/>
  <c r="A64" i="31"/>
  <c r="C63" i="31"/>
  <c r="B63" i="31"/>
  <c r="A63" i="31"/>
  <c r="C62" i="31"/>
  <c r="B62" i="31"/>
  <c r="A62" i="31"/>
  <c r="C61" i="31"/>
  <c r="B61" i="31"/>
  <c r="A61" i="31"/>
  <c r="C60" i="31"/>
  <c r="B60" i="31"/>
  <c r="A60" i="31"/>
  <c r="C59" i="31"/>
  <c r="B59" i="31"/>
  <c r="A59" i="31"/>
  <c r="C58" i="31"/>
  <c r="B58" i="31"/>
  <c r="A58" i="31"/>
  <c r="C57" i="31"/>
  <c r="E57" i="31" s="1"/>
  <c r="B57" i="31"/>
  <c r="A57" i="31"/>
  <c r="C56" i="31"/>
  <c r="E56" i="31" s="1"/>
  <c r="B56" i="31"/>
  <c r="A56" i="31"/>
  <c r="C49" i="31"/>
  <c r="B49" i="31"/>
  <c r="E49" i="31" s="1"/>
  <c r="A49" i="31"/>
  <c r="C48" i="31"/>
  <c r="B48" i="31"/>
  <c r="A48" i="31"/>
  <c r="C47" i="31"/>
  <c r="B47" i="31"/>
  <c r="E47" i="31" s="1"/>
  <c r="A47" i="31"/>
  <c r="C46" i="31"/>
  <c r="B46" i="31"/>
  <c r="A46" i="31"/>
  <c r="C45" i="31"/>
  <c r="B45" i="31"/>
  <c r="E45" i="31" s="1"/>
  <c r="A45" i="31"/>
  <c r="C44" i="31"/>
  <c r="B44" i="31"/>
  <c r="E44" i="31" s="1"/>
  <c r="A44" i="31"/>
  <c r="C43" i="31"/>
  <c r="B43" i="31"/>
  <c r="E43" i="31" s="1"/>
  <c r="A43" i="31"/>
  <c r="C42" i="31"/>
  <c r="B42" i="31"/>
  <c r="E42" i="31" s="1"/>
  <c r="A42" i="31"/>
  <c r="C41" i="31"/>
  <c r="B41" i="31"/>
  <c r="E41" i="31" s="1"/>
  <c r="A41" i="31"/>
  <c r="C40" i="31"/>
  <c r="B40" i="31"/>
  <c r="A40" i="31"/>
  <c r="C35" i="31"/>
  <c r="B35" i="31"/>
  <c r="A35" i="31"/>
  <c r="C34" i="31"/>
  <c r="B34" i="31"/>
  <c r="A34" i="31"/>
  <c r="C33" i="31"/>
  <c r="B33" i="31"/>
  <c r="A33" i="31"/>
  <c r="C32" i="31"/>
  <c r="B32" i="31"/>
  <c r="A32" i="31"/>
  <c r="C31" i="31"/>
  <c r="B31" i="31"/>
  <c r="A31" i="31"/>
  <c r="C30" i="31"/>
  <c r="E30" i="31" s="1"/>
  <c r="B30" i="31"/>
  <c r="A30" i="31"/>
  <c r="C29" i="31"/>
  <c r="E29" i="31" s="1"/>
  <c r="B29" i="31"/>
  <c r="A29" i="31"/>
  <c r="C28" i="31"/>
  <c r="E28" i="31" s="1"/>
  <c r="B28" i="31"/>
  <c r="A28" i="31"/>
  <c r="C27" i="31"/>
  <c r="E27" i="31" s="1"/>
  <c r="B27" i="31"/>
  <c r="A27" i="31"/>
  <c r="C26" i="31"/>
  <c r="E26" i="31" s="1"/>
  <c r="B26" i="31"/>
  <c r="A26" i="31"/>
  <c r="A13" i="31"/>
  <c r="B13" i="31"/>
  <c r="C13" i="31"/>
  <c r="E13" i="31" s="1"/>
  <c r="A14" i="31"/>
  <c r="B14" i="31"/>
  <c r="C14" i="31"/>
  <c r="E14" i="31" s="1"/>
  <c r="A15" i="31"/>
  <c r="B15" i="31"/>
  <c r="C15" i="31"/>
  <c r="A16" i="31"/>
  <c r="B16" i="31"/>
  <c r="C16" i="31"/>
  <c r="A17" i="31"/>
  <c r="B17" i="31"/>
  <c r="C17" i="31"/>
  <c r="A18" i="31"/>
  <c r="B18" i="31"/>
  <c r="C18" i="31"/>
  <c r="A19" i="31"/>
  <c r="B19" i="31"/>
  <c r="C19" i="31"/>
  <c r="A20" i="31"/>
  <c r="B20" i="31"/>
  <c r="C20" i="31"/>
  <c r="A21" i="31"/>
  <c r="B21" i="31"/>
  <c r="C21" i="31"/>
  <c r="B12" i="31"/>
  <c r="C12" i="31"/>
  <c r="E12" i="31" s="1"/>
  <c r="A12" i="31"/>
  <c r="B3" i="31"/>
  <c r="F16" i="29"/>
  <c r="F24" i="29"/>
  <c r="G24" i="29" s="1"/>
  <c r="B12" i="29"/>
  <c r="C12" i="29"/>
  <c r="D12" i="29"/>
  <c r="B13" i="29"/>
  <c r="C13" i="29"/>
  <c r="D13" i="29"/>
  <c r="B14" i="29"/>
  <c r="C14" i="29"/>
  <c r="F14" i="29" s="1"/>
  <c r="D14" i="29"/>
  <c r="B15" i="29"/>
  <c r="C15" i="29"/>
  <c r="F15" i="29" s="1"/>
  <c r="D15" i="29"/>
  <c r="B16" i="29"/>
  <c r="C16" i="29"/>
  <c r="D16" i="29"/>
  <c r="B17" i="29"/>
  <c r="C17" i="29"/>
  <c r="F17" i="29" s="1"/>
  <c r="G17" i="29" s="1"/>
  <c r="D17" i="29"/>
  <c r="B18" i="29"/>
  <c r="C18" i="29"/>
  <c r="F18" i="29" s="1"/>
  <c r="G18" i="29" s="1"/>
  <c r="D18" i="29"/>
  <c r="B19" i="29"/>
  <c r="C19" i="29"/>
  <c r="F19" i="29" s="1"/>
  <c r="D19" i="29"/>
  <c r="B20" i="29"/>
  <c r="C20" i="29"/>
  <c r="F20" i="29" s="1"/>
  <c r="D20" i="29"/>
  <c r="B21" i="29"/>
  <c r="C21" i="29"/>
  <c r="F21" i="29" s="1"/>
  <c r="D21" i="29"/>
  <c r="B22" i="29"/>
  <c r="C22" i="29"/>
  <c r="F22" i="29" s="1"/>
  <c r="D22" i="29"/>
  <c r="B23" i="29"/>
  <c r="C23" i="29"/>
  <c r="F23" i="29" s="1"/>
  <c r="D23" i="29"/>
  <c r="B24" i="29"/>
  <c r="C24" i="29"/>
  <c r="D24" i="29"/>
  <c r="B25" i="29"/>
  <c r="C25" i="29"/>
  <c r="F25" i="29" s="1"/>
  <c r="G25" i="29" s="1"/>
  <c r="D25" i="29"/>
  <c r="B26" i="29"/>
  <c r="C26" i="29"/>
  <c r="F26" i="29" s="1"/>
  <c r="D26" i="29"/>
  <c r="B27" i="29"/>
  <c r="C27" i="29"/>
  <c r="F27" i="29" s="1"/>
  <c r="D27" i="29"/>
  <c r="B28" i="29"/>
  <c r="C28" i="29"/>
  <c r="F28" i="29" s="1"/>
  <c r="G28" i="29" s="1"/>
  <c r="D28" i="29"/>
  <c r="B29" i="29"/>
  <c r="C29" i="29"/>
  <c r="F29" i="29" s="1"/>
  <c r="G29" i="29" s="1"/>
  <c r="D29" i="29"/>
  <c r="B30" i="29"/>
  <c r="C30" i="29"/>
  <c r="F30" i="29" s="1"/>
  <c r="D30" i="29"/>
  <c r="B31" i="29"/>
  <c r="C31" i="29"/>
  <c r="F31" i="29" s="1"/>
  <c r="D31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12" i="29"/>
  <c r="D27" i="28"/>
  <c r="D28" i="28"/>
  <c r="D29" i="28"/>
  <c r="D30" i="28"/>
  <c r="D31" i="28"/>
  <c r="D32" i="28"/>
  <c r="D33" i="28"/>
  <c r="D34" i="28"/>
  <c r="D35" i="28"/>
  <c r="D26" i="28"/>
  <c r="F60" i="31" l="1"/>
  <c r="G21" i="29"/>
  <c r="G26" i="29"/>
  <c r="G22" i="29"/>
  <c r="G27" i="29"/>
  <c r="G19" i="29"/>
  <c r="G16" i="29"/>
  <c r="G30" i="29"/>
  <c r="G14" i="29"/>
  <c r="G31" i="29"/>
  <c r="G23" i="29"/>
  <c r="G15" i="29"/>
  <c r="G20" i="29"/>
  <c r="F64" i="31"/>
  <c r="F76" i="31"/>
  <c r="E91" i="31"/>
  <c r="F91" i="31" s="1"/>
  <c r="F15" i="31"/>
  <c r="E40" i="31"/>
  <c r="F40" i="31" s="1"/>
  <c r="E48" i="31"/>
  <c r="F48" i="31" s="1"/>
  <c r="E89" i="31"/>
  <c r="F89" i="31" s="1"/>
  <c r="F31" i="31"/>
  <c r="E46" i="31"/>
  <c r="F46" i="31" s="1"/>
  <c r="F57" i="31"/>
  <c r="F65" i="31"/>
  <c r="F32" i="31"/>
  <c r="F58" i="31"/>
  <c r="F78" i="31"/>
  <c r="E85" i="31"/>
  <c r="F85" i="31" s="1"/>
  <c r="E93" i="31"/>
  <c r="F93" i="31" s="1"/>
  <c r="F12" i="31"/>
  <c r="F56" i="31"/>
  <c r="F13" i="31"/>
  <c r="F14" i="31"/>
  <c r="F70" i="31"/>
  <c r="F88" i="31"/>
  <c r="F28" i="31"/>
  <c r="F86" i="31"/>
  <c r="F34" i="31"/>
  <c r="F87" i="31"/>
  <c r="F90" i="31"/>
  <c r="F26" i="31"/>
  <c r="F74" i="31"/>
  <c r="F27" i="31"/>
  <c r="F42" i="31"/>
  <c r="F35" i="31"/>
  <c r="F30" i="31"/>
  <c r="F45" i="31"/>
  <c r="F59" i="31"/>
  <c r="F71" i="31"/>
  <c r="F79" i="31"/>
  <c r="F44" i="31"/>
  <c r="F43" i="31"/>
  <c r="F62" i="31"/>
  <c r="F77" i="31"/>
  <c r="F19" i="31"/>
  <c r="F29" i="31"/>
  <c r="F21" i="31"/>
  <c r="F18" i="31"/>
  <c r="F72" i="31"/>
  <c r="F84" i="31"/>
  <c r="F63" i="31"/>
  <c r="F75" i="31"/>
  <c r="F61" i="31"/>
  <c r="F73" i="31"/>
  <c r="F17" i="31"/>
  <c r="F92" i="31"/>
  <c r="F41" i="31"/>
  <c r="F49" i="31"/>
  <c r="F20" i="31"/>
  <c r="F16" i="31"/>
  <c r="F47" i="31"/>
  <c r="F33" i="31"/>
  <c r="L44" i="28"/>
  <c r="P44" i="28" s="1"/>
  <c r="M44" i="28"/>
  <c r="N44" i="28"/>
  <c r="L45" i="28"/>
  <c r="P45" i="28" s="1"/>
  <c r="M45" i="28"/>
  <c r="N45" i="28"/>
  <c r="L46" i="28"/>
  <c r="P46" i="28" s="1"/>
  <c r="M46" i="28"/>
  <c r="N46" i="28"/>
  <c r="L47" i="28"/>
  <c r="P47" i="28" s="1"/>
  <c r="M47" i="28"/>
  <c r="N47" i="28"/>
  <c r="L48" i="28"/>
  <c r="P48" i="28" s="1"/>
  <c r="M48" i="28"/>
  <c r="N48" i="28"/>
  <c r="L49" i="28"/>
  <c r="P49" i="28" s="1"/>
  <c r="M49" i="28"/>
  <c r="N49" i="28"/>
  <c r="L50" i="28"/>
  <c r="P50" i="28" s="1"/>
  <c r="M50" i="28"/>
  <c r="N50" i="28"/>
  <c r="L51" i="28"/>
  <c r="P51" i="28" s="1"/>
  <c r="M51" i="28"/>
  <c r="N51" i="28"/>
  <c r="L52" i="28"/>
  <c r="P52" i="28" s="1"/>
  <c r="M52" i="28"/>
  <c r="N52" i="28"/>
  <c r="L53" i="28"/>
  <c r="P53" i="28" s="1"/>
  <c r="M53" i="28"/>
  <c r="N53" i="28"/>
  <c r="L54" i="28"/>
  <c r="P54" i="28" s="1"/>
  <c r="M54" i="28"/>
  <c r="N54" i="28"/>
  <c r="L55" i="28"/>
  <c r="P55" i="28" s="1"/>
  <c r="M55" i="28"/>
  <c r="N55" i="28"/>
  <c r="L56" i="28"/>
  <c r="P56" i="28" s="1"/>
  <c r="M56" i="28"/>
  <c r="N56" i="28"/>
  <c r="L57" i="28"/>
  <c r="P57" i="28" s="1"/>
  <c r="M57" i="28"/>
  <c r="N57" i="28"/>
  <c r="L58" i="28"/>
  <c r="P58" i="28" s="1"/>
  <c r="M58" i="28"/>
  <c r="N58" i="28"/>
  <c r="L59" i="28"/>
  <c r="P59" i="28" s="1"/>
  <c r="M59" i="28"/>
  <c r="N59" i="28"/>
  <c r="L60" i="28"/>
  <c r="P60" i="28" s="1"/>
  <c r="M60" i="28"/>
  <c r="N60" i="28"/>
  <c r="L61" i="28"/>
  <c r="P61" i="28" s="1"/>
  <c r="M61" i="28"/>
  <c r="N61" i="28"/>
  <c r="L62" i="28"/>
  <c r="P62" i="28" s="1"/>
  <c r="M62" i="28"/>
  <c r="N62" i="28"/>
  <c r="L63" i="28"/>
  <c r="P63" i="28" s="1"/>
  <c r="M63" i="28"/>
  <c r="N63" i="28"/>
  <c r="L64" i="28"/>
  <c r="P64" i="28" s="1"/>
  <c r="M64" i="28"/>
  <c r="N64" i="28"/>
  <c r="L65" i="28"/>
  <c r="P65" i="28" s="1"/>
  <c r="M65" i="28"/>
  <c r="N65" i="28"/>
  <c r="L66" i="28"/>
  <c r="P66" i="28" s="1"/>
  <c r="M66" i="28"/>
  <c r="N66" i="28"/>
  <c r="L67" i="28"/>
  <c r="P67" i="28" s="1"/>
  <c r="M67" i="28"/>
  <c r="N67" i="28"/>
  <c r="L68" i="28"/>
  <c r="P68" i="28" s="1"/>
  <c r="M68" i="28"/>
  <c r="N68" i="28"/>
  <c r="L69" i="28"/>
  <c r="P69" i="28" s="1"/>
  <c r="M69" i="28"/>
  <c r="N69" i="28"/>
  <c r="L70" i="28"/>
  <c r="P70" i="28" s="1"/>
  <c r="M70" i="28"/>
  <c r="N70" i="28"/>
  <c r="L71" i="28"/>
  <c r="P71" i="28" s="1"/>
  <c r="M71" i="28"/>
  <c r="N71" i="28"/>
  <c r="L72" i="28"/>
  <c r="P72" i="28" s="1"/>
  <c r="M72" i="28"/>
  <c r="N72" i="28"/>
  <c r="L73" i="28"/>
  <c r="P73" i="28" s="1"/>
  <c r="M73" i="28"/>
  <c r="N73" i="28"/>
  <c r="L74" i="28"/>
  <c r="P74" i="28" s="1"/>
  <c r="M74" i="28"/>
  <c r="N74" i="28"/>
  <c r="L75" i="28"/>
  <c r="P75" i="28" s="1"/>
  <c r="M75" i="28"/>
  <c r="N75" i="28"/>
  <c r="L76" i="28"/>
  <c r="P76" i="28" s="1"/>
  <c r="M76" i="28"/>
  <c r="N76" i="28"/>
  <c r="L77" i="28"/>
  <c r="P77" i="28" s="1"/>
  <c r="M77" i="28"/>
  <c r="N77" i="28"/>
  <c r="L78" i="28"/>
  <c r="P78" i="28" s="1"/>
  <c r="M78" i="28"/>
  <c r="N78" i="28"/>
  <c r="L79" i="28"/>
  <c r="P79" i="28" s="1"/>
  <c r="M79" i="28"/>
  <c r="N79" i="28"/>
  <c r="L80" i="28"/>
  <c r="P80" i="28" s="1"/>
  <c r="M80" i="28"/>
  <c r="N80" i="28"/>
  <c r="L81" i="28"/>
  <c r="P81" i="28" s="1"/>
  <c r="M81" i="28"/>
  <c r="N81" i="28"/>
  <c r="L82" i="28"/>
  <c r="P82" i="28" s="1"/>
  <c r="M82" i="28"/>
  <c r="N82" i="28"/>
  <c r="L83" i="28"/>
  <c r="P83" i="28" s="1"/>
  <c r="M83" i="28"/>
  <c r="N83" i="28"/>
  <c r="L84" i="28"/>
  <c r="P84" i="28" s="1"/>
  <c r="M84" i="28"/>
  <c r="N84" i="28"/>
  <c r="L85" i="28"/>
  <c r="P85" i="28" s="1"/>
  <c r="M85" i="28"/>
  <c r="N85" i="28"/>
  <c r="L86" i="28"/>
  <c r="P86" i="28" s="1"/>
  <c r="M86" i="28"/>
  <c r="N86" i="28"/>
  <c r="L87" i="28"/>
  <c r="P87" i="28" s="1"/>
  <c r="M87" i="28"/>
  <c r="N87" i="28"/>
  <c r="L88" i="28"/>
  <c r="P88" i="28" s="1"/>
  <c r="M88" i="28"/>
  <c r="N88" i="28"/>
  <c r="L89" i="28"/>
  <c r="P89" i="28" s="1"/>
  <c r="M89" i="28"/>
  <c r="N89" i="28"/>
  <c r="L90" i="28"/>
  <c r="P90" i="28" s="1"/>
  <c r="M90" i="28"/>
  <c r="N90" i="28"/>
  <c r="L91" i="28"/>
  <c r="P91" i="28" s="1"/>
  <c r="M91" i="28"/>
  <c r="N91" i="28"/>
  <c r="L92" i="28"/>
  <c r="P92" i="28" s="1"/>
  <c r="M92" i="28"/>
  <c r="N92" i="28"/>
  <c r="L93" i="28"/>
  <c r="P93" i="28" s="1"/>
  <c r="M93" i="28"/>
  <c r="N93" i="28"/>
  <c r="L94" i="28"/>
  <c r="P94" i="28" s="1"/>
  <c r="M94" i="28"/>
  <c r="N94" i="28"/>
  <c r="L95" i="28"/>
  <c r="P95" i="28" s="1"/>
  <c r="M95" i="28"/>
  <c r="N95" i="28"/>
  <c r="L96" i="28"/>
  <c r="P96" i="28" s="1"/>
  <c r="M96" i="28"/>
  <c r="N96" i="28"/>
  <c r="L97" i="28"/>
  <c r="P97" i="28" s="1"/>
  <c r="M97" i="28"/>
  <c r="N97" i="28"/>
  <c r="L98" i="28"/>
  <c r="P98" i="28" s="1"/>
  <c r="M98" i="28"/>
  <c r="N98" i="28"/>
  <c r="L99" i="28"/>
  <c r="P99" i="28" s="1"/>
  <c r="M99" i="28"/>
  <c r="N99" i="28"/>
  <c r="L100" i="28"/>
  <c r="P100" i="28" s="1"/>
  <c r="M100" i="28"/>
  <c r="N100" i="28"/>
  <c r="L101" i="28"/>
  <c r="P101" i="28" s="1"/>
  <c r="M101" i="28"/>
  <c r="N101" i="28"/>
  <c r="L102" i="28"/>
  <c r="P102" i="28" s="1"/>
  <c r="M102" i="28"/>
  <c r="N102" i="28"/>
  <c r="A45" i="28"/>
  <c r="B45" i="28"/>
  <c r="C45" i="28"/>
  <c r="D45" i="28"/>
  <c r="E45" i="28"/>
  <c r="A46" i="28"/>
  <c r="B46" i="28"/>
  <c r="C46" i="28"/>
  <c r="D46" i="28"/>
  <c r="E46" i="28"/>
  <c r="A47" i="28"/>
  <c r="B47" i="28"/>
  <c r="C47" i="28"/>
  <c r="D47" i="28"/>
  <c r="E47" i="28"/>
  <c r="A48" i="28"/>
  <c r="B48" i="28"/>
  <c r="C48" i="28"/>
  <c r="D48" i="28"/>
  <c r="E48" i="28"/>
  <c r="A49" i="28"/>
  <c r="B49" i="28"/>
  <c r="C49" i="28"/>
  <c r="D49" i="28"/>
  <c r="E49" i="28"/>
  <c r="A50" i="28"/>
  <c r="B50" i="28"/>
  <c r="C50" i="28"/>
  <c r="D50" i="28"/>
  <c r="E50" i="28"/>
  <c r="A51" i="28"/>
  <c r="B51" i="28"/>
  <c r="C51" i="28"/>
  <c r="D51" i="28"/>
  <c r="E51" i="28"/>
  <c r="A52" i="28"/>
  <c r="B52" i="28"/>
  <c r="C52" i="28"/>
  <c r="D52" i="28"/>
  <c r="E52" i="28"/>
  <c r="A53" i="28"/>
  <c r="B53" i="28"/>
  <c r="C53" i="28"/>
  <c r="D53" i="28"/>
  <c r="E53" i="28"/>
  <c r="A54" i="28"/>
  <c r="B54" i="28"/>
  <c r="C54" i="28"/>
  <c r="D54" i="28"/>
  <c r="E54" i="28"/>
  <c r="A55" i="28"/>
  <c r="B55" i="28"/>
  <c r="C55" i="28"/>
  <c r="D55" i="28"/>
  <c r="E55" i="28"/>
  <c r="A56" i="28"/>
  <c r="B56" i="28"/>
  <c r="C56" i="28"/>
  <c r="D56" i="28"/>
  <c r="E56" i="28"/>
  <c r="A57" i="28"/>
  <c r="B57" i="28"/>
  <c r="C57" i="28"/>
  <c r="D57" i="28"/>
  <c r="E57" i="28"/>
  <c r="A58" i="28"/>
  <c r="B58" i="28"/>
  <c r="C58" i="28"/>
  <c r="D58" i="28"/>
  <c r="E58" i="28"/>
  <c r="A59" i="28"/>
  <c r="B59" i="28"/>
  <c r="C59" i="28"/>
  <c r="D59" i="28"/>
  <c r="E59" i="28"/>
  <c r="A60" i="28"/>
  <c r="B60" i="28"/>
  <c r="C60" i="28"/>
  <c r="D60" i="28"/>
  <c r="E60" i="28"/>
  <c r="A61" i="28"/>
  <c r="B61" i="28"/>
  <c r="C61" i="28"/>
  <c r="D61" i="28"/>
  <c r="E61" i="28"/>
  <c r="A62" i="28"/>
  <c r="B62" i="28"/>
  <c r="C62" i="28"/>
  <c r="D62" i="28"/>
  <c r="E62" i="28"/>
  <c r="A63" i="28"/>
  <c r="B63" i="28"/>
  <c r="C63" i="28"/>
  <c r="D63" i="28"/>
  <c r="E63" i="28"/>
  <c r="A64" i="28"/>
  <c r="B64" i="28"/>
  <c r="C64" i="28"/>
  <c r="D64" i="28"/>
  <c r="E64" i="28"/>
  <c r="A65" i="28"/>
  <c r="B65" i="28"/>
  <c r="C65" i="28"/>
  <c r="D65" i="28"/>
  <c r="E65" i="28"/>
  <c r="A66" i="28"/>
  <c r="B66" i="28"/>
  <c r="C66" i="28"/>
  <c r="D66" i="28"/>
  <c r="E66" i="28"/>
  <c r="A67" i="28"/>
  <c r="B67" i="28"/>
  <c r="C67" i="28"/>
  <c r="D67" i="28"/>
  <c r="E67" i="28"/>
  <c r="A68" i="28"/>
  <c r="B68" i="28"/>
  <c r="C68" i="28"/>
  <c r="D68" i="28"/>
  <c r="E68" i="28"/>
  <c r="A69" i="28"/>
  <c r="B69" i="28"/>
  <c r="C69" i="28"/>
  <c r="D69" i="28"/>
  <c r="E69" i="28"/>
  <c r="A70" i="28"/>
  <c r="B70" i="28"/>
  <c r="C70" i="28"/>
  <c r="D70" i="28"/>
  <c r="E70" i="28"/>
  <c r="A71" i="28"/>
  <c r="B71" i="28"/>
  <c r="C71" i="28"/>
  <c r="D71" i="28"/>
  <c r="E71" i="28"/>
  <c r="A72" i="28"/>
  <c r="B72" i="28"/>
  <c r="C72" i="28"/>
  <c r="D72" i="28"/>
  <c r="E72" i="28"/>
  <c r="A73" i="28"/>
  <c r="B73" i="28"/>
  <c r="C73" i="28"/>
  <c r="D73" i="28"/>
  <c r="E73" i="28"/>
  <c r="A74" i="28"/>
  <c r="B74" i="28"/>
  <c r="C74" i="28"/>
  <c r="D74" i="28"/>
  <c r="E74" i="28"/>
  <c r="A75" i="28"/>
  <c r="B75" i="28"/>
  <c r="C75" i="28"/>
  <c r="D75" i="28"/>
  <c r="E75" i="28"/>
  <c r="A76" i="28"/>
  <c r="B76" i="28"/>
  <c r="C76" i="28"/>
  <c r="D76" i="28"/>
  <c r="E76" i="28"/>
  <c r="A77" i="28"/>
  <c r="B77" i="28"/>
  <c r="C77" i="28"/>
  <c r="D77" i="28"/>
  <c r="E77" i="28"/>
  <c r="A78" i="28"/>
  <c r="B78" i="28"/>
  <c r="C78" i="28"/>
  <c r="D78" i="28"/>
  <c r="E78" i="28"/>
  <c r="A79" i="28"/>
  <c r="B79" i="28"/>
  <c r="C79" i="28"/>
  <c r="D79" i="28"/>
  <c r="E79" i="28"/>
  <c r="A80" i="28"/>
  <c r="B80" i="28"/>
  <c r="C80" i="28"/>
  <c r="D80" i="28"/>
  <c r="E80" i="28"/>
  <c r="A81" i="28"/>
  <c r="B81" i="28"/>
  <c r="C81" i="28"/>
  <c r="D81" i="28"/>
  <c r="E81" i="28"/>
  <c r="A82" i="28"/>
  <c r="B82" i="28"/>
  <c r="C82" i="28"/>
  <c r="D82" i="28"/>
  <c r="E82" i="28"/>
  <c r="A83" i="28"/>
  <c r="B83" i="28"/>
  <c r="C83" i="28"/>
  <c r="D83" i="28"/>
  <c r="E83" i="28"/>
  <c r="A84" i="28"/>
  <c r="B84" i="28"/>
  <c r="C84" i="28"/>
  <c r="D84" i="28"/>
  <c r="E84" i="28"/>
  <c r="A85" i="28"/>
  <c r="B85" i="28"/>
  <c r="C85" i="28"/>
  <c r="D85" i="28"/>
  <c r="E85" i="28"/>
  <c r="A86" i="28"/>
  <c r="B86" i="28"/>
  <c r="C86" i="28"/>
  <c r="D86" i="28"/>
  <c r="E86" i="28"/>
  <c r="A87" i="28"/>
  <c r="B87" i="28"/>
  <c r="C87" i="28"/>
  <c r="D87" i="28"/>
  <c r="E87" i="28"/>
  <c r="A88" i="28"/>
  <c r="B88" i="28"/>
  <c r="C88" i="28"/>
  <c r="D88" i="28"/>
  <c r="E88" i="28"/>
  <c r="A89" i="28"/>
  <c r="B89" i="28"/>
  <c r="C89" i="28"/>
  <c r="D89" i="28"/>
  <c r="E89" i="28"/>
  <c r="A90" i="28"/>
  <c r="B90" i="28"/>
  <c r="C90" i="28"/>
  <c r="D90" i="28"/>
  <c r="E90" i="28"/>
  <c r="A91" i="28"/>
  <c r="B91" i="28"/>
  <c r="C91" i="28"/>
  <c r="D91" i="28"/>
  <c r="E91" i="28"/>
  <c r="A92" i="28"/>
  <c r="B92" i="28"/>
  <c r="C92" i="28"/>
  <c r="D92" i="28"/>
  <c r="E92" i="28"/>
  <c r="A93" i="28"/>
  <c r="B93" i="28"/>
  <c r="C93" i="28"/>
  <c r="D93" i="28"/>
  <c r="E93" i="28"/>
  <c r="A94" i="28"/>
  <c r="B94" i="28"/>
  <c r="C94" i="28"/>
  <c r="D94" i="28"/>
  <c r="E94" i="28"/>
  <c r="A95" i="28"/>
  <c r="B95" i="28"/>
  <c r="C95" i="28"/>
  <c r="D95" i="28"/>
  <c r="E95" i="28"/>
  <c r="A96" i="28"/>
  <c r="B96" i="28"/>
  <c r="C96" i="28"/>
  <c r="D96" i="28"/>
  <c r="E96" i="28"/>
  <c r="A97" i="28"/>
  <c r="B97" i="28"/>
  <c r="C97" i="28"/>
  <c r="D97" i="28"/>
  <c r="E97" i="28"/>
  <c r="A98" i="28"/>
  <c r="B98" i="28"/>
  <c r="C98" i="28"/>
  <c r="D98" i="28"/>
  <c r="E98" i="28"/>
  <c r="A99" i="28"/>
  <c r="B99" i="28"/>
  <c r="C99" i="28"/>
  <c r="D99" i="28"/>
  <c r="E99" i="28"/>
  <c r="A100" i="28"/>
  <c r="B100" i="28"/>
  <c r="C100" i="28"/>
  <c r="D100" i="28"/>
  <c r="E100" i="28"/>
  <c r="A101" i="28"/>
  <c r="B101" i="28"/>
  <c r="C101" i="28"/>
  <c r="D101" i="28"/>
  <c r="E101" i="28"/>
  <c r="A102" i="28"/>
  <c r="B102" i="28"/>
  <c r="C102" i="28"/>
  <c r="D102" i="28"/>
  <c r="E102" i="28"/>
  <c r="A44" i="28"/>
  <c r="B44" i="28"/>
  <c r="C44" i="28"/>
  <c r="D44" i="28"/>
  <c r="E44" i="28"/>
  <c r="M43" i="28"/>
  <c r="N43" i="28"/>
  <c r="L43" i="28"/>
  <c r="P43" i="28" s="1"/>
  <c r="B43" i="28"/>
  <c r="C43" i="28"/>
  <c r="D43" i="28"/>
  <c r="E43" i="28"/>
  <c r="A43" i="28"/>
  <c r="A27" i="28"/>
  <c r="B27" i="28"/>
  <c r="C27" i="28"/>
  <c r="A28" i="28"/>
  <c r="B28" i="28"/>
  <c r="C28" i="28"/>
  <c r="A29" i="28"/>
  <c r="B29" i="28"/>
  <c r="C29" i="28"/>
  <c r="A30" i="28"/>
  <c r="B30" i="28"/>
  <c r="C30" i="28"/>
  <c r="A31" i="28"/>
  <c r="B31" i="28"/>
  <c r="C31" i="28"/>
  <c r="A32" i="28"/>
  <c r="B32" i="28"/>
  <c r="C32" i="28"/>
  <c r="A33" i="28"/>
  <c r="B33" i="28"/>
  <c r="C33" i="28"/>
  <c r="A34" i="28"/>
  <c r="B34" i="28"/>
  <c r="C34" i="28"/>
  <c r="A35" i="28"/>
  <c r="B35" i="28"/>
  <c r="C35" i="28"/>
  <c r="B26" i="28"/>
  <c r="C26" i="28"/>
  <c r="A26" i="28"/>
  <c r="A14" i="28"/>
  <c r="B14" i="28"/>
  <c r="C14" i="28"/>
  <c r="D14" i="28"/>
  <c r="F14" i="28" s="1"/>
  <c r="A15" i="28"/>
  <c r="B15" i="28"/>
  <c r="C15" i="28"/>
  <c r="D15" i="28"/>
  <c r="A16" i="28"/>
  <c r="B16" i="28"/>
  <c r="C16" i="28"/>
  <c r="D16" i="28"/>
  <c r="A17" i="28"/>
  <c r="B17" i="28"/>
  <c r="C17" i="28"/>
  <c r="D17" i="28"/>
  <c r="A18" i="28"/>
  <c r="B18" i="28"/>
  <c r="C18" i="28"/>
  <c r="D18" i="28"/>
  <c r="A19" i="28"/>
  <c r="B19" i="28"/>
  <c r="C19" i="28"/>
  <c r="D19" i="28"/>
  <c r="A20" i="28"/>
  <c r="B20" i="28"/>
  <c r="C20" i="28"/>
  <c r="D20" i="28"/>
  <c r="A21" i="28"/>
  <c r="B21" i="28"/>
  <c r="C21" i="28"/>
  <c r="D21" i="28"/>
  <c r="A22" i="28"/>
  <c r="B22" i="28"/>
  <c r="C22" i="28"/>
  <c r="D22" i="28"/>
  <c r="B13" i="28"/>
  <c r="C13" i="28"/>
  <c r="D13" i="28"/>
  <c r="A13" i="28"/>
  <c r="D3" i="28"/>
  <c r="F22" i="9"/>
  <c r="D3" i="19"/>
  <c r="H34" i="26"/>
  <c r="D3" i="26"/>
  <c r="D3" i="18"/>
  <c r="F26" i="26"/>
  <c r="F27" i="26"/>
  <c r="J27" i="26" s="1"/>
  <c r="F28" i="26"/>
  <c r="J28" i="26" s="1"/>
  <c r="F29" i="26"/>
  <c r="J29" i="26" s="1"/>
  <c r="F30" i="26"/>
  <c r="J30" i="26" s="1"/>
  <c r="F31" i="26"/>
  <c r="J31" i="26" s="1"/>
  <c r="F32" i="26"/>
  <c r="J32" i="26" s="1"/>
  <c r="F33" i="26"/>
  <c r="J33" i="26" s="1"/>
  <c r="F34" i="26"/>
  <c r="J34" i="26" s="1"/>
  <c r="F35" i="26"/>
  <c r="J35" i="26" s="1"/>
  <c r="E35" i="26"/>
  <c r="D35" i="26"/>
  <c r="H35" i="26" s="1"/>
  <c r="C35" i="26"/>
  <c r="B35" i="26"/>
  <c r="A35" i="26"/>
  <c r="E34" i="26"/>
  <c r="D34" i="26"/>
  <c r="C34" i="26"/>
  <c r="B34" i="26"/>
  <c r="A34" i="26"/>
  <c r="E33" i="26"/>
  <c r="D33" i="26"/>
  <c r="H33" i="26" s="1"/>
  <c r="C33" i="26"/>
  <c r="B33" i="26"/>
  <c r="A33" i="26"/>
  <c r="E32" i="26"/>
  <c r="D32" i="26"/>
  <c r="H32" i="26" s="1"/>
  <c r="C32" i="26"/>
  <c r="B32" i="26"/>
  <c r="A32" i="26"/>
  <c r="E31" i="26"/>
  <c r="D31" i="26"/>
  <c r="H31" i="26" s="1"/>
  <c r="C31" i="26"/>
  <c r="B31" i="26"/>
  <c r="A31" i="26"/>
  <c r="E30" i="26"/>
  <c r="D30" i="26"/>
  <c r="H30" i="26" s="1"/>
  <c r="C30" i="26"/>
  <c r="B30" i="26"/>
  <c r="A30" i="26"/>
  <c r="E29" i="26"/>
  <c r="D29" i="26"/>
  <c r="H29" i="26" s="1"/>
  <c r="C29" i="26"/>
  <c r="B29" i="26"/>
  <c r="A29" i="26"/>
  <c r="E28" i="26"/>
  <c r="D28" i="26"/>
  <c r="H28" i="26" s="1"/>
  <c r="C28" i="26"/>
  <c r="B28" i="26"/>
  <c r="A28" i="26"/>
  <c r="E27" i="26"/>
  <c r="D27" i="26"/>
  <c r="H27" i="26" s="1"/>
  <c r="C27" i="26"/>
  <c r="B27" i="26"/>
  <c r="A27" i="26"/>
  <c r="E26" i="26"/>
  <c r="D26" i="26"/>
  <c r="C26" i="26"/>
  <c r="B26" i="26"/>
  <c r="A26" i="26"/>
  <c r="A13" i="26"/>
  <c r="B13" i="26"/>
  <c r="C13" i="26"/>
  <c r="I13" i="26" s="1"/>
  <c r="D13" i="26"/>
  <c r="E13" i="26"/>
  <c r="A14" i="26"/>
  <c r="B14" i="26"/>
  <c r="C14" i="26"/>
  <c r="I14" i="26" s="1"/>
  <c r="D14" i="26"/>
  <c r="E14" i="26"/>
  <c r="J14" i="26" s="1"/>
  <c r="A15" i="26"/>
  <c r="B15" i="26"/>
  <c r="C15" i="26"/>
  <c r="H15" i="26" s="1"/>
  <c r="D15" i="26"/>
  <c r="E15" i="26"/>
  <c r="J15" i="26" s="1"/>
  <c r="A16" i="26"/>
  <c r="B16" i="26"/>
  <c r="C16" i="26"/>
  <c r="H16" i="26" s="1"/>
  <c r="D16" i="26"/>
  <c r="E16" i="26"/>
  <c r="J16" i="26" s="1"/>
  <c r="A17" i="26"/>
  <c r="B17" i="26"/>
  <c r="C17" i="26"/>
  <c r="I17" i="26" s="1"/>
  <c r="D17" i="26"/>
  <c r="E17" i="26"/>
  <c r="J17" i="26" s="1"/>
  <c r="A18" i="26"/>
  <c r="B18" i="26"/>
  <c r="C18" i="26"/>
  <c r="I18" i="26" s="1"/>
  <c r="D18" i="26"/>
  <c r="E18" i="26"/>
  <c r="J18" i="26" s="1"/>
  <c r="A19" i="26"/>
  <c r="B19" i="26"/>
  <c r="C19" i="26"/>
  <c r="I19" i="26" s="1"/>
  <c r="D19" i="26"/>
  <c r="E19" i="26"/>
  <c r="J19" i="26" s="1"/>
  <c r="A20" i="26"/>
  <c r="B20" i="26"/>
  <c r="C20" i="26"/>
  <c r="I20" i="26" s="1"/>
  <c r="D20" i="26"/>
  <c r="E20" i="26"/>
  <c r="J20" i="26" s="1"/>
  <c r="A21" i="26"/>
  <c r="B21" i="26"/>
  <c r="C21" i="26"/>
  <c r="I21" i="26" s="1"/>
  <c r="D21" i="26"/>
  <c r="E21" i="26"/>
  <c r="J21" i="26" s="1"/>
  <c r="B12" i="26"/>
  <c r="C12" i="26"/>
  <c r="H12" i="26" s="1"/>
  <c r="D12" i="26"/>
  <c r="E12" i="26"/>
  <c r="A12" i="26"/>
  <c r="B13" i="25"/>
  <c r="I13" i="25" s="1"/>
  <c r="B14" i="25"/>
  <c r="I14" i="25" s="1"/>
  <c r="B12" i="25"/>
  <c r="I12" i="25" s="1"/>
  <c r="A21" i="25"/>
  <c r="B21" i="25"/>
  <c r="C21" i="25"/>
  <c r="D21" i="25"/>
  <c r="G21" i="25" s="1"/>
  <c r="A22" i="25"/>
  <c r="B22" i="25"/>
  <c r="C22" i="25"/>
  <c r="D22" i="25"/>
  <c r="G22" i="25" s="1"/>
  <c r="B20" i="25"/>
  <c r="C20" i="25"/>
  <c r="D20" i="25"/>
  <c r="G20" i="25" s="1"/>
  <c r="A20" i="25"/>
  <c r="A13" i="25"/>
  <c r="C13" i="25"/>
  <c r="D13" i="25"/>
  <c r="A14" i="25"/>
  <c r="C14" i="25"/>
  <c r="D14" i="25"/>
  <c r="C12" i="25"/>
  <c r="D12" i="25"/>
  <c r="A12" i="25"/>
  <c r="D3" i="25"/>
  <c r="D3" i="15"/>
  <c r="B28" i="24"/>
  <c r="A32" i="24"/>
  <c r="H32" i="24" s="1"/>
  <c r="B32" i="24"/>
  <c r="C32" i="24"/>
  <c r="I32" i="24" s="1"/>
  <c r="D32" i="24"/>
  <c r="E32" i="24"/>
  <c r="A33" i="24"/>
  <c r="G33" i="24" s="1"/>
  <c r="B33" i="24"/>
  <c r="C33" i="24"/>
  <c r="I33" i="24" s="1"/>
  <c r="D33" i="24"/>
  <c r="E33" i="24"/>
  <c r="A34" i="24"/>
  <c r="G34" i="24" s="1"/>
  <c r="B34" i="24"/>
  <c r="C34" i="24"/>
  <c r="I34" i="24" s="1"/>
  <c r="D34" i="24"/>
  <c r="E34" i="24"/>
  <c r="A35" i="24"/>
  <c r="G35" i="24" s="1"/>
  <c r="B35" i="24"/>
  <c r="C35" i="24"/>
  <c r="I35" i="24" s="1"/>
  <c r="D35" i="24"/>
  <c r="E35" i="24"/>
  <c r="A36" i="24"/>
  <c r="G36" i="24" s="1"/>
  <c r="B36" i="24"/>
  <c r="C36" i="24"/>
  <c r="I36" i="24" s="1"/>
  <c r="D36" i="24"/>
  <c r="E36" i="24"/>
  <c r="A37" i="24"/>
  <c r="G37" i="24" s="1"/>
  <c r="B37" i="24"/>
  <c r="C37" i="24"/>
  <c r="I37" i="24" s="1"/>
  <c r="D37" i="24"/>
  <c r="E37" i="24"/>
  <c r="A38" i="24"/>
  <c r="H38" i="24" s="1"/>
  <c r="B38" i="24"/>
  <c r="C38" i="24"/>
  <c r="I38" i="24" s="1"/>
  <c r="D38" i="24"/>
  <c r="E38" i="24"/>
  <c r="A39" i="24"/>
  <c r="H39" i="24" s="1"/>
  <c r="B39" i="24"/>
  <c r="C39" i="24"/>
  <c r="I39" i="24" s="1"/>
  <c r="D39" i="24"/>
  <c r="E39" i="24"/>
  <c r="A40" i="24"/>
  <c r="H40" i="24" s="1"/>
  <c r="B40" i="24"/>
  <c r="C40" i="24"/>
  <c r="I40" i="24" s="1"/>
  <c r="D40" i="24"/>
  <c r="E40" i="24"/>
  <c r="B31" i="24"/>
  <c r="C31" i="24"/>
  <c r="I31" i="24" s="1"/>
  <c r="D31" i="24"/>
  <c r="E31" i="24"/>
  <c r="A31" i="24"/>
  <c r="A13" i="24"/>
  <c r="H13" i="24" s="1"/>
  <c r="B13" i="24"/>
  <c r="C13" i="24"/>
  <c r="D13" i="24"/>
  <c r="E13" i="24"/>
  <c r="A14" i="24"/>
  <c r="B14" i="24"/>
  <c r="C14" i="24"/>
  <c r="I14" i="24" s="1"/>
  <c r="D14" i="24"/>
  <c r="E14" i="24"/>
  <c r="A15" i="24"/>
  <c r="H15" i="24" s="1"/>
  <c r="B15" i="24"/>
  <c r="C15" i="24"/>
  <c r="I15" i="24" s="1"/>
  <c r="D15" i="24"/>
  <c r="E15" i="24"/>
  <c r="A16" i="24"/>
  <c r="G16" i="24" s="1"/>
  <c r="B16" i="24"/>
  <c r="C16" i="24"/>
  <c r="I16" i="24" s="1"/>
  <c r="D16" i="24"/>
  <c r="E16" i="24"/>
  <c r="A17" i="24"/>
  <c r="G17" i="24" s="1"/>
  <c r="B17" i="24"/>
  <c r="C17" i="24"/>
  <c r="I17" i="24" s="1"/>
  <c r="D17" i="24"/>
  <c r="E17" i="24"/>
  <c r="A18" i="24"/>
  <c r="G18" i="24" s="1"/>
  <c r="B18" i="24"/>
  <c r="C18" i="24"/>
  <c r="I18" i="24" s="1"/>
  <c r="D18" i="24"/>
  <c r="E18" i="24"/>
  <c r="A19" i="24"/>
  <c r="H19" i="24" s="1"/>
  <c r="B19" i="24"/>
  <c r="C19" i="24"/>
  <c r="I19" i="24" s="1"/>
  <c r="D19" i="24"/>
  <c r="E19" i="24"/>
  <c r="A20" i="24"/>
  <c r="H20" i="24" s="1"/>
  <c r="B20" i="24"/>
  <c r="C20" i="24"/>
  <c r="D20" i="24"/>
  <c r="E20" i="24"/>
  <c r="A21" i="24"/>
  <c r="H21" i="24" s="1"/>
  <c r="B21" i="24"/>
  <c r="C21" i="24"/>
  <c r="I21" i="24" s="1"/>
  <c r="D21" i="24"/>
  <c r="E21" i="24"/>
  <c r="C12" i="24"/>
  <c r="I12" i="24" s="1"/>
  <c r="D12" i="24"/>
  <c r="E12" i="24"/>
  <c r="A12" i="24"/>
  <c r="I20" i="24"/>
  <c r="K21" i="16"/>
  <c r="K22" i="16"/>
  <c r="K23" i="16"/>
  <c r="K20" i="16"/>
  <c r="D3" i="24"/>
  <c r="D3" i="16"/>
  <c r="G38" i="6"/>
  <c r="G37" i="6"/>
  <c r="G36" i="6"/>
  <c r="G35" i="6"/>
  <c r="G34" i="6"/>
  <c r="G33" i="6"/>
  <c r="H26" i="26" l="1"/>
  <c r="I26" i="26"/>
  <c r="Q97" i="28"/>
  <c r="Q89" i="28"/>
  <c r="Q81" i="28"/>
  <c r="Q65" i="28"/>
  <c r="Q57" i="28"/>
  <c r="Q49" i="28"/>
  <c r="H21" i="26"/>
  <c r="J45" i="24"/>
  <c r="J46" i="24"/>
  <c r="J44" i="24"/>
  <c r="I13" i="24"/>
  <c r="Q73" i="28"/>
  <c r="Q43" i="28"/>
  <c r="J26" i="26"/>
  <c r="L35" i="26" s="1"/>
  <c r="H22" i="11" s="1"/>
  <c r="H13" i="26"/>
  <c r="J13" i="26" s="1"/>
  <c r="H31" i="24"/>
  <c r="H34" i="24"/>
  <c r="J34" i="24" s="1"/>
  <c r="G40" i="24"/>
  <c r="J40" i="24" s="1"/>
  <c r="H17" i="24"/>
  <c r="J17" i="24" s="1"/>
  <c r="H14" i="24"/>
  <c r="J41" i="24"/>
  <c r="J42" i="24"/>
  <c r="H35" i="24"/>
  <c r="J35" i="24" s="1"/>
  <c r="G14" i="24"/>
  <c r="G21" i="24"/>
  <c r="J21" i="24" s="1"/>
  <c r="G31" i="24"/>
  <c r="H12" i="24"/>
  <c r="G32" i="24"/>
  <c r="J32" i="24" s="1"/>
  <c r="I93" i="31"/>
  <c r="H21" i="11" s="1"/>
  <c r="I49" i="31"/>
  <c r="H14" i="11" s="1"/>
  <c r="H27" i="11" s="1"/>
  <c r="Q95" i="28"/>
  <c r="Q87" i="28"/>
  <c r="Q79" i="28"/>
  <c r="Q71" i="28"/>
  <c r="Q63" i="28"/>
  <c r="Q55" i="28"/>
  <c r="Q47" i="28"/>
  <c r="H95" i="28"/>
  <c r="G95" i="28"/>
  <c r="H71" i="28"/>
  <c r="G71" i="28"/>
  <c r="Q62" i="28"/>
  <c r="Q46" i="28"/>
  <c r="G100" i="28"/>
  <c r="H100" i="28"/>
  <c r="G68" i="28"/>
  <c r="H68" i="28"/>
  <c r="G60" i="28"/>
  <c r="H60" i="28"/>
  <c r="G52" i="28"/>
  <c r="H52" i="28"/>
  <c r="H79" i="28"/>
  <c r="G79" i="28"/>
  <c r="H63" i="28"/>
  <c r="G63" i="28"/>
  <c r="H55" i="28"/>
  <c r="G55" i="28"/>
  <c r="Q94" i="28"/>
  <c r="Q54" i="28"/>
  <c r="H82" i="28"/>
  <c r="G82" i="28"/>
  <c r="H58" i="28"/>
  <c r="G58" i="28"/>
  <c r="Q99" i="28"/>
  <c r="Q91" i="28"/>
  <c r="Q83" i="28"/>
  <c r="Q75" i="28"/>
  <c r="Q67" i="28"/>
  <c r="Q59" i="28"/>
  <c r="Q51" i="28"/>
  <c r="H47" i="28"/>
  <c r="G47" i="28"/>
  <c r="Q70" i="28"/>
  <c r="F34" i="28"/>
  <c r="H34" i="28" s="1"/>
  <c r="F21" i="28"/>
  <c r="G21" i="28"/>
  <c r="G19" i="28"/>
  <c r="F19" i="28"/>
  <c r="G15" i="28"/>
  <c r="F31" i="28"/>
  <c r="H31" i="28" s="1"/>
  <c r="H101" i="28"/>
  <c r="G101" i="28"/>
  <c r="H93" i="28"/>
  <c r="G93" i="28"/>
  <c r="H85" i="28"/>
  <c r="G85" i="28"/>
  <c r="H77" i="28"/>
  <c r="G77" i="28"/>
  <c r="H69" i="28"/>
  <c r="G69" i="28"/>
  <c r="H61" i="28"/>
  <c r="G61" i="28"/>
  <c r="H53" i="28"/>
  <c r="G53" i="28"/>
  <c r="Q96" i="28"/>
  <c r="Q88" i="28"/>
  <c r="Q80" i="28"/>
  <c r="Q72" i="28"/>
  <c r="Q64" i="28"/>
  <c r="Q56" i="28"/>
  <c r="Q48" i="28"/>
  <c r="F32" i="28"/>
  <c r="H32" i="28" s="1"/>
  <c r="Q86" i="28"/>
  <c r="H98" i="28"/>
  <c r="G98" i="28"/>
  <c r="H90" i="28"/>
  <c r="G90" i="28"/>
  <c r="H50" i="28"/>
  <c r="G50" i="28"/>
  <c r="G13" i="28"/>
  <c r="H96" i="28"/>
  <c r="G96" i="28"/>
  <c r="H88" i="28"/>
  <c r="G88" i="28"/>
  <c r="H80" i="28"/>
  <c r="G80" i="28"/>
  <c r="H72" i="28"/>
  <c r="G72" i="28"/>
  <c r="H64" i="28"/>
  <c r="G64" i="28"/>
  <c r="H56" i="28"/>
  <c r="G56" i="28"/>
  <c r="H48" i="28"/>
  <c r="G48" i="28"/>
  <c r="Q101" i="28"/>
  <c r="Q93" i="28"/>
  <c r="Q85" i="28"/>
  <c r="Q77" i="28"/>
  <c r="Q69" i="28"/>
  <c r="Q61" i="28"/>
  <c r="Q53" i="28"/>
  <c r="G84" i="28"/>
  <c r="H84" i="28"/>
  <c r="G76" i="28"/>
  <c r="H76" i="28"/>
  <c r="H87" i="28"/>
  <c r="G87" i="28"/>
  <c r="Q78" i="28"/>
  <c r="H74" i="28"/>
  <c r="G74" i="28"/>
  <c r="H66" i="28"/>
  <c r="G66" i="28"/>
  <c r="F26" i="28"/>
  <c r="F33" i="28"/>
  <c r="H33" i="28" s="1"/>
  <c r="G99" i="28"/>
  <c r="H99" i="28"/>
  <c r="G91" i="28"/>
  <c r="H91" i="28"/>
  <c r="G83" i="28"/>
  <c r="H83" i="28"/>
  <c r="G75" i="28"/>
  <c r="H75" i="28"/>
  <c r="G67" i="28"/>
  <c r="H67" i="28"/>
  <c r="G59" i="28"/>
  <c r="H59" i="28"/>
  <c r="H51" i="28"/>
  <c r="G51" i="28"/>
  <c r="Q98" i="28"/>
  <c r="Q90" i="28"/>
  <c r="Q82" i="28"/>
  <c r="Q74" i="28"/>
  <c r="Q66" i="28"/>
  <c r="Q58" i="28"/>
  <c r="Q50" i="28"/>
  <c r="G92" i="28"/>
  <c r="H92" i="28"/>
  <c r="H102" i="28"/>
  <c r="G102" i="28"/>
  <c r="H86" i="28"/>
  <c r="G86" i="28"/>
  <c r="H78" i="28"/>
  <c r="G78" i="28"/>
  <c r="H70" i="28"/>
  <c r="G70" i="28"/>
  <c r="H62" i="28"/>
  <c r="G62" i="28"/>
  <c r="H54" i="28"/>
  <c r="G54" i="28"/>
  <c r="H46" i="28"/>
  <c r="G46" i="28"/>
  <c r="Q102" i="28"/>
  <c r="H94" i="28"/>
  <c r="G94" i="28"/>
  <c r="F22" i="28"/>
  <c r="G22" i="28"/>
  <c r="F20" i="28"/>
  <c r="G20" i="28"/>
  <c r="F35" i="28"/>
  <c r="H35" i="28" s="1"/>
  <c r="F27" i="28"/>
  <c r="H97" i="28"/>
  <c r="G97" i="28"/>
  <c r="H89" i="28"/>
  <c r="G89" i="28"/>
  <c r="H81" i="28"/>
  <c r="G81" i="28"/>
  <c r="H73" i="28"/>
  <c r="G73" i="28"/>
  <c r="H65" i="28"/>
  <c r="G65" i="28"/>
  <c r="H57" i="28"/>
  <c r="G57" i="28"/>
  <c r="H49" i="28"/>
  <c r="G49" i="28"/>
  <c r="Q100" i="28"/>
  <c r="Q92" i="28"/>
  <c r="Q84" i="28"/>
  <c r="Q76" i="28"/>
  <c r="Q68" i="28"/>
  <c r="Q60" i="28"/>
  <c r="Q52" i="28"/>
  <c r="Q44" i="28"/>
  <c r="Q45" i="28"/>
  <c r="G45" i="28"/>
  <c r="H45" i="28"/>
  <c r="H44" i="28"/>
  <c r="H43" i="28"/>
  <c r="F30" i="28"/>
  <c r="H30" i="28" s="1"/>
  <c r="F29" i="28"/>
  <c r="F28" i="28"/>
  <c r="G18" i="28"/>
  <c r="G17" i="28"/>
  <c r="G16" i="28"/>
  <c r="G14" i="28"/>
  <c r="H14" i="28" s="1"/>
  <c r="I16" i="26"/>
  <c r="I15" i="26"/>
  <c r="H14" i="26"/>
  <c r="H20" i="26"/>
  <c r="H19" i="26"/>
  <c r="H18" i="26"/>
  <c r="H17" i="26"/>
  <c r="G13" i="25"/>
  <c r="F22" i="25"/>
  <c r="I22" i="25" s="1"/>
  <c r="G13" i="24"/>
  <c r="G15" i="24"/>
  <c r="J15" i="24" s="1"/>
  <c r="G38" i="24"/>
  <c r="J38" i="24" s="1"/>
  <c r="H18" i="24"/>
  <c r="J18" i="24" s="1"/>
  <c r="H33" i="24"/>
  <c r="J33" i="24" s="1"/>
  <c r="G39" i="24"/>
  <c r="J39" i="24" s="1"/>
  <c r="H16" i="24"/>
  <c r="J16" i="24" s="1"/>
  <c r="G20" i="24"/>
  <c r="J20" i="24" s="1"/>
  <c r="G12" i="24"/>
  <c r="H36" i="24"/>
  <c r="J36" i="24" s="1"/>
  <c r="G19" i="24"/>
  <c r="J19" i="24" s="1"/>
  <c r="H37" i="24"/>
  <c r="J37" i="24" s="1"/>
  <c r="I12" i="26"/>
  <c r="J12" i="26" s="1"/>
  <c r="H12" i="25"/>
  <c r="F14" i="25"/>
  <c r="F13" i="25"/>
  <c r="H14" i="25"/>
  <c r="H13" i="25"/>
  <c r="F12" i="25"/>
  <c r="F21" i="25"/>
  <c r="F20" i="25"/>
  <c r="G12" i="25"/>
  <c r="G14" i="25"/>
  <c r="A32" i="23"/>
  <c r="B32" i="23"/>
  <c r="C32" i="23"/>
  <c r="D32" i="23"/>
  <c r="E32" i="23"/>
  <c r="J32" i="23" s="1"/>
  <c r="F32" i="23"/>
  <c r="G32" i="23"/>
  <c r="K32" i="23" s="1"/>
  <c r="H32" i="23"/>
  <c r="A33" i="23"/>
  <c r="B33" i="23"/>
  <c r="C33" i="23"/>
  <c r="D33" i="23"/>
  <c r="E33" i="23"/>
  <c r="J33" i="23" s="1"/>
  <c r="F33" i="23"/>
  <c r="G33" i="23"/>
  <c r="H33" i="23"/>
  <c r="A34" i="23"/>
  <c r="B34" i="23"/>
  <c r="C34" i="23"/>
  <c r="D34" i="23"/>
  <c r="E34" i="23"/>
  <c r="J34" i="23" s="1"/>
  <c r="F34" i="23"/>
  <c r="G34" i="23"/>
  <c r="H34" i="23"/>
  <c r="A35" i="23"/>
  <c r="B35" i="23"/>
  <c r="C35" i="23"/>
  <c r="D35" i="23"/>
  <c r="E35" i="23"/>
  <c r="J35" i="23" s="1"/>
  <c r="F35" i="23"/>
  <c r="G35" i="23"/>
  <c r="H35" i="23"/>
  <c r="A36" i="23"/>
  <c r="B36" i="23"/>
  <c r="C36" i="23"/>
  <c r="D36" i="23"/>
  <c r="E36" i="23"/>
  <c r="J36" i="23" s="1"/>
  <c r="F36" i="23"/>
  <c r="G36" i="23"/>
  <c r="H36" i="23"/>
  <c r="A37" i="23"/>
  <c r="B37" i="23"/>
  <c r="C37" i="23"/>
  <c r="D37" i="23"/>
  <c r="E37" i="23"/>
  <c r="J37" i="23" s="1"/>
  <c r="F37" i="23"/>
  <c r="G37" i="23"/>
  <c r="H37" i="23"/>
  <c r="A38" i="23"/>
  <c r="B38" i="23"/>
  <c r="C38" i="23"/>
  <c r="D38" i="23"/>
  <c r="E38" i="23"/>
  <c r="J38" i="23" s="1"/>
  <c r="F38" i="23"/>
  <c r="G38" i="23"/>
  <c r="H38" i="23"/>
  <c r="A39" i="23"/>
  <c r="B39" i="23"/>
  <c r="C39" i="23"/>
  <c r="D39" i="23"/>
  <c r="E39" i="23"/>
  <c r="J39" i="23" s="1"/>
  <c r="F39" i="23"/>
  <c r="G39" i="23"/>
  <c r="H39" i="23"/>
  <c r="A40" i="23"/>
  <c r="B40" i="23"/>
  <c r="C40" i="23"/>
  <c r="D40" i="23"/>
  <c r="E40" i="23"/>
  <c r="J40" i="23" s="1"/>
  <c r="F40" i="23"/>
  <c r="G40" i="23"/>
  <c r="H40" i="23"/>
  <c r="A41" i="23"/>
  <c r="B41" i="23"/>
  <c r="C41" i="23"/>
  <c r="D41" i="23"/>
  <c r="E41" i="23"/>
  <c r="J41" i="23" s="1"/>
  <c r="F41" i="23"/>
  <c r="G41" i="23"/>
  <c r="H41" i="23"/>
  <c r="A42" i="23"/>
  <c r="B42" i="23"/>
  <c r="C42" i="23"/>
  <c r="D42" i="23"/>
  <c r="E42" i="23"/>
  <c r="J42" i="23" s="1"/>
  <c r="F42" i="23"/>
  <c r="G42" i="23"/>
  <c r="H42" i="23"/>
  <c r="A43" i="23"/>
  <c r="B43" i="23"/>
  <c r="C43" i="23"/>
  <c r="D43" i="23"/>
  <c r="E43" i="23"/>
  <c r="J43" i="23" s="1"/>
  <c r="F43" i="23"/>
  <c r="G43" i="23"/>
  <c r="H43" i="23"/>
  <c r="A44" i="23"/>
  <c r="B44" i="23"/>
  <c r="C44" i="23"/>
  <c r="D44" i="23"/>
  <c r="E44" i="23"/>
  <c r="J44" i="23" s="1"/>
  <c r="F44" i="23"/>
  <c r="G44" i="23"/>
  <c r="H44" i="23"/>
  <c r="A45" i="23"/>
  <c r="B45" i="23"/>
  <c r="C45" i="23"/>
  <c r="D45" i="23"/>
  <c r="E45" i="23"/>
  <c r="J45" i="23" s="1"/>
  <c r="F45" i="23"/>
  <c r="G45" i="23"/>
  <c r="H45" i="23"/>
  <c r="B31" i="23"/>
  <c r="C31" i="23"/>
  <c r="D31" i="23"/>
  <c r="E31" i="23"/>
  <c r="F31" i="23"/>
  <c r="G31" i="23"/>
  <c r="K31" i="23" s="1"/>
  <c r="H31" i="23"/>
  <c r="A31" i="23"/>
  <c r="D13" i="23"/>
  <c r="E13" i="23"/>
  <c r="F13" i="23"/>
  <c r="G13" i="23"/>
  <c r="K13" i="23" s="1"/>
  <c r="H13" i="23"/>
  <c r="D14" i="23"/>
  <c r="E14" i="23"/>
  <c r="F14" i="23"/>
  <c r="G14" i="23"/>
  <c r="K14" i="23" s="1"/>
  <c r="H14" i="23"/>
  <c r="D15" i="23"/>
  <c r="E15" i="23"/>
  <c r="F15" i="23"/>
  <c r="G15" i="23"/>
  <c r="K15" i="23" s="1"/>
  <c r="H15" i="23"/>
  <c r="D16" i="23"/>
  <c r="E16" i="23"/>
  <c r="F16" i="23"/>
  <c r="G16" i="23"/>
  <c r="K16" i="23" s="1"/>
  <c r="H16" i="23"/>
  <c r="D17" i="23"/>
  <c r="E17" i="23"/>
  <c r="F17" i="23"/>
  <c r="G17" i="23"/>
  <c r="K17" i="23" s="1"/>
  <c r="H17" i="23"/>
  <c r="D18" i="23"/>
  <c r="E18" i="23"/>
  <c r="F18" i="23"/>
  <c r="G18" i="23"/>
  <c r="K18" i="23" s="1"/>
  <c r="H18" i="23"/>
  <c r="D19" i="23"/>
  <c r="E19" i="23"/>
  <c r="J19" i="23" s="1"/>
  <c r="F19" i="23"/>
  <c r="G19" i="23"/>
  <c r="K19" i="23" s="1"/>
  <c r="H19" i="23"/>
  <c r="D20" i="23"/>
  <c r="E20" i="23"/>
  <c r="J20" i="23" s="1"/>
  <c r="F20" i="23"/>
  <c r="G20" i="23"/>
  <c r="K20" i="23" s="1"/>
  <c r="H20" i="23"/>
  <c r="D21" i="23"/>
  <c r="E21" i="23"/>
  <c r="J21" i="23" s="1"/>
  <c r="F21" i="23"/>
  <c r="G21" i="23"/>
  <c r="H21" i="23"/>
  <c r="D22" i="23"/>
  <c r="E22" i="23"/>
  <c r="J22" i="23" s="1"/>
  <c r="F22" i="23"/>
  <c r="G22" i="23"/>
  <c r="H22" i="23"/>
  <c r="D23" i="23"/>
  <c r="E23" i="23"/>
  <c r="J23" i="23" s="1"/>
  <c r="F23" i="23"/>
  <c r="G23" i="23"/>
  <c r="H23" i="23"/>
  <c r="D24" i="23"/>
  <c r="E24" i="23"/>
  <c r="J24" i="23" s="1"/>
  <c r="F24" i="23"/>
  <c r="G24" i="23"/>
  <c r="H24" i="23"/>
  <c r="D25" i="23"/>
  <c r="E25" i="23"/>
  <c r="J25" i="23" s="1"/>
  <c r="F25" i="23"/>
  <c r="G25" i="23"/>
  <c r="H25" i="23"/>
  <c r="D26" i="23"/>
  <c r="E26" i="23"/>
  <c r="J26" i="23" s="1"/>
  <c r="F26" i="23"/>
  <c r="G26" i="23"/>
  <c r="H26" i="23"/>
  <c r="E12" i="23"/>
  <c r="F12" i="23"/>
  <c r="G12" i="23"/>
  <c r="K12" i="23" s="1"/>
  <c r="H12" i="23"/>
  <c r="A20" i="23"/>
  <c r="B20" i="23"/>
  <c r="C20" i="23"/>
  <c r="A21" i="23"/>
  <c r="B21" i="23"/>
  <c r="C21" i="23"/>
  <c r="A22" i="23"/>
  <c r="B22" i="23"/>
  <c r="C22" i="23"/>
  <c r="A23" i="23"/>
  <c r="B23" i="23"/>
  <c r="C23" i="23"/>
  <c r="A24" i="23"/>
  <c r="B24" i="23"/>
  <c r="C24" i="23"/>
  <c r="A25" i="23"/>
  <c r="B25" i="23"/>
  <c r="C25" i="23"/>
  <c r="A26" i="23"/>
  <c r="B26" i="23"/>
  <c r="C26" i="23"/>
  <c r="A13" i="23"/>
  <c r="B13" i="23"/>
  <c r="C13" i="23"/>
  <c r="A14" i="23"/>
  <c r="B14" i="23"/>
  <c r="C14" i="23"/>
  <c r="A15" i="23"/>
  <c r="B15" i="23"/>
  <c r="C15" i="23"/>
  <c r="A16" i="23"/>
  <c r="B16" i="23"/>
  <c r="C16" i="23"/>
  <c r="A17" i="23"/>
  <c r="B17" i="23"/>
  <c r="C17" i="23"/>
  <c r="A18" i="23"/>
  <c r="B18" i="23"/>
  <c r="C18" i="23"/>
  <c r="A19" i="23"/>
  <c r="B19" i="23"/>
  <c r="C19" i="23"/>
  <c r="B12" i="23"/>
  <c r="C12" i="23"/>
  <c r="D12" i="23"/>
  <c r="A12" i="23"/>
  <c r="C3" i="13"/>
  <c r="D3" i="21"/>
  <c r="C3" i="23"/>
  <c r="E54" i="22"/>
  <c r="E55" i="22"/>
  <c r="E56" i="22"/>
  <c r="E57" i="22"/>
  <c r="E58" i="22"/>
  <c r="E59" i="22"/>
  <c r="E60" i="22"/>
  <c r="F30" i="2"/>
  <c r="F31" i="2"/>
  <c r="F32" i="2"/>
  <c r="F33" i="2"/>
  <c r="F34" i="2"/>
  <c r="F35" i="2"/>
  <c r="F39" i="2" s="1"/>
  <c r="F36" i="2"/>
  <c r="F37" i="2"/>
  <c r="F38" i="2"/>
  <c r="A55" i="22"/>
  <c r="B55" i="22"/>
  <c r="C55" i="22"/>
  <c r="D55" i="22"/>
  <c r="S55" i="22" s="1"/>
  <c r="A56" i="22"/>
  <c r="B56" i="22"/>
  <c r="C56" i="22"/>
  <c r="D56" i="22"/>
  <c r="A57" i="22"/>
  <c r="B57" i="22"/>
  <c r="C57" i="22"/>
  <c r="D57" i="22"/>
  <c r="A58" i="22"/>
  <c r="B58" i="22"/>
  <c r="C58" i="22"/>
  <c r="D58" i="22"/>
  <c r="A59" i="22"/>
  <c r="B59" i="22"/>
  <c r="C59" i="22"/>
  <c r="D59" i="22"/>
  <c r="A60" i="22"/>
  <c r="B60" i="22"/>
  <c r="C60" i="22"/>
  <c r="D60" i="22"/>
  <c r="B54" i="22"/>
  <c r="C54" i="22"/>
  <c r="D54" i="22"/>
  <c r="A54" i="22"/>
  <c r="N27" i="21"/>
  <c r="O27" i="21" s="1"/>
  <c r="Q20" i="21"/>
  <c r="R20" i="21" s="1"/>
  <c r="Q21" i="21"/>
  <c r="R21" i="21" s="1"/>
  <c r="Q22" i="21"/>
  <c r="R22" i="21" s="1"/>
  <c r="Q23" i="21"/>
  <c r="R23" i="21" s="1"/>
  <c r="Q19" i="21"/>
  <c r="R19" i="21" s="1"/>
  <c r="J13" i="24" l="1"/>
  <c r="I21" i="25"/>
  <c r="H28" i="28"/>
  <c r="L37" i="23"/>
  <c r="L45" i="23"/>
  <c r="L19" i="23"/>
  <c r="L38" i="23"/>
  <c r="L20" i="23"/>
  <c r="L39" i="23"/>
  <c r="L21" i="23"/>
  <c r="L32" i="23"/>
  <c r="L40" i="23"/>
  <c r="L22" i="23"/>
  <c r="L43" i="23"/>
  <c r="L25" i="23"/>
  <c r="L44" i="23"/>
  <c r="L33" i="23"/>
  <c r="L41" i="23"/>
  <c r="L23" i="23"/>
  <c r="L34" i="23"/>
  <c r="L42" i="23"/>
  <c r="L24" i="23"/>
  <c r="L35" i="23"/>
  <c r="L36" i="23"/>
  <c r="L26" i="23"/>
  <c r="I50" i="28"/>
  <c r="H26" i="28"/>
  <c r="I69" i="28"/>
  <c r="I101" i="28"/>
  <c r="I64" i="28"/>
  <c r="I96" i="28"/>
  <c r="I20" i="25"/>
  <c r="H27" i="28"/>
  <c r="H29" i="28"/>
  <c r="J31" i="24"/>
  <c r="J14" i="24"/>
  <c r="I60" i="28"/>
  <c r="I48" i="28"/>
  <c r="I80" i="28"/>
  <c r="I51" i="28"/>
  <c r="I75" i="28"/>
  <c r="I53" i="28"/>
  <c r="I85" i="28"/>
  <c r="I95" i="28"/>
  <c r="I98" i="28"/>
  <c r="I46" i="28"/>
  <c r="I78" i="28"/>
  <c r="I66" i="28"/>
  <c r="I73" i="28"/>
  <c r="L20" i="26"/>
  <c r="H13" i="11" s="1"/>
  <c r="H22" i="28"/>
  <c r="I62" i="28"/>
  <c r="I102" i="28"/>
  <c r="I68" i="28"/>
  <c r="I49" i="28"/>
  <c r="I81" i="28"/>
  <c r="I94" i="28"/>
  <c r="I82" i="28"/>
  <c r="I79" i="28"/>
  <c r="I52" i="28"/>
  <c r="I65" i="28"/>
  <c r="I97" i="28"/>
  <c r="I92" i="28"/>
  <c r="I54" i="28"/>
  <c r="I86" i="28"/>
  <c r="I74" i="28"/>
  <c r="I45" i="28"/>
  <c r="H20" i="28"/>
  <c r="H21" i="28"/>
  <c r="I100" i="28"/>
  <c r="I83" i="28"/>
  <c r="I59" i="28"/>
  <c r="I91" i="28"/>
  <c r="I76" i="28"/>
  <c r="I72" i="28"/>
  <c r="I77" i="28"/>
  <c r="I67" i="28"/>
  <c r="I99" i="28"/>
  <c r="I84" i="28"/>
  <c r="I55" i="28"/>
  <c r="I57" i="28"/>
  <c r="I89" i="28"/>
  <c r="I70" i="28"/>
  <c r="I47" i="28"/>
  <c r="I71" i="28"/>
  <c r="I87" i="28"/>
  <c r="I56" i="28"/>
  <c r="I88" i="28"/>
  <c r="I90" i="28"/>
  <c r="I61" i="28"/>
  <c r="I93" i="28"/>
  <c r="H19" i="28"/>
  <c r="I58" i="28"/>
  <c r="I63" i="28"/>
  <c r="J12" i="25"/>
  <c r="J13" i="25"/>
  <c r="J14" i="25"/>
  <c r="K24" i="25" l="1"/>
  <c r="H18" i="11" s="1"/>
  <c r="F50" i="2"/>
  <c r="F51" i="2"/>
  <c r="F52" i="2"/>
  <c r="F53" i="2"/>
  <c r="F54" i="2"/>
  <c r="F55" i="2"/>
  <c r="F49" i="2"/>
  <c r="D3" i="22"/>
  <c r="A44" i="22"/>
  <c r="B44" i="22"/>
  <c r="C44" i="22"/>
  <c r="R44" i="22" s="1"/>
  <c r="D44" i="22"/>
  <c r="E44" i="22"/>
  <c r="F44" i="22"/>
  <c r="S44" i="22" s="1"/>
  <c r="A45" i="22"/>
  <c r="B45" i="22"/>
  <c r="C45" i="22"/>
  <c r="R45" i="22" s="1"/>
  <c r="D45" i="22"/>
  <c r="E45" i="22"/>
  <c r="F45" i="22"/>
  <c r="S45" i="22" s="1"/>
  <c r="A46" i="22"/>
  <c r="B46" i="22"/>
  <c r="C46" i="22"/>
  <c r="R46" i="22" s="1"/>
  <c r="D46" i="22"/>
  <c r="E46" i="22"/>
  <c r="F46" i="22"/>
  <c r="S46" i="22" s="1"/>
  <c r="A47" i="22"/>
  <c r="B47" i="22"/>
  <c r="C47" i="22"/>
  <c r="R47" i="22" s="1"/>
  <c r="D47" i="22"/>
  <c r="E47" i="22"/>
  <c r="F47" i="22"/>
  <c r="S47" i="22" s="1"/>
  <c r="A48" i="22"/>
  <c r="B48" i="22"/>
  <c r="C48" i="22"/>
  <c r="R48" i="22" s="1"/>
  <c r="D48" i="22"/>
  <c r="E48" i="22"/>
  <c r="F48" i="22"/>
  <c r="S48" i="22" s="1"/>
  <c r="A49" i="22"/>
  <c r="B49" i="22"/>
  <c r="C49" i="22"/>
  <c r="R49" i="22" s="1"/>
  <c r="D49" i="22"/>
  <c r="E49" i="22"/>
  <c r="F49" i="22"/>
  <c r="S49" i="22" s="1"/>
  <c r="B43" i="22"/>
  <c r="C43" i="22"/>
  <c r="D43" i="22"/>
  <c r="E43" i="22"/>
  <c r="F43" i="22"/>
  <c r="S43" i="22" s="1"/>
  <c r="A43" i="22"/>
  <c r="A34" i="22"/>
  <c r="B34" i="22"/>
  <c r="C34" i="22"/>
  <c r="D34" i="22"/>
  <c r="E34" i="22"/>
  <c r="F34" i="22"/>
  <c r="G34" i="22"/>
  <c r="H34" i="22"/>
  <c r="I34" i="22"/>
  <c r="S34" i="22" s="1"/>
  <c r="A35" i="22"/>
  <c r="B35" i="22"/>
  <c r="C35" i="22"/>
  <c r="D35" i="22"/>
  <c r="E35" i="22"/>
  <c r="F35" i="22"/>
  <c r="G35" i="22"/>
  <c r="H35" i="22"/>
  <c r="I35" i="22"/>
  <c r="S35" i="22" s="1"/>
  <c r="A36" i="22"/>
  <c r="B36" i="22"/>
  <c r="C36" i="22"/>
  <c r="D36" i="22"/>
  <c r="E36" i="22"/>
  <c r="F36" i="22"/>
  <c r="G36" i="22"/>
  <c r="H36" i="22"/>
  <c r="I36" i="22"/>
  <c r="S36" i="22" s="1"/>
  <c r="A37" i="22"/>
  <c r="B37" i="22"/>
  <c r="C37" i="22"/>
  <c r="D37" i="22"/>
  <c r="E37" i="22"/>
  <c r="F37" i="22"/>
  <c r="G37" i="22"/>
  <c r="H37" i="22"/>
  <c r="I37" i="22"/>
  <c r="S37" i="22" s="1"/>
  <c r="A38" i="22"/>
  <c r="B38" i="22"/>
  <c r="C38" i="22"/>
  <c r="D38" i="22"/>
  <c r="E38" i="22"/>
  <c r="F38" i="22"/>
  <c r="G38" i="22"/>
  <c r="H38" i="22"/>
  <c r="I38" i="22"/>
  <c r="S38" i="22" s="1"/>
  <c r="A39" i="22"/>
  <c r="B39" i="22"/>
  <c r="C39" i="22"/>
  <c r="D39" i="22"/>
  <c r="E39" i="22"/>
  <c r="F39" i="22"/>
  <c r="G39" i="22"/>
  <c r="H39" i="22"/>
  <c r="I39" i="22"/>
  <c r="S39" i="22" s="1"/>
  <c r="B33" i="22"/>
  <c r="C33" i="22"/>
  <c r="D33" i="22"/>
  <c r="E33" i="22"/>
  <c r="F33" i="22"/>
  <c r="G33" i="22"/>
  <c r="H33" i="22"/>
  <c r="I33" i="22"/>
  <c r="S33" i="22" s="1"/>
  <c r="A33" i="22"/>
  <c r="A23" i="22"/>
  <c r="B23" i="22"/>
  <c r="C23" i="22"/>
  <c r="D23" i="22"/>
  <c r="E23" i="22"/>
  <c r="F23" i="22"/>
  <c r="S23" i="22" s="1"/>
  <c r="A24" i="22"/>
  <c r="B24" i="22"/>
  <c r="C24" i="22"/>
  <c r="D24" i="22"/>
  <c r="E24" i="22"/>
  <c r="F24" i="22"/>
  <c r="S24" i="22" s="1"/>
  <c r="A25" i="22"/>
  <c r="B25" i="22"/>
  <c r="C25" i="22"/>
  <c r="D25" i="22"/>
  <c r="E25" i="22"/>
  <c r="F25" i="22"/>
  <c r="S25" i="22" s="1"/>
  <c r="A26" i="22"/>
  <c r="B26" i="22"/>
  <c r="C26" i="22"/>
  <c r="D26" i="22"/>
  <c r="E26" i="22"/>
  <c r="F26" i="22"/>
  <c r="S26" i="22" s="1"/>
  <c r="A27" i="22"/>
  <c r="B27" i="22"/>
  <c r="C27" i="22"/>
  <c r="D27" i="22"/>
  <c r="E27" i="22"/>
  <c r="F27" i="22"/>
  <c r="S27" i="22" s="1"/>
  <c r="A28" i="22"/>
  <c r="B28" i="22"/>
  <c r="C28" i="22"/>
  <c r="D28" i="22"/>
  <c r="E28" i="22"/>
  <c r="F28" i="22"/>
  <c r="S28" i="22" s="1"/>
  <c r="B22" i="22"/>
  <c r="C22" i="22"/>
  <c r="R22" i="22" s="1"/>
  <c r="D22" i="22"/>
  <c r="E22" i="22"/>
  <c r="F22" i="22"/>
  <c r="S22" i="22" s="1"/>
  <c r="A22" i="22"/>
  <c r="A13" i="22"/>
  <c r="B13" i="22"/>
  <c r="C13" i="22"/>
  <c r="D13" i="22"/>
  <c r="K13" i="22" s="1"/>
  <c r="E13" i="22"/>
  <c r="L13" i="22" s="1"/>
  <c r="F13" i="22"/>
  <c r="O13" i="22" s="1"/>
  <c r="G13" i="22"/>
  <c r="P13" i="22" s="1"/>
  <c r="H13" i="22"/>
  <c r="I13" i="22"/>
  <c r="S13" i="22" s="1"/>
  <c r="A14" i="22"/>
  <c r="B14" i="22"/>
  <c r="C14" i="22"/>
  <c r="D14" i="22"/>
  <c r="K14" i="22" s="1"/>
  <c r="E14" i="22"/>
  <c r="L14" i="22" s="1"/>
  <c r="F14" i="22"/>
  <c r="O14" i="22" s="1"/>
  <c r="G14" i="22"/>
  <c r="P14" i="22" s="1"/>
  <c r="H14" i="22"/>
  <c r="I14" i="22"/>
  <c r="S14" i="22" s="1"/>
  <c r="A15" i="22"/>
  <c r="B15" i="22"/>
  <c r="C15" i="22"/>
  <c r="D15" i="22"/>
  <c r="E15" i="22"/>
  <c r="F15" i="22"/>
  <c r="G15" i="22"/>
  <c r="H15" i="22"/>
  <c r="I15" i="22"/>
  <c r="S15" i="22" s="1"/>
  <c r="A16" i="22"/>
  <c r="B16" i="22"/>
  <c r="C16" i="22"/>
  <c r="D16" i="22"/>
  <c r="E16" i="22"/>
  <c r="F16" i="22"/>
  <c r="G16" i="22"/>
  <c r="H16" i="22"/>
  <c r="I16" i="22"/>
  <c r="S16" i="22" s="1"/>
  <c r="A17" i="22"/>
  <c r="B17" i="22"/>
  <c r="C17" i="22"/>
  <c r="D17" i="22"/>
  <c r="E17" i="22"/>
  <c r="F17" i="22"/>
  <c r="G17" i="22"/>
  <c r="H17" i="22"/>
  <c r="I17" i="22"/>
  <c r="S17" i="22" s="1"/>
  <c r="A18" i="22"/>
  <c r="B18" i="22"/>
  <c r="C18" i="22"/>
  <c r="D18" i="22"/>
  <c r="E18" i="22"/>
  <c r="F18" i="22"/>
  <c r="G18" i="22"/>
  <c r="H18" i="22"/>
  <c r="I18" i="22"/>
  <c r="S18" i="22" s="1"/>
  <c r="B12" i="22"/>
  <c r="C12" i="22"/>
  <c r="D12" i="22"/>
  <c r="K12" i="22" s="1"/>
  <c r="E12" i="22"/>
  <c r="L12" i="22" s="1"/>
  <c r="F12" i="22"/>
  <c r="O12" i="22" s="1"/>
  <c r="G12" i="22"/>
  <c r="P12" i="22" s="1"/>
  <c r="H12" i="22"/>
  <c r="I12" i="22"/>
  <c r="S12" i="22" s="1"/>
  <c r="A12" i="22"/>
  <c r="T37" i="22" l="1"/>
  <c r="R43" i="22"/>
  <c r="T43" i="22" s="1"/>
  <c r="R23" i="22"/>
  <c r="T23" i="22" s="1"/>
  <c r="S59" i="22"/>
  <c r="S54" i="22"/>
  <c r="S57" i="22"/>
  <c r="S56" i="22"/>
  <c r="S60" i="22"/>
  <c r="S58" i="22"/>
  <c r="T44" i="22"/>
  <c r="T45" i="22"/>
  <c r="T47" i="22"/>
  <c r="T49" i="22"/>
  <c r="T48" i="22"/>
  <c r="T22" i="22"/>
  <c r="T46" i="22"/>
  <c r="Q39" i="22"/>
  <c r="T39" i="22" s="1"/>
  <c r="Q37" i="22"/>
  <c r="Q18" i="22"/>
  <c r="Q15" i="22"/>
  <c r="N13" i="22"/>
  <c r="M13" i="22"/>
  <c r="N35" i="22"/>
  <c r="M35" i="22"/>
  <c r="T35" i="22" s="1"/>
  <c r="M14" i="22"/>
  <c r="N14" i="22"/>
  <c r="M34" i="22"/>
  <c r="T34" i="22" s="1"/>
  <c r="N34" i="22"/>
  <c r="N12" i="22"/>
  <c r="M12" i="22"/>
  <c r="N33" i="22"/>
  <c r="M33" i="22"/>
  <c r="M36" i="22"/>
  <c r="T36" i="22" s="1"/>
  <c r="N36" i="22"/>
  <c r="M18" i="22"/>
  <c r="N18" i="22"/>
  <c r="M17" i="22"/>
  <c r="N17" i="22"/>
  <c r="M39" i="22"/>
  <c r="N39" i="22"/>
  <c r="M38" i="22"/>
  <c r="T38" i="22" s="1"/>
  <c r="N38" i="22"/>
  <c r="M16" i="22"/>
  <c r="N16" i="22"/>
  <c r="M15" i="22"/>
  <c r="N15" i="22"/>
  <c r="M37" i="22"/>
  <c r="N37" i="22"/>
  <c r="R39" i="22"/>
  <c r="Q17" i="22"/>
  <c r="T17" i="22" s="1"/>
  <c r="R16" i="22"/>
  <c r="R38" i="22"/>
  <c r="Q16" i="22"/>
  <c r="R15" i="22"/>
  <c r="Q38" i="22"/>
  <c r="R37" i="22"/>
  <c r="R14" i="22"/>
  <c r="R36" i="22"/>
  <c r="R17" i="22"/>
  <c r="R33" i="22"/>
  <c r="Q14" i="22"/>
  <c r="Q36" i="22"/>
  <c r="R35" i="22"/>
  <c r="R18" i="22"/>
  <c r="Q35" i="22"/>
  <c r="R34" i="22"/>
  <c r="Q34" i="22"/>
  <c r="R28" i="22"/>
  <c r="R27" i="22"/>
  <c r="R26" i="22"/>
  <c r="R25" i="22"/>
  <c r="R24" i="22"/>
  <c r="T16" i="22" l="1"/>
  <c r="T15" i="22"/>
  <c r="T14" i="22"/>
  <c r="T18" i="22"/>
  <c r="T24" i="22"/>
  <c r="T58" i="22"/>
  <c r="T25" i="22"/>
  <c r="T28" i="22"/>
  <c r="T26" i="22"/>
  <c r="T54" i="22"/>
  <c r="T27" i="22"/>
  <c r="T60" i="22"/>
  <c r="T57" i="22"/>
  <c r="T56" i="22"/>
  <c r="T59" i="22"/>
  <c r="T55" i="22"/>
  <c r="B3" i="17"/>
  <c r="A4" i="10"/>
  <c r="B12" i="24"/>
  <c r="J12" i="24" s="1"/>
  <c r="L42" i="24" s="1"/>
  <c r="H20" i="11" s="1"/>
  <c r="F18" i="5" l="1"/>
  <c r="F19" i="5"/>
  <c r="F20" i="5"/>
  <c r="F21" i="5"/>
  <c r="F22" i="5"/>
  <c r="F23" i="5"/>
  <c r="F24" i="5"/>
  <c r="F17" i="5"/>
  <c r="D18" i="5"/>
  <c r="G18" i="5" s="1"/>
  <c r="D19" i="5"/>
  <c r="G19" i="5" s="1"/>
  <c r="F13" i="29" s="1"/>
  <c r="G13" i="29" s="1"/>
  <c r="D20" i="5"/>
  <c r="G20" i="5" s="1"/>
  <c r="F12" i="29" s="1"/>
  <c r="G12" i="29" s="1"/>
  <c r="I31" i="29" s="1"/>
  <c r="H19" i="11" s="1"/>
  <c r="F59" i="36" s="1"/>
  <c r="D21" i="5"/>
  <c r="G21" i="5" s="1"/>
  <c r="D22" i="5"/>
  <c r="G22" i="5" s="1"/>
  <c r="D23" i="5"/>
  <c r="G23" i="5" s="1"/>
  <c r="D24" i="5"/>
  <c r="G24" i="5" s="1"/>
  <c r="D17" i="5"/>
  <c r="G17" i="5" s="1"/>
  <c r="K96" i="8"/>
  <c r="K74" i="8"/>
  <c r="K72" i="8"/>
  <c r="K71" i="8"/>
  <c r="K70" i="8"/>
  <c r="K69" i="8"/>
  <c r="K68" i="8"/>
  <c r="K67" i="8"/>
  <c r="K66" i="8"/>
  <c r="K65" i="8"/>
  <c r="K64" i="8"/>
  <c r="K63" i="8"/>
  <c r="K62" i="8"/>
  <c r="K59" i="8"/>
  <c r="K5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45" i="8"/>
  <c r="G96" i="8"/>
  <c r="G74" i="8"/>
  <c r="G72" i="8"/>
  <c r="M72" i="8" s="1"/>
  <c r="G71" i="8"/>
  <c r="M71" i="8" s="1"/>
  <c r="G70" i="8"/>
  <c r="G69" i="8"/>
  <c r="M69" i="8" s="1"/>
  <c r="G68" i="8"/>
  <c r="M68" i="8" s="1"/>
  <c r="G67" i="8"/>
  <c r="M67" i="8" s="1"/>
  <c r="G66" i="8"/>
  <c r="G65" i="8"/>
  <c r="G64" i="8"/>
  <c r="M64" i="8" s="1"/>
  <c r="G63" i="8"/>
  <c r="M63" i="8" s="1"/>
  <c r="G62" i="8"/>
  <c r="G59" i="8"/>
  <c r="M59" i="8" s="1"/>
  <c r="G55" i="8"/>
  <c r="M55" i="8" s="1"/>
  <c r="E46" i="8"/>
  <c r="L46" i="8" s="1"/>
  <c r="E47" i="8"/>
  <c r="E48" i="8"/>
  <c r="E49" i="8"/>
  <c r="E50" i="8"/>
  <c r="L50" i="8" s="1"/>
  <c r="E51" i="8"/>
  <c r="E52" i="8"/>
  <c r="L52" i="8" s="1"/>
  <c r="E53" i="8"/>
  <c r="L53" i="8" s="1"/>
  <c r="E54" i="8"/>
  <c r="L54" i="8" s="1"/>
  <c r="E55" i="8"/>
  <c r="E56" i="8"/>
  <c r="E57" i="8"/>
  <c r="E58" i="8"/>
  <c r="L58" i="8" s="1"/>
  <c r="E59" i="8"/>
  <c r="E60" i="8"/>
  <c r="L60" i="8" s="1"/>
  <c r="E61" i="8"/>
  <c r="L61" i="8" s="1"/>
  <c r="E62" i="8"/>
  <c r="L62" i="8" s="1"/>
  <c r="E63" i="8"/>
  <c r="E64" i="8"/>
  <c r="E65" i="8"/>
  <c r="E66" i="8"/>
  <c r="L66" i="8" s="1"/>
  <c r="E67" i="8"/>
  <c r="E68" i="8"/>
  <c r="L68" i="8" s="1"/>
  <c r="E69" i="8"/>
  <c r="L69" i="8" s="1"/>
  <c r="E70" i="8"/>
  <c r="L70" i="8" s="1"/>
  <c r="E71" i="8"/>
  <c r="E72" i="8"/>
  <c r="E73" i="8"/>
  <c r="E74" i="8"/>
  <c r="L74" i="8" s="1"/>
  <c r="E75" i="8"/>
  <c r="E76" i="8"/>
  <c r="L76" i="8" s="1"/>
  <c r="E77" i="8"/>
  <c r="L77" i="8" s="1"/>
  <c r="E78" i="8"/>
  <c r="L78" i="8" s="1"/>
  <c r="E79" i="8"/>
  <c r="E80" i="8"/>
  <c r="E81" i="8"/>
  <c r="E82" i="8"/>
  <c r="L82" i="8" s="1"/>
  <c r="E83" i="8"/>
  <c r="E84" i="8"/>
  <c r="L84" i="8" s="1"/>
  <c r="E85" i="8"/>
  <c r="L85" i="8" s="1"/>
  <c r="E86" i="8"/>
  <c r="L86" i="8" s="1"/>
  <c r="E87" i="8"/>
  <c r="E88" i="8"/>
  <c r="E89" i="8"/>
  <c r="E90" i="8"/>
  <c r="L90" i="8" s="1"/>
  <c r="E91" i="8"/>
  <c r="E92" i="8"/>
  <c r="L92" i="8" s="1"/>
  <c r="E93" i="8"/>
  <c r="L93" i="8" s="1"/>
  <c r="E94" i="8"/>
  <c r="L94" i="8" s="1"/>
  <c r="E95" i="8"/>
  <c r="E96" i="8"/>
  <c r="E45" i="8"/>
  <c r="L91" i="8" l="1"/>
  <c r="L75" i="8"/>
  <c r="L67" i="8"/>
  <c r="L59" i="8"/>
  <c r="L51" i="8"/>
  <c r="M62" i="8"/>
  <c r="M70" i="8"/>
  <c r="L83" i="8"/>
  <c r="M65" i="8"/>
  <c r="M74" i="8"/>
  <c r="M66" i="8"/>
  <c r="M96" i="8"/>
  <c r="L81" i="8"/>
  <c r="L45" i="8"/>
  <c r="L73" i="8"/>
  <c r="L57" i="8"/>
  <c r="L96" i="8"/>
  <c r="L88" i="8"/>
  <c r="L80" i="8"/>
  <c r="L72" i="8"/>
  <c r="L64" i="8"/>
  <c r="L56" i="8"/>
  <c r="L48" i="8"/>
  <c r="L89" i="8"/>
  <c r="L65" i="8"/>
  <c r="L49" i="8"/>
  <c r="L95" i="8"/>
  <c r="L87" i="8"/>
  <c r="L79" i="8"/>
  <c r="L71" i="8"/>
  <c r="L63" i="8"/>
  <c r="L55" i="8"/>
  <c r="L47" i="8"/>
  <c r="J36" i="4"/>
  <c r="I36" i="4"/>
  <c r="I60" i="4"/>
  <c r="I59" i="4"/>
  <c r="I58" i="4"/>
  <c r="I57" i="4"/>
  <c r="I56" i="4"/>
  <c r="I55" i="4"/>
  <c r="I54" i="4"/>
  <c r="H60" i="4"/>
  <c r="H59" i="4"/>
  <c r="H58" i="4"/>
  <c r="H57" i="4"/>
  <c r="H56" i="4"/>
  <c r="H55" i="4"/>
  <c r="H54" i="4"/>
  <c r="G60" i="4"/>
  <c r="G59" i="4"/>
  <c r="G58" i="4"/>
  <c r="G57" i="4"/>
  <c r="G56" i="4"/>
  <c r="G55" i="4"/>
  <c r="G54" i="4"/>
  <c r="G49" i="4"/>
  <c r="H49" i="4"/>
  <c r="F49" i="4"/>
  <c r="E33" i="6"/>
  <c r="D33" i="6"/>
  <c r="H15" i="6"/>
  <c r="H14" i="6"/>
  <c r="H16" i="6"/>
  <c r="H13" i="6"/>
  <c r="G16" i="6"/>
  <c r="G15" i="6"/>
  <c r="G14" i="6"/>
  <c r="G13" i="6"/>
  <c r="G39" i="6" l="1"/>
  <c r="R33" i="9"/>
  <c r="R32" i="9"/>
  <c r="R30" i="9"/>
  <c r="R21" i="9"/>
  <c r="F17" i="28" s="1"/>
  <c r="H17" i="28" s="1"/>
  <c r="R20" i="9"/>
  <c r="R19" i="9"/>
  <c r="R18" i="9"/>
  <c r="R13" i="9"/>
  <c r="R12" i="9"/>
  <c r="R11" i="9"/>
  <c r="R22" i="9" s="1"/>
  <c r="R11" i="3"/>
  <c r="R12" i="3"/>
  <c r="R13" i="3"/>
  <c r="R14" i="3"/>
  <c r="R15" i="3"/>
  <c r="R16" i="3"/>
  <c r="R10" i="3"/>
  <c r="P11" i="3"/>
  <c r="S11" i="3" s="1"/>
  <c r="P12" i="3"/>
  <c r="P13" i="3"/>
  <c r="P14" i="3"/>
  <c r="P15" i="3"/>
  <c r="S15" i="3" s="1"/>
  <c r="J17" i="23" s="1"/>
  <c r="L17" i="23" s="1"/>
  <c r="P16" i="3"/>
  <c r="P10" i="3"/>
  <c r="J13" i="23" l="1"/>
  <c r="L13" i="23" s="1"/>
  <c r="J31" i="23"/>
  <c r="L31" i="23" s="1"/>
  <c r="N46" i="23" s="1"/>
  <c r="H17" i="11" s="1"/>
  <c r="C59" i="36" s="1"/>
  <c r="S10" i="3"/>
  <c r="J12" i="23" s="1"/>
  <c r="L12" i="23" s="1"/>
  <c r="S16" i="3"/>
  <c r="J18" i="23" s="1"/>
  <c r="L18" i="23" s="1"/>
  <c r="S14" i="3"/>
  <c r="J16" i="23" s="1"/>
  <c r="L16" i="23" s="1"/>
  <c r="S13" i="3"/>
  <c r="J15" i="23" s="1"/>
  <c r="L15" i="23" s="1"/>
  <c r="S12" i="3"/>
  <c r="J14" i="23" s="1"/>
  <c r="L14" i="23" s="1"/>
  <c r="R24" i="9"/>
  <c r="F18" i="28" s="1"/>
  <c r="H18" i="28" s="1"/>
  <c r="F15" i="28"/>
  <c r="H15" i="28" s="1"/>
  <c r="F16" i="28"/>
  <c r="H16" i="28" s="1"/>
  <c r="G43" i="28"/>
  <c r="I43" i="28" s="1"/>
  <c r="F13" i="28"/>
  <c r="H13" i="28" s="1"/>
  <c r="R23" i="9"/>
  <c r="G44" i="28"/>
  <c r="I44" i="28" s="1"/>
  <c r="L60" i="2"/>
  <c r="L66" i="2"/>
  <c r="L65" i="2"/>
  <c r="L64" i="2"/>
  <c r="L62" i="2"/>
  <c r="L61" i="2"/>
  <c r="K66" i="2"/>
  <c r="K65" i="2"/>
  <c r="M65" i="2" s="1"/>
  <c r="K64" i="2"/>
  <c r="K62" i="2"/>
  <c r="K61" i="2"/>
  <c r="K60" i="2"/>
  <c r="L58" i="2"/>
  <c r="L57" i="2"/>
  <c r="L56" i="2"/>
  <c r="L55" i="2"/>
  <c r="L54" i="2"/>
  <c r="L59" i="2"/>
  <c r="K59" i="2"/>
  <c r="K58" i="2"/>
  <c r="K57" i="2"/>
  <c r="K56" i="2"/>
  <c r="K55" i="2"/>
  <c r="K54" i="2"/>
  <c r="L48" i="2"/>
  <c r="L53" i="2"/>
  <c r="L52" i="2"/>
  <c r="L51" i="2"/>
  <c r="L50" i="2"/>
  <c r="L49" i="2"/>
  <c r="K53" i="2"/>
  <c r="K52" i="2"/>
  <c r="M52" i="2" s="1"/>
  <c r="K51" i="2"/>
  <c r="K50" i="2"/>
  <c r="K49" i="2"/>
  <c r="K48" i="2"/>
  <c r="L47" i="2"/>
  <c r="L46" i="2"/>
  <c r="L45" i="2"/>
  <c r="L44" i="2"/>
  <c r="L43" i="2"/>
  <c r="L42" i="2"/>
  <c r="K43" i="2"/>
  <c r="K44" i="2"/>
  <c r="K45" i="2"/>
  <c r="K46" i="2"/>
  <c r="M46" i="2" s="1"/>
  <c r="K47" i="2"/>
  <c r="K42" i="2"/>
  <c r="L41" i="2"/>
  <c r="L40" i="2"/>
  <c r="K41" i="2"/>
  <c r="K40" i="2"/>
  <c r="K38" i="2"/>
  <c r="L39" i="2"/>
  <c r="L38" i="2"/>
  <c r="K39" i="2"/>
  <c r="M39" i="2" s="1"/>
  <c r="L33" i="2"/>
  <c r="L32" i="2"/>
  <c r="L31" i="2"/>
  <c r="L30" i="2"/>
  <c r="L29" i="2"/>
  <c r="L28" i="2"/>
  <c r="K29" i="2"/>
  <c r="K30" i="2"/>
  <c r="M30" i="2" s="1"/>
  <c r="K31" i="2"/>
  <c r="K32" i="2"/>
  <c r="M32" i="2" s="1"/>
  <c r="K33" i="2"/>
  <c r="K28" i="2"/>
  <c r="L27" i="2"/>
  <c r="L26" i="2"/>
  <c r="L25" i="2"/>
  <c r="L24" i="2"/>
  <c r="L23" i="2"/>
  <c r="L22" i="2"/>
  <c r="K23" i="2"/>
  <c r="K24" i="2"/>
  <c r="K25" i="2"/>
  <c r="K26" i="2"/>
  <c r="M26" i="2" s="1"/>
  <c r="K27" i="2"/>
  <c r="K22" i="2"/>
  <c r="L21" i="2"/>
  <c r="L20" i="2"/>
  <c r="L19" i="2"/>
  <c r="L18" i="2"/>
  <c r="L17" i="2"/>
  <c r="L16" i="2"/>
  <c r="L15" i="2"/>
  <c r="L14" i="2"/>
  <c r="L13" i="2"/>
  <c r="L12" i="2"/>
  <c r="K13" i="2"/>
  <c r="K14" i="2"/>
  <c r="K15" i="2"/>
  <c r="K16" i="2"/>
  <c r="M16" i="2" s="1"/>
  <c r="K17" i="2"/>
  <c r="K18" i="2"/>
  <c r="M18" i="2" s="1"/>
  <c r="K19" i="2"/>
  <c r="K20" i="2"/>
  <c r="M20" i="2" s="1"/>
  <c r="K21" i="2"/>
  <c r="K12" i="2"/>
  <c r="D38" i="2"/>
  <c r="D36" i="2"/>
  <c r="D35" i="2"/>
  <c r="D34" i="2"/>
  <c r="D33" i="2"/>
  <c r="D32" i="2"/>
  <c r="D31" i="2"/>
  <c r="D30" i="2"/>
  <c r="B38" i="2"/>
  <c r="B36" i="2"/>
  <c r="B35" i="2"/>
  <c r="B34" i="2"/>
  <c r="B33" i="2"/>
  <c r="B32" i="2"/>
  <c r="B31" i="2"/>
  <c r="B30" i="2"/>
  <c r="J65" i="1"/>
  <c r="I65" i="1"/>
  <c r="J64" i="1"/>
  <c r="I64" i="1"/>
  <c r="J39" i="1"/>
  <c r="J38" i="1"/>
  <c r="J37" i="1"/>
  <c r="J33" i="1"/>
  <c r="J32" i="1"/>
  <c r="J31" i="1"/>
  <c r="I44" i="1"/>
  <c r="I43" i="1"/>
  <c r="I42" i="1"/>
  <c r="I41" i="1"/>
  <c r="I40" i="1"/>
  <c r="I39" i="1"/>
  <c r="I38" i="1"/>
  <c r="I37" i="1"/>
  <c r="I36" i="1"/>
  <c r="I35" i="1"/>
  <c r="I34" i="1"/>
  <c r="I33" i="1"/>
  <c r="I31" i="1"/>
  <c r="I30" i="1"/>
  <c r="M53" i="2" l="1"/>
  <c r="M66" i="2"/>
  <c r="R12" i="22" s="1"/>
  <c r="M22" i="2"/>
  <c r="M42" i="2"/>
  <c r="M12" i="2"/>
  <c r="M40" i="2"/>
  <c r="N27" i="23"/>
  <c r="H11" i="11" s="1"/>
  <c r="M54" i="2"/>
  <c r="M56" i="2"/>
  <c r="M15" i="2"/>
  <c r="M25" i="2"/>
  <c r="M38" i="2"/>
  <c r="M45" i="2"/>
  <c r="M48" i="2"/>
  <c r="M60" i="2"/>
  <c r="R13" i="22" s="1"/>
  <c r="M21" i="2"/>
  <c r="M23" i="2"/>
  <c r="M41" i="2"/>
  <c r="M43" i="2"/>
  <c r="M13" i="2"/>
  <c r="M33" i="2"/>
  <c r="Q12" i="22" s="1"/>
  <c r="T12" i="22" s="1"/>
  <c r="L53" i="1"/>
  <c r="K53" i="1"/>
  <c r="K61" i="1"/>
  <c r="L54" i="1"/>
  <c r="K54" i="1"/>
  <c r="K62" i="1"/>
  <c r="L56" i="1"/>
  <c r="L57" i="1"/>
  <c r="L55" i="1"/>
  <c r="K55" i="1"/>
  <c r="K63" i="1"/>
  <c r="K56" i="1"/>
  <c r="K49" i="1"/>
  <c r="AH142" i="35" s="1"/>
  <c r="K57" i="1"/>
  <c r="K58" i="1"/>
  <c r="K50" i="1"/>
  <c r="K51" i="1"/>
  <c r="K59" i="1"/>
  <c r="L52" i="1"/>
  <c r="K52" i="1"/>
  <c r="K60" i="1"/>
  <c r="J35" i="28"/>
  <c r="H10" i="11" s="1"/>
  <c r="M35" i="28"/>
  <c r="H23" i="11" s="1"/>
  <c r="M17" i="2"/>
  <c r="M27" i="2"/>
  <c r="M29" i="2"/>
  <c r="M47" i="2"/>
  <c r="M55" i="2"/>
  <c r="M24" i="2"/>
  <c r="M28" i="2"/>
  <c r="M44" i="2"/>
  <c r="M58" i="2"/>
  <c r="M57" i="2"/>
  <c r="M14" i="2"/>
  <c r="M49" i="2"/>
  <c r="M59" i="2"/>
  <c r="M61" i="2"/>
  <c r="M50" i="2"/>
  <c r="M62" i="2"/>
  <c r="M19" i="2"/>
  <c r="M31" i="2"/>
  <c r="M51" i="2"/>
  <c r="M64" i="2"/>
  <c r="Q33" i="22" l="1"/>
  <c r="Q13" i="22"/>
  <c r="T13" i="22" s="1"/>
  <c r="AH43" i="35"/>
  <c r="AH45" i="35"/>
  <c r="AH447" i="35"/>
  <c r="AH126" i="35"/>
  <c r="AH347" i="35"/>
  <c r="AH108" i="35"/>
  <c r="AH122" i="35"/>
  <c r="AH131" i="35"/>
  <c r="AH675" i="35"/>
  <c r="AH473" i="35"/>
  <c r="AH529" i="35"/>
  <c r="AH62" i="35"/>
  <c r="AH681" i="35"/>
  <c r="AH385" i="35"/>
  <c r="AH589" i="35"/>
  <c r="AH391" i="35"/>
  <c r="AH377" i="35"/>
  <c r="AH371" i="35"/>
  <c r="AH137" i="35"/>
  <c r="AH638" i="35"/>
  <c r="AH71" i="35"/>
  <c r="AH395" i="35"/>
  <c r="AH407" i="35"/>
  <c r="AH656" i="35"/>
  <c r="AH671" i="35"/>
  <c r="AH566" i="35"/>
  <c r="AH453" i="35"/>
  <c r="AH171" i="35"/>
  <c r="AH481" i="35"/>
  <c r="AH611" i="35"/>
  <c r="AH230" i="35"/>
  <c r="AH394" i="35"/>
  <c r="AH492" i="35"/>
  <c r="AH640" i="35"/>
  <c r="AH304" i="35"/>
  <c r="AH376" i="35"/>
  <c r="AH660" i="35"/>
  <c r="AH655" i="35"/>
  <c r="AH597" i="35"/>
  <c r="AH556" i="35"/>
  <c r="AH687" i="35"/>
  <c r="AH609" i="35"/>
  <c r="AH145" i="35"/>
  <c r="AH417" i="35"/>
  <c r="AH695" i="35"/>
  <c r="AH664" i="35"/>
  <c r="AH619" i="35"/>
  <c r="AH135" i="35"/>
  <c r="AH33" i="35"/>
  <c r="AH648" i="35"/>
  <c r="AH533" i="35"/>
  <c r="AH81" i="35"/>
  <c r="AH251" i="35"/>
  <c r="AH331" i="35"/>
  <c r="AH489" i="35"/>
  <c r="AH625" i="35"/>
  <c r="AH242" i="35"/>
  <c r="AH422" i="35"/>
  <c r="AH498" i="35"/>
  <c r="AH662" i="35"/>
  <c r="AH312" i="35"/>
  <c r="AH388" i="35"/>
  <c r="AH567" i="35"/>
  <c r="AH205" i="35"/>
  <c r="AH269" i="35"/>
  <c r="AH264" i="35"/>
  <c r="AH350" i="35"/>
  <c r="AH518" i="35"/>
  <c r="AH469" i="35"/>
  <c r="AH635" i="35"/>
  <c r="AH143" i="35"/>
  <c r="AH191" i="35"/>
  <c r="AH239" i="35"/>
  <c r="AH289" i="35"/>
  <c r="AH571" i="35"/>
  <c r="AH578" i="35"/>
  <c r="AH316" i="35"/>
  <c r="AH400" i="35"/>
  <c r="AH472" i="35"/>
  <c r="AH273" i="35"/>
  <c r="AH363" i="35"/>
  <c r="AH659" i="35"/>
  <c r="AH560" i="35"/>
  <c r="AH360" i="35"/>
  <c r="AH550" i="35"/>
  <c r="AH148" i="35"/>
  <c r="AH234" i="35"/>
  <c r="AH358" i="35"/>
  <c r="AH583" i="35"/>
  <c r="AH693" i="35"/>
  <c r="AH672" i="35"/>
  <c r="AH654" i="35"/>
  <c r="AH187" i="35"/>
  <c r="AH120" i="35"/>
  <c r="AH274" i="35"/>
  <c r="AH438" i="35"/>
  <c r="AH512" i="35"/>
  <c r="AH373" i="35"/>
  <c r="AH515" i="35"/>
  <c r="AH433" i="35"/>
  <c r="AH509" i="35"/>
  <c r="AH15" i="35"/>
  <c r="AH85" i="35"/>
  <c r="AH688" i="35"/>
  <c r="AH701" i="35"/>
  <c r="AH69" i="35"/>
  <c r="AH694" i="35"/>
  <c r="AH267" i="35"/>
  <c r="AH19" i="35"/>
  <c r="AH286" i="35"/>
  <c r="AH442" i="35"/>
  <c r="AH524" i="35"/>
  <c r="AH16" i="35"/>
  <c r="AH336" i="35"/>
  <c r="AH412" i="35"/>
  <c r="AH389" i="35"/>
  <c r="AH591" i="35"/>
  <c r="AH109" i="35"/>
  <c r="AH157" i="35"/>
  <c r="AH221" i="35"/>
  <c r="AH285" i="35"/>
  <c r="AH570" i="35"/>
  <c r="AH282" i="35"/>
  <c r="AH491" i="35"/>
  <c r="AH541" i="35"/>
  <c r="AH563" i="35"/>
  <c r="AH113" i="35"/>
  <c r="AH95" i="35"/>
  <c r="AH89" i="35"/>
  <c r="AH51" i="35"/>
  <c r="AH696" i="35"/>
  <c r="AH573" i="35"/>
  <c r="AH56" i="35"/>
  <c r="AH203" i="35"/>
  <c r="AH411" i="35"/>
  <c r="AH294" i="35"/>
  <c r="AH464" i="35"/>
  <c r="AH544" i="35"/>
  <c r="AH340" i="35"/>
  <c r="AH432" i="35"/>
  <c r="AH443" i="35"/>
  <c r="AH603" i="35"/>
  <c r="AH459" i="35"/>
  <c r="AH77" i="35"/>
  <c r="AH602" i="35"/>
  <c r="AH296" i="35"/>
  <c r="AH410" i="35"/>
  <c r="AH646" i="35"/>
  <c r="AH627" i="35"/>
  <c r="AH161" i="35"/>
  <c r="AH207" i="35"/>
  <c r="AH255" i="35"/>
  <c r="AH303" i="35"/>
  <c r="AH250" i="35"/>
  <c r="AH356" i="35"/>
  <c r="AH428" i="35"/>
  <c r="AH506" i="35"/>
  <c r="AH366" i="35"/>
  <c r="AH530" i="35"/>
  <c r="AH209" i="35"/>
  <c r="AH511" i="35"/>
  <c r="AH232" i="35"/>
  <c r="AH436" i="35"/>
  <c r="AH74" i="35"/>
  <c r="AH176" i="35"/>
  <c r="AH298" i="35"/>
  <c r="AH402" i="35"/>
  <c r="AH490" i="35"/>
  <c r="AH606" i="35"/>
  <c r="AH485" i="35"/>
  <c r="AH535" i="35"/>
  <c r="AH421" i="35"/>
  <c r="AH128" i="35"/>
  <c r="AH93" i="35"/>
  <c r="AH357" i="35"/>
  <c r="AH437" i="35"/>
  <c r="AH478" i="35"/>
  <c r="AH644" i="35"/>
  <c r="AH475" i="35"/>
  <c r="AH237" i="35"/>
  <c r="AH270" i="35"/>
  <c r="AH462" i="35"/>
  <c r="AH94" i="35"/>
  <c r="AH621" i="35"/>
  <c r="AH397" i="35"/>
  <c r="AH115" i="35"/>
  <c r="AH47" i="35"/>
  <c r="AH505" i="35"/>
  <c r="AH226" i="35"/>
  <c r="AH372" i="35"/>
  <c r="AH466" i="35"/>
  <c r="AH302" i="35"/>
  <c r="AH562" i="35"/>
  <c r="AH457" i="35"/>
  <c r="AH320" i="35"/>
  <c r="AH598" i="35"/>
  <c r="AH190" i="35"/>
  <c r="AH338" i="35"/>
  <c r="AH468" i="35"/>
  <c r="AH588" i="35"/>
  <c r="AH479" i="35"/>
  <c r="AH317" i="35"/>
  <c r="AH461" i="35"/>
  <c r="AH105" i="35"/>
  <c r="AH494" i="35"/>
  <c r="AH188" i="35"/>
  <c r="AH314" i="35"/>
  <c r="AH452" i="35"/>
  <c r="AH58" i="35"/>
  <c r="AH673" i="35"/>
  <c r="AH542" i="35"/>
  <c r="AH165" i="35"/>
  <c r="AH229" i="35"/>
  <c r="AH590" i="35"/>
  <c r="AH423" i="35"/>
  <c r="AH97" i="35"/>
  <c r="AH361" i="35"/>
  <c r="AH445" i="35"/>
  <c r="AH484" i="35"/>
  <c r="AH324" i="35"/>
  <c r="AH326" i="35"/>
  <c r="AH470" i="35"/>
  <c r="AH403" i="35"/>
  <c r="AH106" i="35"/>
  <c r="AH193" i="35"/>
  <c r="AH319" i="35"/>
  <c r="AH35" i="35"/>
  <c r="AH260" i="35"/>
  <c r="AH380" i="35"/>
  <c r="AH482" i="35"/>
  <c r="AH34" i="35"/>
  <c r="AH626" i="35"/>
  <c r="AH499" i="35"/>
  <c r="AH87" i="35"/>
  <c r="AH328" i="35"/>
  <c r="AH616" i="35"/>
  <c r="AH192" i="35"/>
  <c r="AH354" i="35"/>
  <c r="AH474" i="35"/>
  <c r="AH600" i="35"/>
  <c r="AH497" i="35"/>
  <c r="AH339" i="35"/>
  <c r="AH553" i="35"/>
  <c r="AH59" i="35"/>
  <c r="AH163" i="35"/>
  <c r="AH227" i="35"/>
  <c r="AH291" i="35"/>
  <c r="AH467" i="35"/>
  <c r="AH36" i="35"/>
  <c r="AH206" i="35"/>
  <c r="AH318" i="35"/>
  <c r="AH454" i="35"/>
  <c r="AH427" i="35"/>
  <c r="AH23" i="35"/>
  <c r="AH548" i="35"/>
  <c r="AH293" i="35"/>
  <c r="AH534" i="35"/>
  <c r="AH585" i="35"/>
  <c r="AH116" i="35"/>
  <c r="AH576" i="35"/>
  <c r="AH348" i="35"/>
  <c r="AH253" i="35"/>
  <c r="AH334" i="35"/>
  <c r="AH486" i="35"/>
  <c r="AH463" i="35"/>
  <c r="AH271" i="35"/>
  <c r="AH321" i="35"/>
  <c r="AH266" i="35"/>
  <c r="AH396" i="35"/>
  <c r="AH496" i="35"/>
  <c r="AH40" i="35"/>
  <c r="AH642" i="35"/>
  <c r="AH519" i="35"/>
  <c r="AH392" i="35"/>
  <c r="AH204" i="35"/>
  <c r="AH362" i="35"/>
  <c r="AH480" i="35"/>
  <c r="AH692" i="35"/>
  <c r="AH133" i="35"/>
  <c r="AH119" i="35"/>
  <c r="AH630" i="35"/>
  <c r="AH633" i="35"/>
  <c r="AH39" i="35"/>
  <c r="AH235" i="35"/>
  <c r="AH595" i="35"/>
  <c r="AH218" i="35"/>
  <c r="AH612" i="35"/>
  <c r="AH352" i="35"/>
  <c r="AH579" i="35"/>
  <c r="AH465" i="35"/>
  <c r="AH283" i="35"/>
  <c r="AH607" i="35"/>
  <c r="AH330" i="35"/>
  <c r="AH624" i="35"/>
  <c r="AH364" i="35"/>
  <c r="AH641" i="35"/>
  <c r="AH631" i="35"/>
  <c r="AH634" i="35"/>
  <c r="AH346" i="35"/>
  <c r="AH564" i="35"/>
  <c r="AH67" i="35"/>
  <c r="AH369" i="35"/>
  <c r="AH623" i="35"/>
  <c r="AH159" i="35"/>
  <c r="AH223" i="35"/>
  <c r="AH287" i="35"/>
  <c r="AH359" i="35"/>
  <c r="AH308" i="35"/>
  <c r="AH416" i="35"/>
  <c r="AH532" i="35"/>
  <c r="AH647" i="35"/>
  <c r="AH604" i="35"/>
  <c r="AH448" i="35"/>
  <c r="AH48" i="35"/>
  <c r="AH246" i="35"/>
  <c r="AH414" i="35"/>
  <c r="AH504" i="35"/>
  <c r="AH132" i="35"/>
  <c r="AH543" i="35"/>
  <c r="AH413" i="35"/>
  <c r="AH645" i="35"/>
  <c r="AH614" i="35"/>
  <c r="AH156" i="35"/>
  <c r="AH222" i="35"/>
  <c r="AH390" i="35"/>
  <c r="AH582" i="35"/>
  <c r="AH439" i="35"/>
  <c r="AH628" i="35"/>
  <c r="AH197" i="35"/>
  <c r="AH261" i="35"/>
  <c r="AH325" i="35"/>
  <c r="AH82" i="35"/>
  <c r="AH586" i="35"/>
  <c r="AH632" i="35"/>
  <c r="AH199" i="35"/>
  <c r="AH297" i="35"/>
  <c r="AH341" i="35"/>
  <c r="AH596" i="35"/>
  <c r="AH523" i="35"/>
  <c r="AH121" i="35"/>
  <c r="AH617" i="35"/>
  <c r="AH690" i="35"/>
  <c r="AH537" i="35"/>
  <c r="AH545" i="35"/>
  <c r="AH370" i="35"/>
  <c r="AH676" i="35"/>
  <c r="AH408" i="35"/>
  <c r="AH189" i="35"/>
  <c r="AH658" i="35"/>
  <c r="AH382" i="35"/>
  <c r="AH668" i="35"/>
  <c r="AH225" i="35"/>
  <c r="AH127" i="35"/>
  <c r="AH332" i="35"/>
  <c r="AH440" i="35"/>
  <c r="AH574" i="35"/>
  <c r="AH337" i="35"/>
  <c r="AH653" i="35"/>
  <c r="AH32" i="35"/>
  <c r="AH488" i="35"/>
  <c r="AH146" i="35"/>
  <c r="AH268" i="35"/>
  <c r="AH426" i="35"/>
  <c r="AH508" i="35"/>
  <c r="AH549" i="35"/>
  <c r="AH471" i="35"/>
  <c r="AH651" i="35"/>
  <c r="AH554" i="35"/>
  <c r="AH195" i="35"/>
  <c r="AH259" i="35"/>
  <c r="AH323" i="35"/>
  <c r="AH684" i="35"/>
  <c r="AH164" i="35"/>
  <c r="AH256" i="35"/>
  <c r="AH398" i="35"/>
  <c r="AH678" i="35"/>
  <c r="AH42" i="35"/>
  <c r="AH409" i="35"/>
  <c r="AH667" i="35"/>
  <c r="AH657" i="35"/>
  <c r="AH378" i="35"/>
  <c r="AH444" i="35"/>
  <c r="AH383" i="35"/>
  <c r="AH37" i="35"/>
  <c r="AH629" i="35"/>
  <c r="AH666" i="35"/>
  <c r="AH406" i="35"/>
  <c r="AH384" i="35"/>
  <c r="AH129" i="35"/>
  <c r="AH175" i="35"/>
  <c r="AH299" i="35"/>
  <c r="AH538" i="35"/>
  <c r="AH344" i="35"/>
  <c r="AH458" i="35"/>
  <c r="AH652" i="35"/>
  <c r="AH112" i="35"/>
  <c r="AH254" i="35"/>
  <c r="AH520" i="35"/>
  <c r="AH158" i="35"/>
  <c r="AH306" i="35"/>
  <c r="AH434" i="35"/>
  <c r="AH536" i="35"/>
  <c r="AH637" i="35"/>
  <c r="AH125" i="35"/>
  <c r="AH477" i="35"/>
  <c r="AH665" i="35"/>
  <c r="AH610" i="35"/>
  <c r="AH49" i="35"/>
  <c r="AH64" i="35"/>
  <c r="AH172" i="35"/>
  <c r="AH262" i="35"/>
  <c r="AH418" i="35"/>
  <c r="AH686" i="35"/>
  <c r="AH149" i="35"/>
  <c r="AH213" i="35"/>
  <c r="AH277" i="35"/>
  <c r="AH343" i="35"/>
  <c r="AH57" i="35"/>
  <c r="AH88" i="35"/>
  <c r="AH680" i="35"/>
  <c r="AH21" i="35"/>
  <c r="AH353" i="35"/>
  <c r="AH27" i="35"/>
  <c r="AH153" i="35"/>
  <c r="AH263" i="35"/>
  <c r="AH311" i="35"/>
  <c r="AH24" i="35"/>
  <c r="AH581" i="35"/>
  <c r="AH118" i="35"/>
  <c r="AH375" i="35"/>
  <c r="AH92" i="35"/>
  <c r="AH685" i="35"/>
  <c r="AH155" i="35"/>
  <c r="AH415" i="35"/>
  <c r="AH476" i="35"/>
  <c r="AH636" i="35"/>
  <c r="AH455" i="35"/>
  <c r="AH333" i="35"/>
  <c r="AH258" i="35"/>
  <c r="AH456" i="35"/>
  <c r="AH420" i="35"/>
  <c r="AH615" i="35"/>
  <c r="AH138" i="35"/>
  <c r="AH41" i="35"/>
  <c r="AH177" i="35"/>
  <c r="AH241" i="35"/>
  <c r="AH305" i="35"/>
  <c r="AH674" i="35"/>
  <c r="AH368" i="35"/>
  <c r="AH460" i="35"/>
  <c r="AH522" i="35"/>
  <c r="AH290" i="35"/>
  <c r="AH526" i="35"/>
  <c r="AH160" i="35"/>
  <c r="AH310" i="35"/>
  <c r="AH450" i="35"/>
  <c r="AH568" i="35"/>
  <c r="AH643" i="35"/>
  <c r="AH691" i="35"/>
  <c r="AH483" i="35"/>
  <c r="AH147" i="35"/>
  <c r="AH211" i="35"/>
  <c r="AH275" i="35"/>
  <c r="AH367" i="35"/>
  <c r="AH101" i="35"/>
  <c r="AH238" i="35"/>
  <c r="AH178" i="35"/>
  <c r="AH278" i="35"/>
  <c r="AH446" i="35"/>
  <c r="AH18" i="35"/>
  <c r="AH528" i="35"/>
  <c r="AH13" i="35"/>
  <c r="AH300" i="35"/>
  <c r="AH525" i="35"/>
  <c r="AH307" i="35"/>
  <c r="AH214" i="35"/>
  <c r="AH565" i="35"/>
  <c r="AH245" i="35"/>
  <c r="AH53" i="35"/>
  <c r="AH622" i="35"/>
  <c r="AH107" i="35"/>
  <c r="AH265" i="35"/>
  <c r="AH327" i="35"/>
  <c r="AH540" i="35"/>
  <c r="AH517" i="35"/>
  <c r="AH167" i="35"/>
  <c r="AH594" i="35"/>
  <c r="AH342" i="35"/>
  <c r="AH365" i="35"/>
  <c r="AH404" i="35"/>
  <c r="AH123" i="35"/>
  <c r="AH65" i="35"/>
  <c r="AH322" i="35"/>
  <c r="AH569" i="35"/>
  <c r="AH201" i="35"/>
  <c r="AH329" i="35"/>
  <c r="AH677" i="35"/>
  <c r="AH661" i="35"/>
  <c r="AH572" i="35"/>
  <c r="AH61" i="35"/>
  <c r="AH618" i="35"/>
  <c r="AH558" i="35"/>
  <c r="AH514" i="35"/>
  <c r="AH424" i="35"/>
  <c r="AH386" i="35"/>
  <c r="AH91" i="35"/>
  <c r="AH584" i="35"/>
  <c r="AH215" i="35"/>
  <c r="AH279" i="35"/>
  <c r="AH683" i="35"/>
  <c r="AH29" i="35"/>
  <c r="AH592" i="35"/>
  <c r="AH599" i="35"/>
  <c r="AH183" i="35"/>
  <c r="AH393" i="35"/>
  <c r="AH682" i="35"/>
  <c r="AH430" i="35"/>
  <c r="AH527" i="35"/>
  <c r="AH552" i="35"/>
  <c r="AH500" i="35"/>
  <c r="AH580" i="35"/>
  <c r="AH76" i="35"/>
  <c r="AH507" i="35"/>
  <c r="AH100" i="35"/>
  <c r="AH217" i="35"/>
  <c r="AH281" i="35"/>
  <c r="AH697" i="35"/>
  <c r="AH670" i="35"/>
  <c r="AH613" i="35"/>
  <c r="AH111" i="35"/>
  <c r="AH441" i="35"/>
  <c r="AH698" i="35"/>
  <c r="AH70" i="35"/>
  <c r="AH208" i="35"/>
  <c r="AH179" i="35"/>
  <c r="AH608" i="35"/>
  <c r="AH516" i="35"/>
  <c r="AH620" i="35"/>
  <c r="AH96" i="35"/>
  <c r="AH593" i="35"/>
  <c r="AH295" i="35"/>
  <c r="AH539" i="35"/>
  <c r="AH503" i="35"/>
  <c r="AH63" i="35"/>
  <c r="AH117" i="35"/>
  <c r="AH98" i="35"/>
  <c r="AH130" i="35"/>
  <c r="AH173" i="35"/>
  <c r="AH374" i="35"/>
  <c r="AH55" i="35"/>
  <c r="AH431" i="35"/>
  <c r="AH181" i="35"/>
  <c r="AH78" i="35"/>
  <c r="AH90" i="35"/>
  <c r="AH139" i="35"/>
  <c r="AH679" i="35"/>
  <c r="AH169" i="35"/>
  <c r="AH231" i="35"/>
  <c r="AH104" i="35"/>
  <c r="AH557" i="35"/>
  <c r="AH103" i="35"/>
  <c r="AH547" i="35"/>
  <c r="AH650" i="35"/>
  <c r="AH355" i="35"/>
  <c r="AH502" i="35"/>
  <c r="AH379" i="35"/>
  <c r="AH243" i="35"/>
  <c r="AH72" i="35"/>
  <c r="AH435" i="35"/>
  <c r="AH429" i="35"/>
  <c r="AH546" i="35"/>
  <c r="AH233" i="35"/>
  <c r="AH313" i="35"/>
  <c r="AH102" i="35"/>
  <c r="AH501" i="35"/>
  <c r="AH151" i="35"/>
  <c r="AH561" i="35"/>
  <c r="AH577" i="35"/>
  <c r="AH25" i="35"/>
  <c r="AH83" i="35"/>
  <c r="AH700" i="35"/>
  <c r="AH210" i="35"/>
  <c r="AH559" i="35"/>
  <c r="AH551" i="35"/>
  <c r="AH349" i="35"/>
  <c r="AH185" i="35"/>
  <c r="AH510" i="35"/>
  <c r="AH513" i="35"/>
  <c r="AH114" i="35"/>
  <c r="AH216" i="35"/>
  <c r="AH212" i="35"/>
  <c r="AH198" i="35"/>
  <c r="AH401" i="35"/>
  <c r="AH555" i="35"/>
  <c r="AH335" i="35"/>
  <c r="AH521" i="35"/>
  <c r="AH168" i="35"/>
  <c r="AH276" i="35"/>
  <c r="AH639" i="35"/>
  <c r="AH20" i="35"/>
  <c r="AH220" i="35"/>
  <c r="AH68" i="35"/>
  <c r="AH17" i="35"/>
  <c r="AH31" i="35"/>
  <c r="AH451" i="35"/>
  <c r="AH152" i="35"/>
  <c r="AH419" i="35"/>
  <c r="AH649" i="35"/>
  <c r="AH575" i="35"/>
  <c r="AH425" i="35"/>
  <c r="AH86" i="35"/>
  <c r="AH52" i="35"/>
  <c r="AH26" i="35"/>
  <c r="AH399" i="35"/>
  <c r="AH248" i="35"/>
  <c r="AH351" i="35"/>
  <c r="AH224" i="35"/>
  <c r="AH345" i="35"/>
  <c r="AH315" i="35"/>
  <c r="AH22" i="35"/>
  <c r="AH301" i="35"/>
  <c r="AH186" i="35"/>
  <c r="AH196" i="35"/>
  <c r="AH284" i="35"/>
  <c r="AH280" i="35"/>
  <c r="AH493" i="35"/>
  <c r="AH449" i="35"/>
  <c r="AH144" i="35"/>
  <c r="AH309" i="35"/>
  <c r="AH50" i="35"/>
  <c r="AH134" i="35"/>
  <c r="AH252" i="35"/>
  <c r="AH236" i="35"/>
  <c r="AH531" i="35"/>
  <c r="AH124" i="35"/>
  <c r="AH495" i="35"/>
  <c r="AH194" i="35"/>
  <c r="AH79" i="35"/>
  <c r="AH66" i="35"/>
  <c r="AH405" i="35"/>
  <c r="AH669" i="35"/>
  <c r="AH170" i="35"/>
  <c r="AH73" i="35"/>
  <c r="AH228" i="35"/>
  <c r="AH601" i="35"/>
  <c r="AH136" i="35"/>
  <c r="AH162" i="35"/>
  <c r="AH46" i="35"/>
  <c r="AH202" i="35"/>
  <c r="AH381" i="35"/>
  <c r="AH689" i="35"/>
  <c r="AH75" i="35"/>
  <c r="AH240" i="35"/>
  <c r="AH180" i="35"/>
  <c r="AH154" i="35"/>
  <c r="AH257" i="35"/>
  <c r="AH219" i="35"/>
  <c r="AH699" i="35"/>
  <c r="AH288" i="35"/>
  <c r="AH182" i="35"/>
  <c r="AH150" i="35"/>
  <c r="AH166" i="35"/>
  <c r="AH663" i="35"/>
  <c r="AH244" i="35"/>
  <c r="AH200" i="35"/>
  <c r="AH247" i="35"/>
  <c r="AH487" i="35"/>
  <c r="AH99" i="35"/>
  <c r="AH38" i="35"/>
  <c r="AH272" i="35"/>
  <c r="AH605" i="35"/>
  <c r="AH184" i="35"/>
  <c r="AH84" i="35"/>
  <c r="AH80" i="35"/>
  <c r="AH587" i="35"/>
  <c r="AH249" i="35"/>
  <c r="AH28" i="35"/>
  <c r="AH110" i="35"/>
  <c r="AH292" i="35"/>
  <c r="AH387" i="35"/>
  <c r="AH54" i="35"/>
  <c r="AH174" i="35"/>
  <c r="AH60" i="35"/>
  <c r="AH14" i="35"/>
  <c r="AH30" i="35"/>
  <c r="AI280" i="35"/>
  <c r="AI423" i="35"/>
  <c r="AI513" i="35"/>
  <c r="AI673" i="35"/>
  <c r="AI194" i="35"/>
  <c r="AI685" i="35"/>
  <c r="AI375" i="35"/>
  <c r="AI295" i="35"/>
  <c r="AI236" i="35"/>
  <c r="AI284" i="35"/>
  <c r="AI595" i="35"/>
  <c r="AI174" i="35"/>
  <c r="AI343" i="35"/>
  <c r="AI489" i="35"/>
  <c r="AI525" i="35"/>
  <c r="AI627" i="35"/>
  <c r="AI144" i="35"/>
  <c r="AI551" i="35"/>
  <c r="AI517" i="35"/>
  <c r="AI537" i="35"/>
  <c r="AI405" i="35"/>
  <c r="AI349" i="35"/>
  <c r="AI387" i="35"/>
  <c r="AI425" i="35"/>
  <c r="AI657" i="35"/>
  <c r="AI577" i="35"/>
  <c r="AI683" i="35"/>
  <c r="AI273" i="35"/>
  <c r="AI603" i="35"/>
  <c r="AI292" i="35"/>
  <c r="AI643" i="35"/>
  <c r="AI168" i="35"/>
  <c r="AI487" i="35"/>
  <c r="AI483" i="35"/>
  <c r="AI647" i="35"/>
  <c r="AI639" i="35"/>
  <c r="AI679" i="35"/>
  <c r="AI249" i="35"/>
  <c r="AI411" i="35"/>
  <c r="AI697" i="35"/>
  <c r="AI661" i="35"/>
  <c r="AI433" i="35"/>
  <c r="AI569" i="35"/>
  <c r="AI591" i="35"/>
  <c r="AI401" i="35"/>
  <c r="AI289" i="35"/>
  <c r="AI573" i="35"/>
  <c r="AI361" i="35"/>
  <c r="AI186" i="35"/>
  <c r="AI493" i="35"/>
  <c r="AI575" i="35"/>
  <c r="AI581" i="35"/>
  <c r="AI150" i="35"/>
  <c r="AI579" i="35"/>
  <c r="AI587" i="35"/>
  <c r="AI619" i="35"/>
  <c r="AI213" i="35"/>
  <c r="AI613" i="35"/>
  <c r="AI471" i="35"/>
  <c r="AI212" i="35"/>
  <c r="AI202" i="35"/>
  <c r="AI219" i="35"/>
  <c r="AI331" i="35"/>
  <c r="AI555" i="35"/>
  <c r="AI453" i="35"/>
  <c r="AI601" i="35"/>
  <c r="AI224" i="35"/>
  <c r="AI243" i="35"/>
  <c r="AI305" i="35"/>
  <c r="AI651" i="35"/>
  <c r="AI461" i="35"/>
  <c r="AI609" i="35"/>
  <c r="AI475" i="35"/>
  <c r="AI231" i="35"/>
  <c r="AI527" i="35"/>
  <c r="AI649" i="35"/>
  <c r="AI431" i="35"/>
  <c r="AI559" i="35"/>
  <c r="AI599" i="35"/>
  <c r="AI491" i="35"/>
  <c r="AI240" i="35"/>
  <c r="AI669" i="35"/>
  <c r="AI645" i="35"/>
  <c r="AI553" i="35"/>
  <c r="AI220" i="35"/>
  <c r="AI281" i="35"/>
  <c r="AI507" i="35"/>
  <c r="AI631" i="35"/>
  <c r="AI571" i="35"/>
  <c r="AI693" i="35"/>
  <c r="AI247" i="35"/>
  <c r="AI449" i="35"/>
  <c r="AI509" i="35"/>
  <c r="AI287" i="35"/>
  <c r="AI605" i="35"/>
  <c r="AI152" i="35"/>
  <c r="AI541" i="35"/>
  <c r="AI257" i="35"/>
  <c r="AI539" i="35"/>
  <c r="AI283" i="35"/>
  <c r="AI351" i="35"/>
  <c r="AI593" i="35"/>
  <c r="AI393" i="35"/>
  <c r="AI321" i="35"/>
  <c r="AI653" i="35"/>
  <c r="AI313" i="35"/>
  <c r="AI389" i="35"/>
  <c r="AI409" i="35"/>
  <c r="AI437" i="35"/>
  <c r="AI245" i="35"/>
  <c r="AI228" i="35"/>
  <c r="AI307" i="35"/>
  <c r="AI276" i="35"/>
  <c r="AI531" i="35"/>
  <c r="AI413" i="35"/>
  <c r="AI170" i="35"/>
  <c r="AI445" i="35"/>
  <c r="AI503" i="35"/>
  <c r="AI162" i="35"/>
  <c r="AI166" i="35"/>
  <c r="AI457" i="35"/>
  <c r="AI621" i="35"/>
  <c r="AI689" i="35"/>
  <c r="AI543" i="35"/>
  <c r="AI435" i="35"/>
  <c r="AI154" i="35"/>
  <c r="AI421" i="35"/>
  <c r="AI271" i="35"/>
  <c r="AI301" i="35"/>
  <c r="AI505" i="35"/>
  <c r="AI701" i="35"/>
  <c r="AI333" i="35"/>
  <c r="AI357" i="35"/>
  <c r="AI272" i="35"/>
  <c r="AI196" i="35"/>
  <c r="AI403" i="35"/>
  <c r="AI265" i="35"/>
  <c r="AI561" i="35"/>
  <c r="AI288" i="35"/>
  <c r="AI261" i="35"/>
  <c r="AI499" i="35"/>
  <c r="AI469" i="35"/>
  <c r="AI369" i="35"/>
  <c r="AI521" i="35"/>
  <c r="AI180" i="35"/>
  <c r="AI263" i="35"/>
  <c r="AI277" i="35"/>
  <c r="AI675" i="35"/>
  <c r="AI585" i="35"/>
  <c r="AI511" i="35"/>
  <c r="AI623" i="35"/>
  <c r="AI459" i="35"/>
  <c r="AI339" i="35"/>
  <c r="AI497" i="35"/>
  <c r="AI15" i="35"/>
  <c r="AI655" i="35"/>
  <c r="AI293" i="35"/>
  <c r="AI637" i="35"/>
  <c r="AI373" i="35"/>
  <c r="AI142" i="35"/>
  <c r="AI248" i="35"/>
  <c r="AI467" i="35"/>
  <c r="AI198" i="35"/>
  <c r="AI519" i="35"/>
  <c r="AI635" i="35"/>
  <c r="AI85" i="35"/>
  <c r="AI633" i="35"/>
  <c r="AI565" i="35"/>
  <c r="AI98" i="35"/>
  <c r="AI132" i="35"/>
  <c r="AI116" i="35"/>
  <c r="AI659" i="35"/>
  <c r="AI641" i="35"/>
  <c r="AI479" i="35"/>
  <c r="AI79" i="35"/>
  <c r="AI111" i="35"/>
  <c r="AI99" i="35"/>
  <c r="AI53" i="35"/>
  <c r="AI78" i="35"/>
  <c r="AI39" i="35"/>
  <c r="AI92" i="35"/>
  <c r="AI63" i="35"/>
  <c r="AI105" i="35"/>
  <c r="AI121" i="35"/>
  <c r="AI75" i="35"/>
  <c r="AI37" i="35"/>
  <c r="AI24" i="35"/>
  <c r="AI123" i="35"/>
  <c r="AI61" i="35"/>
  <c r="AI82" i="35"/>
  <c r="AI90" i="35"/>
  <c r="AI138" i="35"/>
  <c r="AI43" i="35"/>
  <c r="AI88" i="35"/>
  <c r="AI23" i="35"/>
  <c r="AI439" i="35"/>
  <c r="AI65" i="35"/>
  <c r="AI109" i="35"/>
  <c r="AI131" i="35"/>
  <c r="AI137" i="35"/>
  <c r="AI57" i="35"/>
  <c r="AI125" i="35"/>
  <c r="AI108" i="35"/>
  <c r="AI135" i="35"/>
  <c r="AI107" i="35"/>
  <c r="AI32" i="35"/>
  <c r="AI101" i="35"/>
  <c r="AI129" i="35"/>
  <c r="AI72" i="35"/>
  <c r="AI17" i="35"/>
  <c r="AI74" i="35"/>
  <c r="AI35" i="35"/>
  <c r="AI112" i="35"/>
  <c r="AI524" i="35"/>
  <c r="AI302" i="35"/>
  <c r="AI473" i="35"/>
  <c r="AI327" i="35"/>
  <c r="AI434" i="35"/>
  <c r="AI470" i="35"/>
  <c r="AI183" i="35"/>
  <c r="AI187" i="35"/>
  <c r="AI665" i="35"/>
  <c r="AI695" i="35"/>
  <c r="AI259" i="35"/>
  <c r="AI495" i="35"/>
  <c r="AI318" i="35"/>
  <c r="AI671" i="35"/>
  <c r="AI303" i="35"/>
  <c r="AI86" i="35"/>
  <c r="AI530" i="35"/>
  <c r="AI415" i="35"/>
  <c r="AI155" i="35"/>
  <c r="AI526" i="35"/>
  <c r="AI374" i="35"/>
  <c r="AI427" i="35"/>
  <c r="AI77" i="35"/>
  <c r="AI242" i="35"/>
  <c r="AI557" i="35"/>
  <c r="AI115" i="35"/>
  <c r="AI540" i="35"/>
  <c r="AI346" i="35"/>
  <c r="AI522" i="35"/>
  <c r="AI360" i="35"/>
  <c r="AI285" i="35"/>
  <c r="AI315" i="35"/>
  <c r="AI226" i="35"/>
  <c r="AI385" i="35"/>
  <c r="AI391" i="35"/>
  <c r="AI252" i="35"/>
  <c r="AI128" i="35"/>
  <c r="AI696" i="35"/>
  <c r="AI646" i="35"/>
  <c r="AI500" i="35"/>
  <c r="AI216" i="35"/>
  <c r="AI622" i="35"/>
  <c r="AI616" i="35"/>
  <c r="AI506" i="35"/>
  <c r="AI610" i="35"/>
  <c r="AI193" i="35"/>
  <c r="AI533" i="35"/>
  <c r="AI291" i="35"/>
  <c r="AI309" i="35"/>
  <c r="AI338" i="35"/>
  <c r="AI520" i="35"/>
  <c r="AI256" i="35"/>
  <c r="AI323" i="35"/>
  <c r="AI27" i="35"/>
  <c r="AI250" i="35"/>
  <c r="AI589" i="35"/>
  <c r="AI19" i="35"/>
  <c r="AI691" i="35"/>
  <c r="AI100" i="35"/>
  <c r="AI233" i="35"/>
  <c r="AI546" i="35"/>
  <c r="AI523" i="35"/>
  <c r="AI49" i="35"/>
  <c r="AI164" i="35"/>
  <c r="AI353" i="35"/>
  <c r="AI262" i="35"/>
  <c r="AI192" i="35"/>
  <c r="AI290" i="35"/>
  <c r="AI516" i="35"/>
  <c r="AI451" i="35"/>
  <c r="AI179" i="35"/>
  <c r="AI468" i="35"/>
  <c r="AI217" i="35"/>
  <c r="AI325" i="35"/>
  <c r="AI397" i="35"/>
  <c r="AI456" i="35"/>
  <c r="AI438" i="35"/>
  <c r="AI332" i="35"/>
  <c r="AI286" i="35"/>
  <c r="AI348" i="35"/>
  <c r="AI201" i="35"/>
  <c r="AI215" i="35"/>
  <c r="AI371" i="35"/>
  <c r="AI544" i="35"/>
  <c r="AI139" i="35"/>
  <c r="AI485" i="35"/>
  <c r="AI699" i="35"/>
  <c r="AI558" i="35"/>
  <c r="AI626" i="35"/>
  <c r="AI582" i="35"/>
  <c r="AI566" i="35"/>
  <c r="AI392" i="35"/>
  <c r="AI188" i="35"/>
  <c r="AI636" i="35"/>
  <c r="AI618" i="35"/>
  <c r="AI366" i="35"/>
  <c r="AI268" i="35"/>
  <c r="AI465" i="35"/>
  <c r="AI227" i="35"/>
  <c r="AI239" i="35"/>
  <c r="AI350" i="35"/>
  <c r="AI342" i="35"/>
  <c r="AI195" i="35"/>
  <c r="AI298" i="35"/>
  <c r="AI235" i="35"/>
  <c r="AI436" i="35"/>
  <c r="AI356" i="35"/>
  <c r="AI253" i="35"/>
  <c r="AI246" i="35"/>
  <c r="AI362" i="35"/>
  <c r="AI237" i="35"/>
  <c r="AI223" i="35"/>
  <c r="AI358" i="35"/>
  <c r="AI221" i="35"/>
  <c r="AI197" i="35"/>
  <c r="AI583" i="35"/>
  <c r="AI306" i="35"/>
  <c r="AI260" i="35"/>
  <c r="AI447" i="35"/>
  <c r="AI462" i="35"/>
  <c r="AI175" i="35"/>
  <c r="AI269" i="35"/>
  <c r="AI328" i="35"/>
  <c r="AI384" i="35"/>
  <c r="AI518" i="35"/>
  <c r="AI158" i="35"/>
  <c r="AI359" i="35"/>
  <c r="AI91" i="35"/>
  <c r="AI354" i="35"/>
  <c r="AI304" i="35"/>
  <c r="AI547" i="35"/>
  <c r="AI615" i="35"/>
  <c r="AI133" i="35"/>
  <c r="AI56" i="35"/>
  <c r="AI614" i="35"/>
  <c r="AI190" i="35"/>
  <c r="AI638" i="35"/>
  <c r="AI556" i="35"/>
  <c r="AI572" i="35"/>
  <c r="AI171" i="35"/>
  <c r="AI367" i="35"/>
  <c r="AI324" i="35"/>
  <c r="AI264" i="35"/>
  <c r="AI443" i="35"/>
  <c r="AI70" i="35"/>
  <c r="AI176" i="35"/>
  <c r="AI395" i="35"/>
  <c r="AI528" i="35"/>
  <c r="AI365" i="35"/>
  <c r="AI472" i="35"/>
  <c r="AI238" i="35"/>
  <c r="AI379" i="35"/>
  <c r="AI607" i="35"/>
  <c r="AI300" i="35"/>
  <c r="AI230" i="35"/>
  <c r="AI153" i="35"/>
  <c r="AI432" i="35"/>
  <c r="AI71" i="35"/>
  <c r="AI209" i="35"/>
  <c r="AI255" i="35"/>
  <c r="AI94" i="35"/>
  <c r="AI122" i="35"/>
  <c r="AI182" i="35"/>
  <c r="AI206" i="35"/>
  <c r="AI508" i="35"/>
  <c r="AI602" i="35"/>
  <c r="AI588" i="35"/>
  <c r="AI442" i="35"/>
  <c r="AI329" i="35"/>
  <c r="AI157" i="35"/>
  <c r="AI372" i="35"/>
  <c r="AI311" i="35"/>
  <c r="AI417" i="35"/>
  <c r="AI114" i="35"/>
  <c r="AI76" i="35"/>
  <c r="AI545" i="35"/>
  <c r="AI340" i="35"/>
  <c r="AI232" i="35"/>
  <c r="AI225" i="35"/>
  <c r="AI117" i="35"/>
  <c r="AI191" i="35"/>
  <c r="AI611" i="35"/>
  <c r="AI320" i="35"/>
  <c r="AI368" i="35"/>
  <c r="AI62" i="35"/>
  <c r="AI189" i="35"/>
  <c r="AI515" i="35"/>
  <c r="AI151" i="35"/>
  <c r="AI146" i="35"/>
  <c r="AI81" i="35"/>
  <c r="AI169" i="35"/>
  <c r="AI629" i="35"/>
  <c r="AI241" i="35"/>
  <c r="AI244" i="35"/>
  <c r="AI686" i="35"/>
  <c r="AI482" i="35"/>
  <c r="AI512" i="35"/>
  <c r="AI562" i="35"/>
  <c r="AI474" i="35"/>
  <c r="AI662" i="35"/>
  <c r="AI608" i="35"/>
  <c r="AI624" i="35"/>
  <c r="AI554" i="35"/>
  <c r="AI41" i="35"/>
  <c r="AI87" i="35"/>
  <c r="AI83" i="35"/>
  <c r="AI21" i="35"/>
  <c r="AI31" i="35"/>
  <c r="AI36" i="35"/>
  <c r="AI95" i="35"/>
  <c r="AI33" i="35"/>
  <c r="AI14" i="35"/>
  <c r="AI64" i="35"/>
  <c r="AI126" i="35"/>
  <c r="AI254" i="35"/>
  <c r="AI130" i="35"/>
  <c r="AI199" i="35"/>
  <c r="AI466" i="35"/>
  <c r="AI363" i="35"/>
  <c r="AI341" i="35"/>
  <c r="AI477" i="35"/>
  <c r="AI314" i="35"/>
  <c r="AI667" i="35"/>
  <c r="AI381" i="35"/>
  <c r="AI452" i="35"/>
  <c r="AI399" i="35"/>
  <c r="AI535" i="35"/>
  <c r="AI532" i="35"/>
  <c r="AI294" i="35"/>
  <c r="AI149" i="35"/>
  <c r="AI113" i="35"/>
  <c r="AI282" i="35"/>
  <c r="AI118" i="35"/>
  <c r="AI382" i="35"/>
  <c r="AI534" i="35"/>
  <c r="AI211" i="35"/>
  <c r="AI317" i="35"/>
  <c r="AI278" i="35"/>
  <c r="AI448" i="35"/>
  <c r="AI69" i="35"/>
  <c r="AI632" i="35"/>
  <c r="AI590" i="35"/>
  <c r="AI656" i="35"/>
  <c r="AI410" i="35"/>
  <c r="AI414" i="35"/>
  <c r="AI404" i="35"/>
  <c r="AI502" i="35"/>
  <c r="AI672" i="35"/>
  <c r="AI504" i="35"/>
  <c r="AI650" i="35"/>
  <c r="AI480" i="35"/>
  <c r="AI416" i="35"/>
  <c r="AI654" i="35"/>
  <c r="AI402" i="35"/>
  <c r="AI620" i="35"/>
  <c r="AI200" i="35"/>
  <c r="AI274" i="35"/>
  <c r="AI229" i="35"/>
  <c r="AI481" i="35"/>
  <c r="AI380" i="35"/>
  <c r="AI316" i="35"/>
  <c r="AI335" i="35"/>
  <c r="AI172" i="35"/>
  <c r="AI617" i="35"/>
  <c r="AI296" i="35"/>
  <c r="AI455" i="35"/>
  <c r="AI266" i="35"/>
  <c r="AI597" i="35"/>
  <c r="AI145" i="35"/>
  <c r="AI625" i="35"/>
  <c r="AI548" i="35"/>
  <c r="AI102" i="35"/>
  <c r="AI419" i="35"/>
  <c r="AI514" i="35"/>
  <c r="AI463" i="35"/>
  <c r="AI97" i="35"/>
  <c r="AI29" i="35"/>
  <c r="AI308" i="35"/>
  <c r="AI178" i="35"/>
  <c r="AI460" i="35"/>
  <c r="AI203" i="35"/>
  <c r="AI267" i="35"/>
  <c r="AI147" i="35"/>
  <c r="AI279" i="35"/>
  <c r="AI529" i="35"/>
  <c r="AI352" i="35"/>
  <c r="AI454" i="35"/>
  <c r="AI251" i="35"/>
  <c r="AI542" i="35"/>
  <c r="AI51" i="35"/>
  <c r="AI336" i="35"/>
  <c r="AI205" i="35"/>
  <c r="AI450" i="35"/>
  <c r="AI299" i="35"/>
  <c r="AI376" i="35"/>
  <c r="AI165" i="35"/>
  <c r="AI378" i="35"/>
  <c r="AI181" i="35"/>
  <c r="AI59" i="35"/>
  <c r="AI310" i="35"/>
  <c r="AI159" i="35"/>
  <c r="AI18" i="35"/>
  <c r="AI536" i="35"/>
  <c r="AI93" i="35"/>
  <c r="AI312" i="35"/>
  <c r="AI364" i="35"/>
  <c r="AI407" i="35"/>
  <c r="AI687" i="35"/>
  <c r="AI563" i="35"/>
  <c r="AI429" i="35"/>
  <c r="AI258" i="35"/>
  <c r="AI156" i="35"/>
  <c r="AI552" i="35"/>
  <c r="AI347" i="35"/>
  <c r="AI444" i="35"/>
  <c r="AI538" i="35"/>
  <c r="AI370" i="35"/>
  <c r="AI185" i="35"/>
  <c r="AI663" i="35"/>
  <c r="AI161" i="35"/>
  <c r="AI330" i="35"/>
  <c r="AI177" i="35"/>
  <c r="AI148" i="35"/>
  <c r="AI160" i="35"/>
  <c r="AI337" i="35"/>
  <c r="AI106" i="35"/>
  <c r="AI163" i="35"/>
  <c r="AI567" i="35"/>
  <c r="AI319" i="35"/>
  <c r="AI55" i="35"/>
  <c r="AI400" i="35"/>
  <c r="AI568" i="35"/>
  <c r="AI560" i="35"/>
  <c r="AI486" i="35"/>
  <c r="AI574" i="35"/>
  <c r="AI490" i="35"/>
  <c r="AI600" i="35"/>
  <c r="AI652" i="35"/>
  <c r="AI642" i="35"/>
  <c r="AI30" i="35"/>
  <c r="AI40" i="35"/>
  <c r="AI47" i="35"/>
  <c r="AI386" i="35"/>
  <c r="AI501" i="35"/>
  <c r="AI446" i="35"/>
  <c r="AI464" i="35"/>
  <c r="AI488" i="35"/>
  <c r="AI492" i="35"/>
  <c r="AI510" i="35"/>
  <c r="AI222" i="35"/>
  <c r="AI204" i="35"/>
  <c r="AI390" i="35"/>
  <c r="AI666" i="35"/>
  <c r="AI420" i="35"/>
  <c r="AI690" i="35"/>
  <c r="AI578" i="35"/>
  <c r="AI136" i="35"/>
  <c r="AI96" i="35"/>
  <c r="AI120" i="35"/>
  <c r="AI25" i="35"/>
  <c r="AI275" i="35"/>
  <c r="AI34" i="35"/>
  <c r="AI173" i="35"/>
  <c r="AI594" i="35"/>
  <c r="AI430" i="35"/>
  <c r="AI143" i="35"/>
  <c r="AI396" i="35"/>
  <c r="AI214" i="35"/>
  <c r="AI496" i="35"/>
  <c r="AI48" i="35"/>
  <c r="AI16" i="35"/>
  <c r="AI73" i="35"/>
  <c r="AI103" i="35"/>
  <c r="AI322" i="35"/>
  <c r="AI234" i="35"/>
  <c r="AI441" i="35"/>
  <c r="AI394" i="35"/>
  <c r="AI592" i="35"/>
  <c r="AI596" i="35"/>
  <c r="AI682" i="35"/>
  <c r="AI208" i="35"/>
  <c r="AI658" i="35"/>
  <c r="AI408" i="35"/>
  <c r="AI670" i="35"/>
  <c r="AI422" i="35"/>
  <c r="AI694" i="35"/>
  <c r="AI119" i="35"/>
  <c r="AI104" i="35"/>
  <c r="AI644" i="35"/>
  <c r="AI344" i="35"/>
  <c r="AI383" i="35"/>
  <c r="AI167" i="35"/>
  <c r="AI550" i="35"/>
  <c r="AI549" i="35"/>
  <c r="AI428" i="35"/>
  <c r="AI584" i="35"/>
  <c r="AI674" i="35"/>
  <c r="AI576" i="35"/>
  <c r="AI398" i="35"/>
  <c r="AI498" i="35"/>
  <c r="AI586" i="35"/>
  <c r="AI418" i="35"/>
  <c r="AI345" i="35"/>
  <c r="AI334" i="35"/>
  <c r="AI355" i="35"/>
  <c r="AI630" i="35"/>
  <c r="AI478" i="35"/>
  <c r="AI426" i="35"/>
  <c r="AI564" i="35"/>
  <c r="AI598" i="35"/>
  <c r="AI484" i="35"/>
  <c r="AI52" i="35"/>
  <c r="AI677" i="35"/>
  <c r="AI297" i="35"/>
  <c r="AI377" i="35"/>
  <c r="AI668" i="35"/>
  <c r="AI424" i="35"/>
  <c r="AI680" i="35"/>
  <c r="AI700" i="35"/>
  <c r="AI476" i="35"/>
  <c r="AI218" i="35"/>
  <c r="AI676" i="35"/>
  <c r="AI692" i="35"/>
  <c r="AI678" i="35"/>
  <c r="AI640" i="35"/>
  <c r="AI42" i="35"/>
  <c r="AI26" i="35"/>
  <c r="AI124" i="35"/>
  <c r="AI606" i="35"/>
  <c r="AI127" i="35"/>
  <c r="AI458" i="35"/>
  <c r="AI681" i="35"/>
  <c r="AI440" i="35"/>
  <c r="AI89" i="35"/>
  <c r="AI210" i="35"/>
  <c r="AI580" i="35"/>
  <c r="AI184" i="35"/>
  <c r="AI634" i="35"/>
  <c r="AI664" i="35"/>
  <c r="AI412" i="35"/>
  <c r="AI570" i="35"/>
  <c r="AI58" i="35"/>
  <c r="AI54" i="35"/>
  <c r="AI612" i="35"/>
  <c r="AI207" i="35"/>
  <c r="AI45" i="35"/>
  <c r="AI326" i="35"/>
  <c r="AI270" i="35"/>
  <c r="AI628" i="35"/>
  <c r="AI494" i="35"/>
  <c r="AI684" i="35"/>
  <c r="AI660" i="35"/>
  <c r="AI406" i="35"/>
  <c r="AI648" i="35"/>
  <c r="AI688" i="35"/>
  <c r="AI388" i="35"/>
  <c r="AI604" i="35"/>
  <c r="AI67" i="35"/>
  <c r="AI80" i="35"/>
  <c r="AI698" i="35"/>
  <c r="AI13" i="35"/>
  <c r="AI38" i="35"/>
  <c r="AI68" i="35"/>
  <c r="AI22" i="35"/>
  <c r="AI46" i="35"/>
  <c r="AI134" i="35"/>
  <c r="AI20" i="35"/>
  <c r="AI66" i="35"/>
  <c r="AI110" i="35"/>
  <c r="AI50" i="35"/>
  <c r="AI84" i="35"/>
  <c r="AI28" i="35"/>
  <c r="AI60" i="35"/>
  <c r="AJ693" i="35"/>
  <c r="AJ557" i="35"/>
  <c r="AJ509" i="35"/>
  <c r="AJ24" i="35"/>
  <c r="AJ599" i="35"/>
  <c r="AJ143" i="35"/>
  <c r="AJ359" i="35"/>
  <c r="AJ560" i="35"/>
  <c r="AJ74" i="35"/>
  <c r="AJ389" i="35"/>
  <c r="AJ603" i="35"/>
  <c r="AJ629" i="35"/>
  <c r="AJ289" i="35"/>
  <c r="AJ425" i="35"/>
  <c r="AJ653" i="35"/>
  <c r="AJ604" i="35"/>
  <c r="AJ51" i="35"/>
  <c r="AJ567" i="35"/>
  <c r="AJ128" i="35"/>
  <c r="AJ317" i="35"/>
  <c r="AJ545" i="35"/>
  <c r="AJ15" i="35"/>
  <c r="AJ529" i="35"/>
  <c r="AJ89" i="35"/>
  <c r="AJ435" i="35"/>
  <c r="AJ672" i="35"/>
  <c r="AJ673" i="35"/>
  <c r="AJ185" i="35"/>
  <c r="AJ313" i="35"/>
  <c r="AJ98" i="35"/>
  <c r="AJ230" i="35"/>
  <c r="AJ286" i="35"/>
  <c r="AJ91" i="35"/>
  <c r="AJ108" i="35"/>
  <c r="AJ661" i="35"/>
  <c r="AJ395" i="35"/>
  <c r="AJ563" i="35"/>
  <c r="AJ613" i="35"/>
  <c r="AJ159" i="35"/>
  <c r="AJ239" i="35"/>
  <c r="AJ287" i="35"/>
  <c r="AJ631" i="35"/>
  <c r="AJ578" i="35"/>
  <c r="AJ290" i="35"/>
  <c r="AJ514" i="35"/>
  <c r="AJ447" i="35"/>
  <c r="AJ633" i="35"/>
  <c r="AJ70" i="35"/>
  <c r="AJ635" i="35"/>
  <c r="AJ177" i="35"/>
  <c r="AJ299" i="35"/>
  <c r="AJ499" i="35"/>
  <c r="AJ45" i="35"/>
  <c r="AJ126" i="35"/>
  <c r="AJ131" i="35"/>
  <c r="AJ585" i="35"/>
  <c r="AJ339" i="35"/>
  <c r="AJ645" i="35"/>
  <c r="AJ99" i="35"/>
  <c r="AJ473" i="35"/>
  <c r="AJ637" i="35"/>
  <c r="AJ541" i="35"/>
  <c r="AJ125" i="35"/>
  <c r="AJ439" i="35"/>
  <c r="AJ696" i="35"/>
  <c r="AJ23" i="35"/>
  <c r="AJ201" i="35"/>
  <c r="AJ329" i="35"/>
  <c r="AJ238" i="35"/>
  <c r="AJ236" i="35"/>
  <c r="AJ294" i="35"/>
  <c r="AJ378" i="35"/>
  <c r="AJ456" i="35"/>
  <c r="AJ498" i="35"/>
  <c r="AJ638" i="35"/>
  <c r="AJ93" i="35"/>
  <c r="AJ429" i="35"/>
  <c r="AJ510" i="35"/>
  <c r="AJ670" i="35"/>
  <c r="AJ507" i="35"/>
  <c r="AJ605" i="35"/>
  <c r="AJ173" i="35"/>
  <c r="AJ283" i="35"/>
  <c r="AJ29" i="35"/>
  <c r="AJ533" i="35"/>
  <c r="AJ663" i="35"/>
  <c r="AJ21" i="35"/>
  <c r="AJ122" i="35"/>
  <c r="AJ655" i="35"/>
  <c r="AJ357" i="35"/>
  <c r="AJ175" i="35"/>
  <c r="AJ303" i="35"/>
  <c r="AJ590" i="35"/>
  <c r="AJ320" i="35"/>
  <c r="AJ440" i="35"/>
  <c r="AJ520" i="35"/>
  <c r="AJ451" i="35"/>
  <c r="AJ106" i="35"/>
  <c r="AJ657" i="35"/>
  <c r="AJ193" i="35"/>
  <c r="AJ305" i="35"/>
  <c r="AJ519" i="35"/>
  <c r="AJ87" i="35"/>
  <c r="AJ48" i="35"/>
  <c r="AJ369" i="35"/>
  <c r="AJ147" i="35"/>
  <c r="AJ591" i="35"/>
  <c r="AJ347" i="35"/>
  <c r="AJ469" i="35"/>
  <c r="AJ385" i="35"/>
  <c r="AJ695" i="35"/>
  <c r="AJ371" i="35"/>
  <c r="AJ479" i="35"/>
  <c r="AJ643" i="35"/>
  <c r="AJ654" i="35"/>
  <c r="AJ553" i="35"/>
  <c r="AJ535" i="35"/>
  <c r="AJ65" i="35"/>
  <c r="AJ217" i="35"/>
  <c r="AJ375" i="35"/>
  <c r="AJ506" i="35"/>
  <c r="AJ248" i="35"/>
  <c r="AJ296" i="35"/>
  <c r="AJ382" i="35"/>
  <c r="AJ462" i="35"/>
  <c r="AJ512" i="35"/>
  <c r="AJ664" i="35"/>
  <c r="AJ135" i="35"/>
  <c r="AJ85" i="35"/>
  <c r="AJ433" i="35"/>
  <c r="AJ694" i="35"/>
  <c r="AJ513" i="35"/>
  <c r="AJ679" i="35"/>
  <c r="AJ171" i="35"/>
  <c r="AJ69" i="35"/>
  <c r="AJ551" i="35"/>
  <c r="AJ56" i="35"/>
  <c r="AJ401" i="35"/>
  <c r="AJ596" i="35"/>
  <c r="AJ586" i="35"/>
  <c r="AJ501" i="35"/>
  <c r="AJ271" i="35"/>
  <c r="AJ127" i="35"/>
  <c r="AJ614" i="35"/>
  <c r="AJ400" i="35"/>
  <c r="AJ658" i="35"/>
  <c r="AJ681" i="35"/>
  <c r="AJ573" i="35"/>
  <c r="AJ33" i="35"/>
  <c r="AJ241" i="35"/>
  <c r="AJ337" i="35"/>
  <c r="AJ641" i="35"/>
  <c r="AJ417" i="35"/>
  <c r="AJ195" i="35"/>
  <c r="AJ627" i="35"/>
  <c r="AJ463" i="35"/>
  <c r="AJ589" i="35"/>
  <c r="AJ41" i="35"/>
  <c r="AJ471" i="35"/>
  <c r="AJ403" i="35"/>
  <c r="AJ549" i="35"/>
  <c r="AJ138" i="35"/>
  <c r="AJ685" i="35"/>
  <c r="AJ379" i="35"/>
  <c r="AJ665" i="35"/>
  <c r="AJ699" i="35"/>
  <c r="AJ349" i="35"/>
  <c r="AJ100" i="35"/>
  <c r="AJ265" i="35"/>
  <c r="AJ683" i="35"/>
  <c r="AJ116" i="35"/>
  <c r="AJ274" i="35"/>
  <c r="AJ342" i="35"/>
  <c r="AJ410" i="35"/>
  <c r="AJ476" i="35"/>
  <c r="AJ62" i="35"/>
  <c r="AJ117" i="35"/>
  <c r="AJ221" i="35"/>
  <c r="AJ355" i="35"/>
  <c r="AJ13" i="35"/>
  <c r="AJ300" i="35"/>
  <c r="AJ368" i="35"/>
  <c r="AJ424" i="35"/>
  <c r="AJ361" i="35"/>
  <c r="AJ572" i="35"/>
  <c r="AJ667" i="35"/>
  <c r="AJ569" i="35"/>
  <c r="AJ39" i="35"/>
  <c r="AJ335" i="35"/>
  <c r="AJ571" i="35"/>
  <c r="AJ538" i="35"/>
  <c r="AJ674" i="35"/>
  <c r="AJ570" i="35"/>
  <c r="AJ579" i="35"/>
  <c r="AJ79" i="35"/>
  <c r="AJ145" i="35"/>
  <c r="AJ257" i="35"/>
  <c r="AJ363" i="35"/>
  <c r="AJ86" i="35"/>
  <c r="AJ37" i="35"/>
  <c r="AJ623" i="35"/>
  <c r="AJ475" i="35"/>
  <c r="AJ615" i="35"/>
  <c r="AJ119" i="35"/>
  <c r="AJ477" i="35"/>
  <c r="AJ675" i="35"/>
  <c r="AJ459" i="35"/>
  <c r="AJ391" i="35"/>
  <c r="AJ90" i="35"/>
  <c r="AJ503" i="35"/>
  <c r="AJ575" i="35"/>
  <c r="AJ223" i="35"/>
  <c r="AJ577" i="35"/>
  <c r="AJ552" i="35"/>
  <c r="AJ684" i="35"/>
  <c r="AJ36" i="35"/>
  <c r="AJ377" i="35"/>
  <c r="AJ597" i="35"/>
  <c r="AJ109" i="35"/>
  <c r="AJ161" i="35"/>
  <c r="AJ273" i="35"/>
  <c r="AJ639" i="35"/>
  <c r="AJ115" i="35"/>
  <c r="AJ47" i="35"/>
  <c r="AJ449" i="35"/>
  <c r="AJ453" i="35"/>
  <c r="AJ319" i="35"/>
  <c r="AJ31" i="35"/>
  <c r="AJ448" i="35"/>
  <c r="AJ455" i="35"/>
  <c r="AJ209" i="35"/>
  <c r="AJ443" i="35"/>
  <c r="AJ515" i="35"/>
  <c r="AJ497" i="35"/>
  <c r="AJ583" i="35"/>
  <c r="AJ691" i="35"/>
  <c r="AJ17" i="35"/>
  <c r="AJ559" i="35"/>
  <c r="AJ281" i="35"/>
  <c r="AJ212" i="35"/>
  <c r="AJ346" i="35"/>
  <c r="AJ464" i="35"/>
  <c r="AJ688" i="35"/>
  <c r="AJ97" i="35"/>
  <c r="AJ353" i="35"/>
  <c r="AJ593" i="35"/>
  <c r="AJ141" i="35"/>
  <c r="AJ285" i="35"/>
  <c r="AJ123" i="35"/>
  <c r="AJ280" i="35"/>
  <c r="AJ372" i="35"/>
  <c r="AJ436" i="35"/>
  <c r="AJ496" i="35"/>
  <c r="AJ616" i="35"/>
  <c r="AJ40" i="35"/>
  <c r="AJ156" i="35"/>
  <c r="AJ180" i="35"/>
  <c r="AJ198" i="35"/>
  <c r="AJ228" i="35"/>
  <c r="AJ310" i="35"/>
  <c r="AJ390" i="35"/>
  <c r="AJ452" i="35"/>
  <c r="AJ508" i="35"/>
  <c r="AJ600" i="35"/>
  <c r="AJ146" i="35"/>
  <c r="AJ194" i="35"/>
  <c r="AJ259" i="35"/>
  <c r="AJ467" i="35"/>
  <c r="AJ137" i="35"/>
  <c r="AJ620" i="35"/>
  <c r="AJ229" i="35"/>
  <c r="AJ343" i="35"/>
  <c r="AJ270" i="35"/>
  <c r="AJ225" i="35"/>
  <c r="AJ67" i="35"/>
  <c r="AJ59" i="35"/>
  <c r="AJ587" i="35"/>
  <c r="AJ297" i="35"/>
  <c r="AJ350" i="35"/>
  <c r="AJ470" i="35"/>
  <c r="AJ487" i="35"/>
  <c r="AJ139" i="35"/>
  <c r="AJ27" i="35"/>
  <c r="AJ301" i="35"/>
  <c r="AJ308" i="35"/>
  <c r="AJ380" i="35"/>
  <c r="AJ458" i="35"/>
  <c r="AJ158" i="35"/>
  <c r="AJ182" i="35"/>
  <c r="AJ202" i="35"/>
  <c r="AJ240" i="35"/>
  <c r="AJ314" i="35"/>
  <c r="AJ398" i="35"/>
  <c r="AJ454" i="35"/>
  <c r="AJ516" i="35"/>
  <c r="AJ606" i="35"/>
  <c r="AJ160" i="35"/>
  <c r="AJ275" i="35"/>
  <c r="AJ505" i="35"/>
  <c r="AJ528" i="35"/>
  <c r="AJ628" i="35"/>
  <c r="AJ245" i="35"/>
  <c r="AJ669" i="35"/>
  <c r="AJ326" i="35"/>
  <c r="AJ231" i="35"/>
  <c r="AJ677" i="35"/>
  <c r="AJ242" i="35"/>
  <c r="AJ94" i="35"/>
  <c r="AJ612" i="35"/>
  <c r="AJ690" i="35"/>
  <c r="AJ348" i="35"/>
  <c r="AJ444" i="35"/>
  <c r="AJ203" i="35"/>
  <c r="AJ351" i="35"/>
  <c r="AJ437" i="35"/>
  <c r="AJ19" i="35"/>
  <c r="AJ358" i="35"/>
  <c r="AJ168" i="35"/>
  <c r="AJ95" i="35"/>
  <c r="AJ191" i="35"/>
  <c r="AJ35" i="35"/>
  <c r="AJ671" i="35"/>
  <c r="AJ321" i="35"/>
  <c r="AJ207" i="35"/>
  <c r="AJ83" i="35"/>
  <c r="AJ532" i="35"/>
  <c r="AJ63" i="35"/>
  <c r="AJ540" i="35"/>
  <c r="AJ255" i="35"/>
  <c r="AJ634" i="35"/>
  <c r="AJ525" i="35"/>
  <c r="AJ373" i="35"/>
  <c r="AJ621" i="35"/>
  <c r="AJ427" i="35"/>
  <c r="AJ630" i="35"/>
  <c r="AJ153" i="35"/>
  <c r="AJ61" i="35"/>
  <c r="AJ276" i="35"/>
  <c r="AJ406" i="35"/>
  <c r="AJ492" i="35"/>
  <c r="AJ73" i="35"/>
  <c r="AJ592" i="35"/>
  <c r="AJ556" i="35"/>
  <c r="AJ423" i="35"/>
  <c r="AJ517" i="35"/>
  <c r="AJ118" i="35"/>
  <c r="AJ205" i="35"/>
  <c r="AJ601" i="35"/>
  <c r="AJ244" i="35"/>
  <c r="AJ332" i="35"/>
  <c r="AJ472" i="35"/>
  <c r="AJ666" i="35"/>
  <c r="AJ142" i="35"/>
  <c r="AJ170" i="35"/>
  <c r="AJ190" i="35"/>
  <c r="AJ262" i="35"/>
  <c r="AJ354" i="35"/>
  <c r="AJ418" i="35"/>
  <c r="AJ480" i="35"/>
  <c r="AJ536" i="35"/>
  <c r="AJ306" i="35"/>
  <c r="AJ434" i="35"/>
  <c r="AJ323" i="35"/>
  <c r="AJ659" i="35"/>
  <c r="AJ364" i="35"/>
  <c r="AJ554" i="35"/>
  <c r="AJ165" i="35"/>
  <c r="AJ293" i="35"/>
  <c r="AJ64" i="35"/>
  <c r="AJ336" i="35"/>
  <c r="AJ103" i="35"/>
  <c r="AJ608" i="35"/>
  <c r="AJ365" i="35"/>
  <c r="AJ407" i="35"/>
  <c r="AJ25" i="35"/>
  <c r="AJ413" i="35"/>
  <c r="AJ431" i="35"/>
  <c r="AJ656" i="35"/>
  <c r="AJ169" i="35"/>
  <c r="AJ284" i="35"/>
  <c r="AJ422" i="35"/>
  <c r="AJ518" i="35"/>
  <c r="AJ133" i="35"/>
  <c r="AJ523" i="35"/>
  <c r="AJ155" i="35"/>
  <c r="AJ237" i="35"/>
  <c r="AJ607" i="35"/>
  <c r="AJ252" i="35"/>
  <c r="AJ344" i="35"/>
  <c r="AJ404" i="35"/>
  <c r="AJ482" i="35"/>
  <c r="AJ574" i="35"/>
  <c r="AJ16" i="35"/>
  <c r="AJ148" i="35"/>
  <c r="AJ172" i="35"/>
  <c r="AJ192" i="35"/>
  <c r="AJ214" i="35"/>
  <c r="AJ268" i="35"/>
  <c r="AJ362" i="35"/>
  <c r="AJ426" i="35"/>
  <c r="AJ490" i="35"/>
  <c r="AJ686" i="35"/>
  <c r="AJ322" i="35"/>
  <c r="AJ474" i="35"/>
  <c r="AJ211" i="35"/>
  <c r="AJ367" i="35"/>
  <c r="AJ49" i="35"/>
  <c r="AJ18" i="35"/>
  <c r="AJ181" i="35"/>
  <c r="AJ309" i="35"/>
  <c r="AJ76" i="35"/>
  <c r="AJ295" i="35"/>
  <c r="AJ478" i="35"/>
  <c r="AJ544" i="35"/>
  <c r="AJ662" i="35"/>
  <c r="AJ304" i="35"/>
  <c r="AJ408" i="35"/>
  <c r="AJ660" i="35"/>
  <c r="AJ399" i="35"/>
  <c r="AJ561" i="35"/>
  <c r="AJ226" i="35"/>
  <c r="AJ594" i="35"/>
  <c r="AJ676" i="35"/>
  <c r="AJ384" i="35"/>
  <c r="AJ132" i="35"/>
  <c r="AJ678" i="35"/>
  <c r="AJ144" i="35"/>
  <c r="AJ543" i="35"/>
  <c r="AJ547" i="35"/>
  <c r="AJ394" i="35"/>
  <c r="AJ537" i="35"/>
  <c r="AJ419" i="35"/>
  <c r="AJ179" i="35"/>
  <c r="AJ521" i="35"/>
  <c r="AJ442" i="35"/>
  <c r="AJ680" i="35"/>
  <c r="AJ701" i="35"/>
  <c r="AJ581" i="35"/>
  <c r="AJ269" i="35"/>
  <c r="AJ260" i="35"/>
  <c r="AJ428" i="35"/>
  <c r="AJ602" i="35"/>
  <c r="AJ152" i="35"/>
  <c r="AJ196" i="35"/>
  <c r="AJ298" i="35"/>
  <c r="AJ450" i="35"/>
  <c r="AJ588" i="35"/>
  <c r="AJ562" i="35"/>
  <c r="AJ243" i="35"/>
  <c r="AJ32" i="35"/>
  <c r="AJ341" i="35"/>
  <c r="AJ88" i="35"/>
  <c r="AJ279" i="35"/>
  <c r="AJ104" i="35"/>
  <c r="AJ646" i="35"/>
  <c r="AJ324" i="35"/>
  <c r="AJ636" i="35"/>
  <c r="AJ251" i="35"/>
  <c r="AJ411" i="35"/>
  <c r="AJ370" i="35"/>
  <c r="AJ272" i="35"/>
  <c r="AJ44" i="35"/>
  <c r="AJ186" i="35"/>
  <c r="AJ609" i="35"/>
  <c r="AJ649" i="35"/>
  <c r="AJ111" i="35"/>
  <c r="AJ258" i="35"/>
  <c r="AJ484" i="35"/>
  <c r="AJ493" i="35"/>
  <c r="AJ546" i="35"/>
  <c r="AJ75" i="35"/>
  <c r="AJ333" i="35"/>
  <c r="AJ316" i="35"/>
  <c r="AJ460" i="35"/>
  <c r="AJ652" i="35"/>
  <c r="AJ164" i="35"/>
  <c r="AJ204" i="35"/>
  <c r="AJ318" i="35"/>
  <c r="AJ468" i="35"/>
  <c r="AJ622" i="35"/>
  <c r="AJ291" i="35"/>
  <c r="AJ632" i="35"/>
  <c r="AJ53" i="35"/>
  <c r="AJ107" i="35"/>
  <c r="AJ151" i="35"/>
  <c r="AJ311" i="35"/>
  <c r="AJ218" i="35"/>
  <c r="AJ102" i="35"/>
  <c r="AJ668" i="35"/>
  <c r="AJ340" i="35"/>
  <c r="AJ267" i="35"/>
  <c r="AJ415" i="35"/>
  <c r="AJ278" i="35"/>
  <c r="AJ200" i="35"/>
  <c r="AJ43" i="35"/>
  <c r="AJ397" i="35"/>
  <c r="AJ421" i="35"/>
  <c r="AJ491" i="35"/>
  <c r="AJ42" i="35"/>
  <c r="AJ264" i="35"/>
  <c r="AJ486" i="35"/>
  <c r="AJ55" i="35"/>
  <c r="AJ566" i="35"/>
  <c r="AJ489" i="35"/>
  <c r="AJ328" i="35"/>
  <c r="AJ466" i="35"/>
  <c r="AJ166" i="35"/>
  <c r="AJ206" i="35"/>
  <c r="AJ338" i="35"/>
  <c r="AJ409" i="35"/>
  <c r="AJ483" i="35"/>
  <c r="AJ531" i="35"/>
  <c r="AJ565" i="35"/>
  <c r="AJ233" i="35"/>
  <c r="AJ330" i="35"/>
  <c r="AJ648" i="35"/>
  <c r="AJ187" i="35"/>
  <c r="AJ625" i="35"/>
  <c r="AJ356" i="35"/>
  <c r="AJ488" i="35"/>
  <c r="AJ420" i="35"/>
  <c r="AJ174" i="35"/>
  <c r="AJ220" i="35"/>
  <c r="AJ687" i="35"/>
  <c r="AJ71" i="35"/>
  <c r="AJ651" i="35"/>
  <c r="AJ249" i="35"/>
  <c r="AJ334" i="35"/>
  <c r="AJ345" i="35"/>
  <c r="AJ121" i="35"/>
  <c r="AJ77" i="35"/>
  <c r="AJ360" i="35"/>
  <c r="AJ494" i="35"/>
  <c r="AJ178" i="35"/>
  <c r="AJ222" i="35"/>
  <c r="AJ386" i="35"/>
  <c r="AJ504" i="35"/>
  <c r="AJ700" i="35"/>
  <c r="AJ210" i="35"/>
  <c r="AJ642" i="35"/>
  <c r="AJ461" i="35"/>
  <c r="AJ81" i="35"/>
  <c r="AJ213" i="35"/>
  <c r="AJ580" i="35"/>
  <c r="AJ199" i="35"/>
  <c r="AJ689" i="35"/>
  <c r="AJ302" i="35"/>
  <c r="AJ576" i="35"/>
  <c r="AJ388" i="35"/>
  <c r="AJ381" i="35"/>
  <c r="AJ555" i="35"/>
  <c r="AJ266" i="35"/>
  <c r="AJ114" i="35"/>
  <c r="AJ527" i="35"/>
  <c r="AJ396" i="35"/>
  <c r="AJ184" i="35"/>
  <c r="AJ414" i="35"/>
  <c r="AJ692" i="35"/>
  <c r="AJ72" i="35"/>
  <c r="AJ277" i="35"/>
  <c r="AJ263" i="35"/>
  <c r="AJ558" i="35"/>
  <c r="AJ430" i="35"/>
  <c r="AJ331" i="35"/>
  <c r="AJ617" i="35"/>
  <c r="AJ644" i="35"/>
  <c r="AJ534" i="35"/>
  <c r="AJ157" i="35"/>
  <c r="AJ416" i="35"/>
  <c r="AJ188" i="35"/>
  <c r="AJ446" i="35"/>
  <c r="AJ58" i="35"/>
  <c r="AJ325" i="35"/>
  <c r="AJ610" i="35"/>
  <c r="AJ327" i="35"/>
  <c r="AJ640" i="35"/>
  <c r="AJ682" i="35"/>
  <c r="AJ432" i="35"/>
  <c r="AJ387" i="35"/>
  <c r="AJ120" i="35"/>
  <c r="AJ163" i="35"/>
  <c r="AJ485" i="35"/>
  <c r="AJ189" i="35"/>
  <c r="AJ227" i="35"/>
  <c r="AJ542" i="35"/>
  <c r="AJ105" i="35"/>
  <c r="AJ539" i="35"/>
  <c r="AJ92" i="35"/>
  <c r="AJ650" i="35"/>
  <c r="AJ393" i="35"/>
  <c r="AJ250" i="35"/>
  <c r="AJ698" i="35"/>
  <c r="AJ502" i="35"/>
  <c r="AN373" i="35"/>
  <c r="AJ253" i="35"/>
  <c r="AJ550" i="35"/>
  <c r="AJ246" i="35"/>
  <c r="AJ500" i="35"/>
  <c r="AJ307" i="35"/>
  <c r="AJ548" i="35"/>
  <c r="AJ82" i="35"/>
  <c r="AJ697" i="35"/>
  <c r="AJ524" i="35"/>
  <c r="AJ130" i="35"/>
  <c r="AJ176" i="35"/>
  <c r="AJ405" i="35"/>
  <c r="AJ34" i="35"/>
  <c r="AJ582" i="35"/>
  <c r="AN491" i="35"/>
  <c r="AJ465" i="35"/>
  <c r="AJ441" i="35"/>
  <c r="AJ216" i="35"/>
  <c r="AJ598" i="35"/>
  <c r="AJ256" i="35"/>
  <c r="AJ522" i="35"/>
  <c r="AJ457" i="35"/>
  <c r="AJ584" i="35"/>
  <c r="AJ167" i="35"/>
  <c r="AJ57" i="35"/>
  <c r="AJ312" i="35"/>
  <c r="AJ445" i="35"/>
  <c r="AJ564" i="35"/>
  <c r="AJ383" i="35"/>
  <c r="AJ526" i="35"/>
  <c r="AJ619" i="35"/>
  <c r="AJ232" i="35"/>
  <c r="AJ112" i="35"/>
  <c r="AJ288" i="35"/>
  <c r="AJ530" i="35"/>
  <c r="AJ208" i="35"/>
  <c r="AJ511" i="35"/>
  <c r="AJ149" i="35"/>
  <c r="AJ78" i="35"/>
  <c r="AJ183" i="35"/>
  <c r="AJ96" i="35"/>
  <c r="AJ352" i="35"/>
  <c r="AJ219" i="35"/>
  <c r="AJ481" i="35"/>
  <c r="AJ224" i="35"/>
  <c r="AJ154" i="35"/>
  <c r="AJ113" i="35"/>
  <c r="AJ392" i="35"/>
  <c r="AJ234" i="35"/>
  <c r="AJ412" i="35"/>
  <c r="AJ129" i="35"/>
  <c r="AJ140" i="35"/>
  <c r="AJ215" i="35"/>
  <c r="AJ235" i="35"/>
  <c r="AJ150" i="35"/>
  <c r="AJ626" i="35"/>
  <c r="AJ247" i="35"/>
  <c r="AJ315" i="35"/>
  <c r="AJ366" i="35"/>
  <c r="AJ374" i="35"/>
  <c r="AJ647" i="35"/>
  <c r="AJ282" i="35"/>
  <c r="AJ595" i="35"/>
  <c r="AJ162" i="35"/>
  <c r="AJ438" i="35"/>
  <c r="AJ402" i="35"/>
  <c r="AJ101" i="35"/>
  <c r="AJ292" i="35"/>
  <c r="AJ611" i="35"/>
  <c r="AJ568" i="35"/>
  <c r="AJ197" i="35"/>
  <c r="AJ618" i="35"/>
  <c r="AJ495" i="35"/>
  <c r="AJ261" i="35"/>
  <c r="AJ624" i="35"/>
  <c r="AJ254" i="35"/>
  <c r="AJ376" i="35"/>
  <c r="AJ14" i="35"/>
  <c r="AJ54" i="35"/>
  <c r="AJ68" i="35"/>
  <c r="AJ20" i="35"/>
  <c r="AJ30" i="35"/>
  <c r="AJ50" i="35"/>
  <c r="AJ136" i="35"/>
  <c r="AJ124" i="35"/>
  <c r="AJ46" i="35"/>
  <c r="AJ84" i="35"/>
  <c r="AJ66" i="35"/>
  <c r="AJ110" i="35"/>
  <c r="AJ134" i="35"/>
  <c r="AJ80" i="35"/>
  <c r="AJ26" i="35"/>
  <c r="AJ22" i="35"/>
  <c r="AJ60" i="35"/>
  <c r="AJ38" i="35"/>
  <c r="AJ52" i="35"/>
  <c r="AJ28" i="35"/>
  <c r="T65" i="22" l="1"/>
  <c r="H12" i="11" s="1"/>
  <c r="T33" i="22"/>
  <c r="T63" i="22" s="1"/>
  <c r="AN70" i="35"/>
  <c r="AN317" i="35"/>
  <c r="AN279" i="35"/>
  <c r="AN542" i="35"/>
  <c r="AN262" i="35"/>
  <c r="AN552" i="35"/>
  <c r="AN242" i="35"/>
  <c r="AN481" i="35"/>
  <c r="AN397" i="35"/>
  <c r="AN472" i="35"/>
  <c r="AN140" i="35"/>
  <c r="AN46" i="35"/>
  <c r="AN73" i="35"/>
  <c r="AN139" i="35"/>
  <c r="AN340" i="35"/>
  <c r="AN95" i="35"/>
  <c r="AN41" i="35"/>
  <c r="AN345" i="35"/>
  <c r="AN226" i="35"/>
  <c r="AN605" i="35"/>
  <c r="AN154" i="35"/>
  <c r="AN162" i="35"/>
  <c r="AN196" i="35"/>
  <c r="AN248" i="35"/>
  <c r="AN419" i="35"/>
  <c r="AN639" i="35"/>
  <c r="AN212" i="35"/>
  <c r="AN559" i="35"/>
  <c r="AN243" i="35"/>
  <c r="AN431" i="35"/>
  <c r="AN503" i="35"/>
  <c r="AN179" i="35"/>
  <c r="AN594" i="35"/>
  <c r="AN275" i="35"/>
  <c r="AN305" i="35"/>
  <c r="AN213" i="35"/>
  <c r="AN32" i="35"/>
  <c r="AN537" i="35"/>
  <c r="AN199" i="35"/>
  <c r="AN439" i="35"/>
  <c r="AN543" i="35"/>
  <c r="AN647" i="35"/>
  <c r="AN612" i="35"/>
  <c r="AN334" i="35"/>
  <c r="AN474" i="35"/>
  <c r="AN403" i="35"/>
  <c r="AN314" i="35"/>
  <c r="AN411" i="35"/>
  <c r="AN442" i="35"/>
  <c r="AN85" i="35"/>
  <c r="AN274" i="35"/>
  <c r="AN143" i="35"/>
  <c r="AN567" i="35"/>
  <c r="AN489" i="35"/>
  <c r="AN230" i="35"/>
  <c r="AN133" i="35"/>
  <c r="AN84" i="35"/>
  <c r="AN86" i="35"/>
  <c r="AN687" i="35"/>
  <c r="AN330" i="35"/>
  <c r="AN128" i="35"/>
  <c r="AN417" i="35"/>
  <c r="AN209" i="35"/>
  <c r="AN229" i="35"/>
  <c r="AN36" i="35"/>
  <c r="AN318" i="35"/>
  <c r="AN362" i="35"/>
  <c r="AN166" i="35"/>
  <c r="AN180" i="35"/>
  <c r="AN136" i="35"/>
  <c r="AN79" i="35"/>
  <c r="AN55" i="35"/>
  <c r="AN375" i="35"/>
  <c r="AN353" i="35"/>
  <c r="AN471" i="35"/>
  <c r="AN690" i="35"/>
  <c r="AN582" i="35"/>
  <c r="AN218" i="35"/>
  <c r="AN692" i="35"/>
  <c r="AN338" i="35"/>
  <c r="AN161" i="35"/>
  <c r="AN203" i="35"/>
  <c r="AN109" i="35"/>
  <c r="AN655" i="35"/>
  <c r="AN611" i="35"/>
  <c r="AN452" i="35"/>
  <c r="AN541" i="35"/>
  <c r="AN146" i="35"/>
  <c r="AN246" i="35"/>
  <c r="AN359" i="35"/>
  <c r="AN141" i="35"/>
  <c r="AN260" i="35"/>
  <c r="AN77" i="35"/>
  <c r="AN106" i="35"/>
  <c r="AN374" i="35"/>
  <c r="AN60" i="35"/>
  <c r="AN142" i="35"/>
  <c r="AN67" i="35"/>
  <c r="AN28" i="35"/>
  <c r="AN610" i="35"/>
  <c r="AN623" i="35"/>
  <c r="AN122" i="35"/>
  <c r="AN614" i="35"/>
  <c r="AN470" i="35"/>
  <c r="AN152" i="35"/>
  <c r="AN231" i="35"/>
  <c r="AN527" i="35"/>
  <c r="AN245" i="35"/>
  <c r="AN211" i="35"/>
  <c r="AN444" i="35"/>
  <c r="AN382" i="35"/>
  <c r="AN632" i="35"/>
  <c r="AN369" i="35"/>
  <c r="AN624" i="35"/>
  <c r="AN496" i="35"/>
  <c r="AN23" i="35"/>
  <c r="AN354" i="35"/>
  <c r="AN482" i="35"/>
  <c r="AN590" i="35"/>
  <c r="AN372" i="35"/>
  <c r="AN298" i="35"/>
  <c r="AN563" i="35"/>
  <c r="AN15" i="35"/>
  <c r="AN148" i="35"/>
  <c r="AN400" i="35"/>
  <c r="AN635" i="35"/>
  <c r="AN388" i="35"/>
  <c r="AN331" i="35"/>
  <c r="AN385" i="35"/>
  <c r="AN108" i="35"/>
  <c r="AN433" i="35"/>
  <c r="AN38" i="35"/>
  <c r="AN547" i="35"/>
  <c r="AN677" i="35"/>
  <c r="AN524" i="35"/>
  <c r="AN100" i="35"/>
  <c r="AN227" i="35"/>
  <c r="AN157" i="35"/>
  <c r="AN104" i="35"/>
  <c r="AN94" i="35"/>
  <c r="AN176" i="35"/>
  <c r="AN667" i="35"/>
  <c r="AN529" i="35"/>
  <c r="AN297" i="35"/>
  <c r="AN151" i="35"/>
  <c r="AN64" i="35"/>
  <c r="AN81" i="35"/>
  <c r="AN253" i="35"/>
  <c r="AN477" i="35"/>
  <c r="AN451" i="35"/>
  <c r="AN266" i="35"/>
  <c r="AN30" i="35"/>
  <c r="AN150" i="35"/>
  <c r="AN240" i="35"/>
  <c r="AN601" i="35"/>
  <c r="AN194" i="35"/>
  <c r="AN309" i="35"/>
  <c r="AN301" i="35"/>
  <c r="AN26" i="35"/>
  <c r="AN168" i="35"/>
  <c r="AN700" i="35"/>
  <c r="AN313" i="35"/>
  <c r="AN502" i="35"/>
  <c r="AN169" i="35"/>
  <c r="AN295" i="35"/>
  <c r="AN217" i="35"/>
  <c r="AN430" i="35"/>
  <c r="AN618" i="35"/>
  <c r="AN517" i="35"/>
  <c r="AN565" i="35"/>
  <c r="AN147" i="35"/>
  <c r="AN526" i="35"/>
  <c r="AN177" i="35"/>
  <c r="AN455" i="35"/>
  <c r="AN686" i="35"/>
  <c r="AN129" i="35"/>
  <c r="AN378" i="35"/>
  <c r="AN164" i="35"/>
  <c r="AN658" i="35"/>
  <c r="AN617" i="35"/>
  <c r="AN586" i="35"/>
  <c r="AN390" i="35"/>
  <c r="AN504" i="35"/>
  <c r="AN416" i="35"/>
  <c r="AN595" i="35"/>
  <c r="AN480" i="35"/>
  <c r="AN396" i="35"/>
  <c r="AN348" i="35"/>
  <c r="AN427" i="35"/>
  <c r="AN163" i="35"/>
  <c r="AN326" i="35"/>
  <c r="AN494" i="35"/>
  <c r="AN190" i="35"/>
  <c r="AN506" i="35"/>
  <c r="AN627" i="35"/>
  <c r="AN56" i="35"/>
  <c r="AN591" i="35"/>
  <c r="AN509" i="35"/>
  <c r="AN187" i="35"/>
  <c r="AN316" i="35"/>
  <c r="AN469" i="35"/>
  <c r="AN251" i="35"/>
  <c r="AN660" i="35"/>
  <c r="AN71" i="35"/>
  <c r="AN681" i="35"/>
  <c r="AN347" i="35"/>
  <c r="AN398" i="35"/>
  <c r="AN423" i="35"/>
  <c r="AN402" i="35"/>
  <c r="AN183" i="35"/>
  <c r="AN186" i="35"/>
  <c r="AN539" i="35"/>
  <c r="AN569" i="35"/>
  <c r="AN110" i="35"/>
  <c r="AN20" i="35"/>
  <c r="AN528" i="35"/>
  <c r="AN117" i="35"/>
  <c r="AN27" i="35"/>
  <c r="AN130" i="35"/>
  <c r="AN501" i="35"/>
  <c r="AN597" i="35"/>
  <c r="AN379" i="35"/>
  <c r="AN18" i="35"/>
  <c r="AN399" i="35"/>
  <c r="AN629" i="35"/>
  <c r="AN538" i="35"/>
  <c r="AN520" i="35"/>
  <c r="AN51" i="35"/>
  <c r="AN172" i="35"/>
  <c r="AN256" i="35"/>
  <c r="AN495" i="35"/>
  <c r="AN291" i="35"/>
  <c r="AN557" i="35"/>
  <c r="AN616" i="35"/>
  <c r="AN14" i="35"/>
  <c r="AN249" i="35"/>
  <c r="AN99" i="35"/>
  <c r="AN182" i="35"/>
  <c r="AN75" i="35"/>
  <c r="AN228" i="35"/>
  <c r="AN144" i="35"/>
  <c r="AN52" i="35"/>
  <c r="AN521" i="35"/>
  <c r="AN513" i="35"/>
  <c r="AN233" i="35"/>
  <c r="AN355" i="35"/>
  <c r="AN679" i="35"/>
  <c r="AN173" i="35"/>
  <c r="AN593" i="35"/>
  <c r="AN698" i="35"/>
  <c r="AN682" i="35"/>
  <c r="AN61" i="35"/>
  <c r="AN65" i="35"/>
  <c r="AN540" i="35"/>
  <c r="AN214" i="35"/>
  <c r="AN278" i="35"/>
  <c r="AN483" i="35"/>
  <c r="AN290" i="35"/>
  <c r="AN636" i="35"/>
  <c r="AN581" i="35"/>
  <c r="AN680" i="35"/>
  <c r="AN418" i="35"/>
  <c r="AN125" i="35"/>
  <c r="AN112" i="35"/>
  <c r="AN384" i="35"/>
  <c r="AN657" i="35"/>
  <c r="AN684" i="35"/>
  <c r="AN508" i="35"/>
  <c r="AN574" i="35"/>
  <c r="AN189" i="35"/>
  <c r="AN121" i="35"/>
  <c r="AN82" i="35"/>
  <c r="AN222" i="35"/>
  <c r="AN414" i="35"/>
  <c r="AN308" i="35"/>
  <c r="AN564" i="35"/>
  <c r="AN576" i="35"/>
  <c r="AN454" i="35"/>
  <c r="AN324" i="35"/>
  <c r="AN105" i="35"/>
  <c r="AN505" i="35"/>
  <c r="AN237" i="35"/>
  <c r="AN421" i="35"/>
  <c r="AN74" i="35"/>
  <c r="AN646" i="35"/>
  <c r="AN432" i="35"/>
  <c r="AN573" i="35"/>
  <c r="AN389" i="35"/>
  <c r="AN267" i="35"/>
  <c r="AN654" i="35"/>
  <c r="AN360" i="35"/>
  <c r="AN578" i="35"/>
  <c r="AN662" i="35"/>
  <c r="AN376" i="35"/>
  <c r="AN171" i="35"/>
  <c r="AN638" i="35"/>
  <c r="AN651" i="35"/>
  <c r="AN357" i="35"/>
  <c r="AN407" i="35"/>
  <c r="AN96" i="35"/>
  <c r="AN615" i="35"/>
  <c r="AN695" i="35"/>
  <c r="AN310" i="35"/>
  <c r="AN208" i="35"/>
  <c r="AN167" i="35"/>
  <c r="AN603" i="35"/>
  <c r="AN358" i="35"/>
  <c r="AN386" i="35"/>
  <c r="AN312" i="35"/>
  <c r="AN115" i="35"/>
  <c r="AN25" i="35"/>
  <c r="AN114" i="35"/>
  <c r="AN302" i="35"/>
  <c r="AN546" i="35"/>
  <c r="AN31" i="35"/>
  <c r="AN215" i="35"/>
  <c r="AN383" i="35"/>
  <c r="AN235" i="35"/>
  <c r="AN550" i="35"/>
  <c r="AN323" i="35"/>
  <c r="AN371" i="35"/>
  <c r="AN234" i="35"/>
  <c r="AN500" i="35"/>
  <c r="AN587" i="35"/>
  <c r="AN487" i="35"/>
  <c r="AN288" i="35"/>
  <c r="AN689" i="35"/>
  <c r="AN124" i="35"/>
  <c r="AN449" i="35"/>
  <c r="AN17" i="35"/>
  <c r="AN335" i="35"/>
  <c r="AN510" i="35"/>
  <c r="AN650" i="35"/>
  <c r="AN507" i="35"/>
  <c r="AN393" i="35"/>
  <c r="AN584" i="35"/>
  <c r="AN572" i="35"/>
  <c r="AN123" i="35"/>
  <c r="AN327" i="35"/>
  <c r="AN307" i="35"/>
  <c r="AN691" i="35"/>
  <c r="AN522" i="35"/>
  <c r="AN138" i="35"/>
  <c r="AN476" i="35"/>
  <c r="AN24" i="35"/>
  <c r="AN88" i="35"/>
  <c r="AN637" i="35"/>
  <c r="AN652" i="35"/>
  <c r="AN406" i="35"/>
  <c r="AN426" i="35"/>
  <c r="AN440" i="35"/>
  <c r="AN408" i="35"/>
  <c r="AN325" i="35"/>
  <c r="AN346" i="35"/>
  <c r="AN283" i="35"/>
  <c r="AN39" i="35"/>
  <c r="AN204" i="35"/>
  <c r="AN321" i="35"/>
  <c r="AN116" i="35"/>
  <c r="AN553" i="35"/>
  <c r="AN328" i="35"/>
  <c r="AN35" i="35"/>
  <c r="AN484" i="35"/>
  <c r="AN461" i="35"/>
  <c r="AN320" i="35"/>
  <c r="AN475" i="35"/>
  <c r="AN535" i="35"/>
  <c r="AN410" i="35"/>
  <c r="AN696" i="35"/>
  <c r="AN282" i="35"/>
  <c r="AN412" i="35"/>
  <c r="AN694" i="35"/>
  <c r="AN672" i="35"/>
  <c r="AN560" i="35"/>
  <c r="AN571" i="35"/>
  <c r="AN350" i="35"/>
  <c r="AN498" i="35"/>
  <c r="AN533" i="35"/>
  <c r="AN145" i="35"/>
  <c r="AN304" i="35"/>
  <c r="AN453" i="35"/>
  <c r="AN137" i="35"/>
  <c r="AN447" i="35"/>
  <c r="AN69" i="35"/>
  <c r="AN292" i="35"/>
  <c r="AN299" i="35"/>
  <c r="AN468" i="35"/>
  <c r="AN207" i="35"/>
  <c r="AN50" i="35"/>
  <c r="AN40" i="35"/>
  <c r="AN241" i="35"/>
  <c r="AN89" i="35"/>
  <c r="AN272" i="35"/>
  <c r="AN276" i="35"/>
  <c r="AN281" i="35"/>
  <c r="AN558" i="35"/>
  <c r="AN333" i="35"/>
  <c r="AN42" i="35"/>
  <c r="AN544" i="35"/>
  <c r="AN534" i="35"/>
  <c r="AN66" i="35"/>
  <c r="AN127" i="35"/>
  <c r="AN462" i="35"/>
  <c r="AN518" i="35"/>
  <c r="AN193" i="35"/>
  <c r="AN34" i="35"/>
  <c r="AN269" i="35"/>
  <c r="AN16" i="35"/>
  <c r="AN391" i="35"/>
  <c r="AN191" i="35"/>
  <c r="AN395" i="35"/>
  <c r="AN118" i="35"/>
  <c r="AN607" i="35"/>
  <c r="AN76" i="35"/>
  <c r="AN21" i="35"/>
  <c r="AN156" i="35"/>
  <c r="AN192" i="35"/>
  <c r="AN178" i="35"/>
  <c r="AN589" i="35"/>
  <c r="AN436" i="35"/>
  <c r="AN428" i="35"/>
  <c r="AN174" i="35"/>
  <c r="AN80" i="35"/>
  <c r="AN247" i="35"/>
  <c r="AN699" i="35"/>
  <c r="AN170" i="35"/>
  <c r="AN531" i="35"/>
  <c r="AN493" i="35"/>
  <c r="AN425" i="35"/>
  <c r="AN555" i="35"/>
  <c r="AN185" i="35"/>
  <c r="AN577" i="35"/>
  <c r="AN429" i="35"/>
  <c r="AN90" i="35"/>
  <c r="AN98" i="35"/>
  <c r="AN620" i="35"/>
  <c r="AN111" i="35"/>
  <c r="AN91" i="35"/>
  <c r="AN661" i="35"/>
  <c r="AN404" i="35"/>
  <c r="AN265" i="35"/>
  <c r="AN525" i="35"/>
  <c r="AN643" i="35"/>
  <c r="AN460" i="35"/>
  <c r="AN415" i="35"/>
  <c r="AN311" i="35"/>
  <c r="AN57" i="35"/>
  <c r="AN536" i="35"/>
  <c r="AN458" i="35"/>
  <c r="AN666" i="35"/>
  <c r="AN409" i="35"/>
  <c r="AN259" i="35"/>
  <c r="AN268" i="35"/>
  <c r="AN676" i="35"/>
  <c r="AN596" i="35"/>
  <c r="AN261" i="35"/>
  <c r="AN287" i="35"/>
  <c r="AN634" i="35"/>
  <c r="AN465" i="35"/>
  <c r="AN633" i="35"/>
  <c r="AN392" i="35"/>
  <c r="AN271" i="35"/>
  <c r="AN585" i="35"/>
  <c r="AN206" i="35"/>
  <c r="AN339" i="35"/>
  <c r="AN319" i="35"/>
  <c r="AN445" i="35"/>
  <c r="AN673" i="35"/>
  <c r="AN457" i="35"/>
  <c r="AN644" i="35"/>
  <c r="AN485" i="35"/>
  <c r="AN232" i="35"/>
  <c r="AN250" i="35"/>
  <c r="AN296" i="35"/>
  <c r="AN570" i="35"/>
  <c r="AN336" i="35"/>
  <c r="AN693" i="35"/>
  <c r="AN659" i="35"/>
  <c r="AN289" i="35"/>
  <c r="AN422" i="35"/>
  <c r="AN648" i="35"/>
  <c r="AN609" i="35"/>
  <c r="AN640" i="35"/>
  <c r="AN566" i="35"/>
  <c r="AN62" i="35"/>
  <c r="AN515" i="35"/>
  <c r="AN514" i="35"/>
  <c r="AN663" i="35"/>
  <c r="AN697" i="35"/>
  <c r="AN53" i="35"/>
  <c r="AN668" i="35"/>
  <c r="AN459" i="35"/>
  <c r="AN619" i="35"/>
  <c r="AN22" i="35"/>
  <c r="AN68" i="35"/>
  <c r="AN13" i="35"/>
  <c r="AN45" i="35"/>
  <c r="AN258" i="35"/>
  <c r="AN532" i="35"/>
  <c r="AN58" i="35"/>
  <c r="AN364" i="35"/>
  <c r="AN59" i="35"/>
  <c r="AN113" i="35"/>
  <c r="AN300" i="35"/>
  <c r="AN598" i="35"/>
  <c r="AN119" i="35"/>
  <c r="AN165" i="35"/>
  <c r="AN102" i="35"/>
  <c r="AN270" i="35"/>
  <c r="AN120" i="35"/>
  <c r="AN342" i="35"/>
  <c r="AN322" i="35"/>
  <c r="AN201" i="35"/>
  <c r="AN158" i="35"/>
  <c r="AN19" i="35"/>
  <c r="AN83" i="35"/>
  <c r="AN549" i="35"/>
  <c r="AN441" i="35"/>
  <c r="AN473" i="35"/>
  <c r="AN344" i="35"/>
  <c r="AN530" i="35"/>
  <c r="AN188" i="35"/>
  <c r="AN54" i="35"/>
  <c r="AN200" i="35"/>
  <c r="AN219" i="35"/>
  <c r="AN202" i="35"/>
  <c r="AN669" i="35"/>
  <c r="AN236" i="35"/>
  <c r="AN280" i="35"/>
  <c r="AN224" i="35"/>
  <c r="AN575" i="35"/>
  <c r="AN220" i="35"/>
  <c r="AN401" i="35"/>
  <c r="AN349" i="35"/>
  <c r="AN561" i="35"/>
  <c r="AN435" i="35"/>
  <c r="AN78" i="35"/>
  <c r="AN516" i="35"/>
  <c r="AN613" i="35"/>
  <c r="AN580" i="35"/>
  <c r="AN599" i="35"/>
  <c r="AN365" i="35"/>
  <c r="AN107" i="35"/>
  <c r="AN101" i="35"/>
  <c r="AN568" i="35"/>
  <c r="AN368" i="35"/>
  <c r="AN420" i="35"/>
  <c r="AN263" i="35"/>
  <c r="AN343" i="35"/>
  <c r="AN434" i="35"/>
  <c r="AN195" i="35"/>
  <c r="AN370" i="35"/>
  <c r="AN197" i="35"/>
  <c r="AN645" i="35"/>
  <c r="AN448" i="35"/>
  <c r="AN223" i="35"/>
  <c r="AN631" i="35"/>
  <c r="AN579" i="35"/>
  <c r="AN630" i="35"/>
  <c r="AN519" i="35"/>
  <c r="AN463" i="35"/>
  <c r="AN497" i="35"/>
  <c r="AN499" i="35"/>
  <c r="AN361" i="35"/>
  <c r="AN479" i="35"/>
  <c r="AN562" i="35"/>
  <c r="AN606" i="35"/>
  <c r="AN511" i="35"/>
  <c r="AN303" i="35"/>
  <c r="AN602" i="35"/>
  <c r="AN464" i="35"/>
  <c r="AN285" i="35"/>
  <c r="AN701" i="35"/>
  <c r="AN512" i="35"/>
  <c r="AN363" i="35"/>
  <c r="AN492" i="35"/>
  <c r="AN377" i="35"/>
  <c r="AN675" i="35"/>
  <c r="AN356" i="35"/>
  <c r="AN181" i="35"/>
  <c r="AN92" i="35"/>
  <c r="AN664" i="35"/>
  <c r="AN548" i="35"/>
  <c r="AN126" i="35"/>
  <c r="AN216" i="35"/>
  <c r="AN683" i="35"/>
  <c r="AN160" i="35"/>
  <c r="AN149" i="35"/>
  <c r="AN175" i="35"/>
  <c r="AN653" i="35"/>
  <c r="AN132" i="35"/>
  <c r="AN366" i="35"/>
  <c r="AN44" i="35"/>
  <c r="AN134" i="35"/>
  <c r="AN97" i="35"/>
  <c r="AN254" i="35"/>
  <c r="AN155" i="35"/>
  <c r="AN443" i="35"/>
  <c r="AN210" i="35"/>
  <c r="AN29" i="35"/>
  <c r="AN93" i="35"/>
  <c r="AN466" i="35"/>
  <c r="AN478" i="35"/>
  <c r="AN239" i="35"/>
  <c r="AN380" i="35"/>
  <c r="AN264" i="35"/>
  <c r="AN286" i="35"/>
  <c r="AN103" i="35"/>
  <c r="AN48" i="35"/>
  <c r="AN252" i="35"/>
  <c r="AN255" i="35"/>
  <c r="AN583" i="35"/>
  <c r="AN153" i="35"/>
  <c r="AN523" i="35"/>
  <c r="AN159" i="35"/>
  <c r="AN47" i="35"/>
  <c r="AN238" i="35"/>
  <c r="AN671" i="35"/>
  <c r="AN446" i="35"/>
  <c r="AN341" i="35"/>
  <c r="AN665" i="35"/>
  <c r="AN33" i="35"/>
  <c r="AN87" i="35"/>
  <c r="AN381" i="35"/>
  <c r="AN306" i="35"/>
  <c r="AN315" i="35"/>
  <c r="AN332" i="35"/>
  <c r="AN337" i="35"/>
  <c r="AN387" i="35"/>
  <c r="AN184" i="35"/>
  <c r="AN244" i="35"/>
  <c r="AN257" i="35"/>
  <c r="AN405" i="35"/>
  <c r="AN284" i="35"/>
  <c r="AN351" i="35"/>
  <c r="AN649" i="35"/>
  <c r="AN198" i="35"/>
  <c r="AN551" i="35"/>
  <c r="AN72" i="35"/>
  <c r="AN63" i="35"/>
  <c r="AN608" i="35"/>
  <c r="AN670" i="35"/>
  <c r="AN592" i="35"/>
  <c r="AN424" i="35"/>
  <c r="AN329" i="35"/>
  <c r="AN622" i="35"/>
  <c r="AN367" i="35"/>
  <c r="AN450" i="35"/>
  <c r="AN674" i="35"/>
  <c r="AN456" i="35"/>
  <c r="AN685" i="35"/>
  <c r="AN277" i="35"/>
  <c r="AN49" i="35"/>
  <c r="AN37" i="35"/>
  <c r="AN678" i="35"/>
  <c r="AN554" i="35"/>
  <c r="AN488" i="35"/>
  <c r="AN225" i="35"/>
  <c r="AN545" i="35"/>
  <c r="AN628" i="35"/>
  <c r="AN413" i="35"/>
  <c r="AN604" i="35"/>
  <c r="AN641" i="35"/>
  <c r="AN352" i="35"/>
  <c r="AN642" i="35"/>
  <c r="AN486" i="35"/>
  <c r="AN293" i="35"/>
  <c r="AN467" i="35"/>
  <c r="AN600" i="35"/>
  <c r="AN626" i="35"/>
  <c r="AN588" i="35"/>
  <c r="AN621" i="35"/>
  <c r="AN437" i="35"/>
  <c r="AN490" i="35"/>
  <c r="AN294" i="35"/>
  <c r="AN221" i="35"/>
  <c r="AN688" i="35"/>
  <c r="AN438" i="35"/>
  <c r="AN273" i="35"/>
  <c r="AN205" i="35"/>
  <c r="AN625" i="35"/>
  <c r="AN135" i="35"/>
  <c r="AN556" i="35"/>
  <c r="AN394" i="35"/>
  <c r="AN656" i="35"/>
  <c r="AN131" i="35"/>
  <c r="AN43" i="35"/>
  <c r="T67" i="22" l="1"/>
  <c r="H16" i="11" s="1"/>
  <c r="D59" i="36" s="1"/>
  <c r="H26" i="11"/>
  <c r="E59" i="36"/>
  <c r="AM7" i="35"/>
  <c r="H15" i="11" l="1"/>
  <c r="AM8" i="35"/>
  <c r="B59" i="36" l="1"/>
  <c r="H59" i="36" s="1"/>
  <c r="M9" i="11"/>
  <c r="I15" i="11" s="1"/>
  <c r="H28" i="11"/>
  <c r="H29" i="11" s="1"/>
  <c r="I13" i="11" l="1"/>
  <c r="I16" i="11"/>
  <c r="O21" i="11"/>
  <c r="I18" i="11"/>
  <c r="I21" i="11"/>
  <c r="O22" i="11"/>
  <c r="I11" i="11"/>
  <c r="I10" i="11"/>
  <c r="I22" i="11"/>
  <c r="I19" i="11"/>
  <c r="I12" i="11"/>
  <c r="I14" i="11"/>
  <c r="I27" i="11" s="1"/>
  <c r="I23" i="11"/>
  <c r="I20" i="11"/>
  <c r="O19" i="11"/>
  <c r="O20" i="11"/>
  <c r="I17" i="11"/>
  <c r="I28" i="11" l="1"/>
  <c r="I26" i="11"/>
  <c r="I29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 Kiehle</author>
  </authors>
  <commentList>
    <comment ref="B10" authorId="0" shapeId="0" xr:uid="{0F5CF766-F250-4CB6-AF56-554AAD985FA2}">
      <text>
        <r>
          <rPr>
            <b/>
            <sz val="9"/>
            <color indexed="81"/>
            <rFont val="Tahoma"/>
            <family val="2"/>
          </rPr>
          <t xml:space="preserve">FINGRID 
</t>
        </r>
        <r>
          <rPr>
            <sz val="9"/>
            <color indexed="81"/>
            <rFont val="Tahoma"/>
            <family val="2"/>
          </rPr>
          <t>Emission factor for electricity consumed in Finland (g CO2/kWh)
https://www.fingrid.fi/en/electricity-market/electricity-market-information/real-time-co2-emissions-estimate/</t>
        </r>
      </text>
    </comment>
    <comment ref="L22" authorId="0" shapeId="0" xr:uid="{59112B34-8FD0-4B18-86A4-AEEC106B8394}">
      <text>
        <r>
          <rPr>
            <sz val="9"/>
            <color indexed="81"/>
            <rFont val="Tahoma"/>
            <charset val="1"/>
          </rPr>
          <t xml:space="preserve">Lähde:
https://www.helen.fi/helen-oy/energia/energiantuotanto/sahkon-ja-lammon-ominaispaastot
</t>
        </r>
      </text>
    </comment>
    <comment ref="B25" authorId="0" shapeId="0" xr:uid="{F0390BBB-288B-4937-A089-0537355A3EB4}">
      <text>
        <r>
          <rPr>
            <b/>
            <sz val="9"/>
            <color indexed="81"/>
            <rFont val="Tahoma"/>
            <family val="2"/>
          </rPr>
          <t xml:space="preserve">Statistics Finland 
</t>
        </r>
        <r>
          <rPr>
            <sz val="9"/>
            <color indexed="81"/>
            <rFont val="Tahoma"/>
            <family val="2"/>
          </rPr>
          <t>Averages of CO2 emissions in heat production - energy method (g CO2/kWh) -&gt; combined heat and power generation + separate production
Table 12.3.2.2 CO2 emissions from heat and power production</t>
        </r>
      </text>
    </comment>
    <comment ref="B45" authorId="0" shapeId="0" xr:uid="{18599FB1-D606-40DF-81C2-181E7BDFA7F0}">
      <text>
        <r>
          <rPr>
            <b/>
            <sz val="9"/>
            <color indexed="81"/>
            <rFont val="Tahoma"/>
            <family val="2"/>
          </rPr>
          <t>Helsingin seudun ympäristöpalvelut (HSY)</t>
        </r>
      </text>
    </comment>
    <comment ref="B46" authorId="0" shapeId="0" xr:uid="{D87FCEAD-B54C-4F05-8FF3-1DA6143A15BD}">
      <text>
        <r>
          <rPr>
            <b/>
            <sz val="9"/>
            <color indexed="81"/>
            <rFont val="Tahoma"/>
            <family val="2"/>
          </rPr>
          <t>Helsingin seudun ympäristöpalvelut (HSY)</t>
        </r>
      </text>
    </comment>
    <comment ref="B47" authorId="0" shapeId="0" xr:uid="{526F0FE2-F0AE-4E85-8E41-A5CBACBBC7F6}">
      <text>
        <r>
          <rPr>
            <b/>
            <sz val="9"/>
            <color indexed="81"/>
            <rFont val="Tahoma"/>
            <family val="2"/>
          </rPr>
          <t xml:space="preserve">SYK, 2019. Oulun kampuksen kulutusraportit.
</t>
        </r>
        <r>
          <rPr>
            <sz val="9"/>
            <color indexed="81"/>
            <rFont val="Tahoma"/>
            <family val="2"/>
          </rPr>
          <t>-&gt; combined EF for clean water &amp; wastewater</t>
        </r>
      </text>
    </comment>
    <comment ref="B53" authorId="0" shapeId="0" xr:uid="{B749B04E-F72B-4898-8C55-0435C33D17F4}">
      <text>
        <r>
          <rPr>
            <b/>
            <sz val="9"/>
            <color indexed="81"/>
            <rFont val="Tahoma"/>
            <family val="2"/>
          </rPr>
          <t xml:space="preserve">Statistics Finland 
</t>
        </r>
        <r>
          <rPr>
            <sz val="9"/>
            <color indexed="81"/>
            <rFont val="Tahoma"/>
            <family val="2"/>
          </rPr>
          <t>Averages of CO2 emissions in heat production - energy method (g CO2/kWh) -&gt; combined heat and power generation + separate production
Table 12.3 CO2 emissions from heat and power production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 Kiehle</author>
  </authors>
  <commentList>
    <comment ref="N9" authorId="0" shapeId="0" xr:uid="{02CB84B2-F046-4A31-810C-E7FF7102DC62}">
      <text>
        <r>
          <rPr>
            <sz val="9"/>
            <color indexed="81"/>
            <rFont val="Tahoma"/>
            <family val="2"/>
          </rPr>
          <t>-&gt; GloMEEP-työkalupakin ja POLB:n päästöluettelon mukaan</t>
        </r>
      </text>
    </comment>
    <comment ref="G20" authorId="0" shapeId="0" xr:uid="{56950DC1-4ACD-4835-9A13-D6CF733258BC}">
      <text>
        <r>
          <rPr>
            <b/>
            <sz val="9"/>
            <color indexed="81"/>
            <rFont val="Tahoma"/>
            <family val="2"/>
          </rPr>
          <t xml:space="preserve">THIRD IMO GHG STUDY </t>
        </r>
        <r>
          <rPr>
            <sz val="9"/>
            <color indexed="81"/>
            <rFont val="Tahoma"/>
            <family val="2"/>
          </rPr>
          <t>- 2014 -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(CO2, N2O)
</t>
        </r>
        <r>
          <rPr>
            <b/>
            <sz val="9"/>
            <color indexed="81"/>
            <rFont val="Tahoma"/>
            <family val="2"/>
          </rPr>
          <t xml:space="preserve">FOURTH IMO GHG STUDY </t>
        </r>
        <r>
          <rPr>
            <sz val="9"/>
            <color indexed="81"/>
            <rFont val="Tahoma"/>
            <family val="2"/>
          </rPr>
          <t>- 2020 -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(CH4) </t>
        </r>
      </text>
    </comment>
    <comment ref="G21" authorId="0" shapeId="0" xr:uid="{9BF7251E-B391-4ACE-9E73-98F4A0107FA6}">
      <text>
        <r>
          <rPr>
            <sz val="9"/>
            <color indexed="81"/>
            <rFont val="Tahoma"/>
            <family val="2"/>
          </rPr>
          <t>rikkipitoisuudella ei ole vaikutusta kasvihuonekaasupäästökertoimeen</t>
        </r>
      </text>
    </comment>
    <comment ref="A22" authorId="0" shapeId="0" xr:uid="{33991535-958C-4444-AFAD-DEA8C74B535C}">
      <text>
        <r>
          <rPr>
            <b/>
            <sz val="9"/>
            <color indexed="81"/>
            <rFont val="Tahoma"/>
            <family val="2"/>
          </rPr>
          <t xml:space="preserve">CORINAIR </t>
        </r>
        <r>
          <rPr>
            <sz val="9"/>
            <color indexed="81"/>
            <rFont val="Tahoma"/>
            <family val="2"/>
          </rPr>
          <t>(EMEP/EEA air pollutant emission inventory guidebook 2019 – Update Oct. 2020)</t>
        </r>
        <r>
          <rPr>
            <b/>
            <sz val="9"/>
            <color indexed="81"/>
            <rFont val="Tahoma"/>
            <family val="2"/>
          </rPr>
          <t xml:space="preserve">
Entec (2002)</t>
        </r>
      </text>
    </comment>
    <comment ref="N22" authorId="0" shapeId="0" xr:uid="{00D74A82-C554-4FE1-9A67-75A0A7BC8855}">
      <text>
        <r>
          <rPr>
            <b/>
            <sz val="9"/>
            <color indexed="81"/>
            <rFont val="Tahoma"/>
            <family val="2"/>
          </rPr>
          <t xml:space="preserve">CORINAIR </t>
        </r>
        <r>
          <rPr>
            <sz val="9"/>
            <color indexed="81"/>
            <rFont val="Tahoma"/>
            <family val="2"/>
          </rPr>
          <t>(EMEP/EEA air pollutant emission inventory guidebook 2019 – Update Oct. 2020)</t>
        </r>
        <r>
          <rPr>
            <b/>
            <sz val="9"/>
            <color indexed="81"/>
            <rFont val="Tahoma"/>
            <family val="2"/>
          </rPr>
          <t xml:space="preserve">
Entec (2002)</t>
        </r>
      </text>
    </comment>
    <comment ref="O24" authorId="0" shapeId="0" xr:uid="{3A6115F1-BA2F-40C8-A69F-1533B16ADE55}">
      <text>
        <r>
          <rPr>
            <b/>
            <sz val="9"/>
            <color indexed="81"/>
            <rFont val="Tahoma"/>
            <family val="2"/>
          </rPr>
          <t xml:space="preserve">CORINAIR: </t>
        </r>
        <r>
          <rPr>
            <sz val="9"/>
            <color indexed="81"/>
            <rFont val="Tahoma"/>
            <family val="2"/>
          </rPr>
          <t>0.2
-&gt; but according to POLB &amp; GloMEEP main engine is off</t>
        </r>
      </text>
    </comment>
    <comment ref="A30" authorId="0" shapeId="0" xr:uid="{B8E85F31-6BC6-449A-95E3-874A464F3AEB}">
      <text>
        <r>
          <rPr>
            <b/>
            <sz val="9"/>
            <color indexed="81"/>
            <rFont val="Tahoma"/>
            <family val="2"/>
          </rPr>
          <t>2019 Air Emissions Inventory - Port of Long Beach</t>
        </r>
      </text>
    </comment>
    <comment ref="G30" authorId="0" shapeId="0" xr:uid="{853A9D6C-9A00-4802-8435-65D253110F07}">
      <text>
        <r>
          <rPr>
            <sz val="9"/>
            <color indexed="81"/>
            <rFont val="Tahoma"/>
            <family val="2"/>
          </rPr>
          <t xml:space="preserve">
Kolmannen IMO GHG tutkimuksen mukaan, päästökerroin g/g polttoaineessa ei eroa paljoa HFO:sta ja MDO:sta (0.00016:sta 0.00015:een)
-&gt; tämä on tuettu informaatiolla lähteestä 20, liite E (sama päästökerroin [g/kWh] CH4:lle ja N20:lle HFO:lle &amp; MDO/MGO:lle)</t>
        </r>
      </text>
    </comment>
    <comment ref="N30" authorId="0" shapeId="0" xr:uid="{ABAE08D1-955B-4A69-BAE5-9B54E63B2244}">
      <text>
        <r>
          <rPr>
            <b/>
            <sz val="9"/>
            <color indexed="81"/>
            <rFont val="Tahoma"/>
            <family val="2"/>
          </rPr>
          <t>2019 Air Emissions Inventory - Port of Long Beach</t>
        </r>
      </text>
    </comment>
    <comment ref="I36" authorId="0" shapeId="0" xr:uid="{620A441E-BB96-454B-99BE-7A259CB48996}">
      <text>
        <r>
          <rPr>
            <b/>
            <sz val="9"/>
            <color indexed="81"/>
            <rFont val="Tahoma"/>
            <family val="2"/>
          </rPr>
          <t>same for MDO/MGO</t>
        </r>
      </text>
    </comment>
    <comment ref="I37" authorId="0" shapeId="0" xr:uid="{B316134F-59D6-4A94-9542-BA3D9E979A65}">
      <text>
        <r>
          <rPr>
            <b/>
            <sz val="9"/>
            <color indexed="81"/>
            <rFont val="Tahoma"/>
            <family val="2"/>
          </rPr>
          <t>same for MDO/MGO</t>
        </r>
      </text>
    </comment>
    <comment ref="I38" authorId="0" shapeId="0" xr:uid="{837868DA-31DB-479D-8094-0FFD0D9243EC}">
      <text>
        <r>
          <rPr>
            <b/>
            <sz val="9"/>
            <color indexed="81"/>
            <rFont val="Tahoma"/>
            <family val="2"/>
          </rPr>
          <t>same for MDO/MGO</t>
        </r>
      </text>
    </comment>
    <comment ref="H42" authorId="0" shapeId="0" xr:uid="{6874ECFC-6C6A-4919-93A4-AF9B76886950}">
      <text>
        <r>
          <rPr>
            <b/>
            <sz val="9"/>
            <color indexed="81"/>
            <rFont val="Tahoma"/>
            <family val="2"/>
          </rPr>
          <t>lean burn spark ignited (LNG)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3" authorId="0" shapeId="0" xr:uid="{AA54DCC1-B0C7-4A67-8F7E-BF6CE411C1E0}">
      <text>
        <r>
          <rPr>
            <b/>
            <sz val="9"/>
            <color indexed="81"/>
            <rFont val="Tahoma"/>
            <family val="2"/>
          </rPr>
          <t>same for MDO/MGO</t>
        </r>
      </text>
    </comment>
    <comment ref="I44" authorId="0" shapeId="0" xr:uid="{1D2A143F-DEC4-493D-AC6B-D1C2D4E7582C}">
      <text>
        <r>
          <rPr>
            <b/>
            <sz val="9"/>
            <color indexed="81"/>
            <rFont val="Tahoma"/>
            <family val="2"/>
          </rPr>
          <t>same for MDO/MGO</t>
        </r>
      </text>
    </comment>
    <comment ref="H46" authorId="0" shapeId="0" xr:uid="{551A1D12-DD36-45D7-971A-32CFA1664A2C}">
      <text>
        <r>
          <rPr>
            <b/>
            <sz val="9"/>
            <color indexed="81"/>
            <rFont val="Tahoma"/>
            <family val="2"/>
          </rPr>
          <t xml:space="preserve">Misra et al., 2017.
</t>
        </r>
        <r>
          <rPr>
            <sz val="9"/>
            <color indexed="81"/>
            <rFont val="Tahoma"/>
            <family val="2"/>
          </rPr>
          <t>GHG emission accounting and mitigation strategies to reduce the carbon
footprint in conventional port activities – a case of the Port of Chennai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Intermediate fuel oil, 2.7% sulphur</t>
        </r>
      </text>
    </comment>
    <comment ref="G49" authorId="0" shapeId="0" xr:uid="{FCBEB9B3-72B8-4C3A-819C-C6C2DE984BB7}">
      <text>
        <r>
          <rPr>
            <b/>
            <sz val="9"/>
            <color indexed="81"/>
            <rFont val="Tahoma"/>
            <family val="2"/>
          </rPr>
          <t xml:space="preserve">ENTEC (2002)
</t>
        </r>
        <r>
          <rPr>
            <sz val="9"/>
            <color indexed="81"/>
            <rFont val="Tahoma"/>
            <family val="2"/>
          </rPr>
          <t>tietyt kertoimet satamalle/ohjailuun</t>
        </r>
      </text>
    </comment>
    <comment ref="A61" authorId="0" shapeId="0" xr:uid="{AA26A2BA-CEB5-4723-998A-107ED1157ACF}">
      <text>
        <r>
          <rPr>
            <b/>
            <sz val="9"/>
            <color indexed="81"/>
            <rFont val="Tahoma"/>
            <family val="2"/>
          </rPr>
          <t>very large crude carrier</t>
        </r>
      </text>
    </comment>
    <comment ref="A62" authorId="0" shapeId="0" xr:uid="{14A075C8-316B-4E58-AAA5-2416217BD0A8}">
      <text>
        <r>
          <rPr>
            <b/>
            <sz val="9"/>
            <color indexed="81"/>
            <rFont val="Tahoma"/>
            <family val="2"/>
          </rPr>
          <t>ultra large crude carrier</t>
        </r>
      </text>
    </comment>
    <comment ref="H64" authorId="0" shapeId="0" xr:uid="{5D5B8092-C104-4920-A486-78157181372B}">
      <text>
        <r>
          <rPr>
            <b/>
            <sz val="9"/>
            <color indexed="81"/>
            <rFont val="Tahoma"/>
            <family val="2"/>
          </rPr>
          <t xml:space="preserve">IPCC 
</t>
        </r>
        <r>
          <rPr>
            <sz val="9"/>
            <color indexed="81"/>
            <rFont val="Tahoma"/>
            <family val="2"/>
          </rPr>
          <t>CO2, CH4 , AND N2O EMISSIONS FROM
TRANSPORTATION-WATER-BORNE
NAVIGATION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for OGV with diesel engines</t>
        </r>
      </text>
    </comment>
    <comment ref="I64" authorId="0" shapeId="0" xr:uid="{FBDF35D2-913B-4008-A866-9560729F5923}">
      <text>
        <r>
          <rPr>
            <sz val="9"/>
            <color indexed="81"/>
            <rFont val="Tahoma"/>
            <family val="2"/>
          </rPr>
          <t>0.002 g/MJ / 0.27778 kWh/MJ * GWP N2O</t>
        </r>
      </text>
    </comment>
    <comment ref="H65" authorId="0" shapeId="0" xr:uid="{2CAF0D86-2EAC-4C57-8906-4F1FC783C5F2}">
      <text>
        <r>
          <rPr>
            <b/>
            <sz val="9"/>
            <color indexed="81"/>
            <rFont val="Tahoma"/>
            <family val="2"/>
          </rPr>
          <t xml:space="preserve">IPCC 
</t>
        </r>
        <r>
          <rPr>
            <sz val="9"/>
            <color indexed="81"/>
            <rFont val="Tahoma"/>
            <family val="2"/>
          </rPr>
          <t>CO2, CH4 , AND N2O EMISSIONS FROM
TRANSPORTATION-WATER-BORNE
NAVIGATION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I65" authorId="0" shapeId="0" xr:uid="{E7A88B60-9953-4353-AD95-CC038D59DF71}">
      <text>
        <r>
          <rPr>
            <sz val="9"/>
            <color indexed="81"/>
            <rFont val="Tahoma"/>
            <family val="2"/>
          </rPr>
          <t>0.007 g/MJ / 0.27778 kWh/MJ * GWP CH4</t>
        </r>
      </text>
    </comment>
    <comment ref="A66" authorId="0" shapeId="0" xr:uid="{A8E88060-586D-4452-B3AA-09D433B8D24C}">
      <text>
        <r>
          <rPr>
            <b/>
            <sz val="9"/>
            <color indexed="81"/>
            <rFont val="Tahoma"/>
            <family val="2"/>
          </rPr>
          <t xml:space="preserve">CORINAIR </t>
        </r>
        <r>
          <rPr>
            <sz val="9"/>
            <color indexed="81"/>
            <rFont val="Tahoma"/>
            <family val="2"/>
          </rPr>
          <t>EMEP/EEA air pollutant emission inventory guidebook 2019 – Update Oct.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2020
</t>
        </r>
        <r>
          <rPr>
            <b/>
            <sz val="9"/>
            <color indexed="81"/>
            <rFont val="Tahoma"/>
            <family val="2"/>
          </rPr>
          <t>(Table 3-13)</t>
        </r>
      </text>
    </comment>
    <comment ref="G68" authorId="0" shapeId="0" xr:uid="{75B4E76C-22FD-44BB-A57E-2562276CB5F2}">
      <text>
        <r>
          <rPr>
            <b/>
            <sz val="9"/>
            <color indexed="81"/>
            <rFont val="Tahoma"/>
            <family val="2"/>
          </rPr>
          <t xml:space="preserve">CORINAIR </t>
        </r>
        <r>
          <rPr>
            <sz val="9"/>
            <color indexed="81"/>
            <rFont val="Tahoma"/>
            <family val="2"/>
          </rPr>
          <t xml:space="preserve">EMEP/EEA air pollutant emission inventory guidebook 2019 – Update Oct. 2020 </t>
        </r>
        <r>
          <rPr>
            <b/>
            <sz val="9"/>
            <color indexed="81"/>
            <rFont val="Tahoma"/>
            <family val="2"/>
          </rPr>
          <t xml:space="preserve">(Table 3-12)
2010 world fleet
</t>
        </r>
        <r>
          <rPr>
            <sz val="9"/>
            <color indexed="81"/>
            <rFont val="Tahoma"/>
            <family val="2"/>
          </rPr>
          <t>Main engine power = Factor 1 x GT^Factor 2</t>
        </r>
      </text>
    </comment>
    <comment ref="A87" authorId="0" shapeId="0" xr:uid="{23A5B8AF-7616-431B-B5AC-CD05CFAA9246}">
      <text>
        <r>
          <rPr>
            <b/>
            <sz val="9"/>
            <color indexed="81"/>
            <rFont val="Tahoma"/>
            <family val="2"/>
          </rPr>
          <t xml:space="preserve">ENTEC (2010) - </t>
        </r>
        <r>
          <rPr>
            <sz val="9"/>
            <color indexed="81"/>
            <rFont val="Tahoma"/>
            <family val="2"/>
          </rPr>
          <t>UK Ship Emission Inventory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 Kiehle</author>
  </authors>
  <commentList>
    <comment ref="R12" authorId="0" shapeId="0" xr:uid="{9D35E285-C079-414E-AF5D-4C7F5A6F7005}">
      <text>
        <r>
          <rPr>
            <sz val="9"/>
            <color indexed="81"/>
            <rFont val="Tahoma"/>
            <family val="2"/>
          </rPr>
          <t xml:space="preserve">perustuu </t>
        </r>
        <r>
          <rPr>
            <b/>
            <sz val="9"/>
            <color indexed="81"/>
            <rFont val="Tahoma"/>
            <family val="2"/>
          </rPr>
          <t>CORINAIR</t>
        </r>
        <r>
          <rPr>
            <sz val="9"/>
            <color indexed="81"/>
            <rFont val="Tahoma"/>
            <family val="2"/>
          </rPr>
          <t xml:space="preserve"> (apukoneen ja pääkoneen välinen suhde) -&gt; jos pääkoneteho on tiedossa</t>
        </r>
      </text>
    </comment>
    <comment ref="S12" authorId="0" shapeId="0" xr:uid="{BDCEEE0E-F31F-45D1-9CAD-24CD67A41C6A}">
      <text>
        <r>
          <rPr>
            <b/>
            <sz val="9"/>
            <color indexed="81"/>
            <rFont val="Tahoma"/>
            <family val="2"/>
          </rPr>
          <t xml:space="preserve">Perustuen: CORINAIR - Installed main engine power as a function of gross tonnage
</t>
        </r>
        <r>
          <rPr>
            <sz val="9"/>
            <color indexed="81"/>
            <rFont val="Tahoma"/>
            <family val="2"/>
          </rPr>
          <t xml:space="preserve">Jos pääkoneteho ei ole tiedossa (0 kW), se voidaan arvioida bruttopainon perusteella. CORINAIR julkaisi kaksi kerrointa arviointiin. Kertoimet riippuvat aluslajista.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T12" authorId="0" shapeId="0" xr:uid="{D8B4E75F-768D-4A53-9E78-7977AC7F7FB3}">
      <text>
        <r>
          <rPr>
            <b/>
            <sz val="9"/>
            <color indexed="81"/>
            <rFont val="Tahoma"/>
            <family val="2"/>
          </rPr>
          <t>Arvioitu arvioidun pääkonetehon perusteella.</t>
        </r>
      </text>
    </comment>
    <comment ref="X12" authorId="0" shapeId="0" xr:uid="{CAE7CCAA-DC55-433E-A2A3-72E647FCECE8}">
      <text>
        <r>
          <rPr>
            <b/>
            <sz val="9"/>
            <color indexed="81"/>
            <rFont val="Tahoma"/>
            <family val="2"/>
          </rPr>
          <t>Perustuen: Average Auxiliary load default -&gt; 2019 Air Emissions Inventory Port of Longbeach</t>
        </r>
      </text>
    </comment>
    <comment ref="Y12" authorId="0" shapeId="0" xr:uid="{811B69C1-F88A-428D-A841-C55131D7A39E}">
      <text>
        <r>
          <rPr>
            <b/>
            <sz val="9"/>
            <color indexed="81"/>
            <rFont val="Tahoma"/>
            <family val="2"/>
          </rPr>
          <t>perustuen: Average Auxiliary load default -&gt; 2019 Air Emissions Inventory Port of Longbeach</t>
        </r>
      </text>
    </comment>
    <comment ref="AA12" authorId="0" shapeId="0" xr:uid="{059A1CCE-63B3-4C23-BA3C-35FA4BB11A32}">
      <text>
        <r>
          <rPr>
            <b/>
            <sz val="9"/>
            <color indexed="81"/>
            <rFont val="Tahoma"/>
            <family val="2"/>
          </rPr>
          <t xml:space="preserve">Tietoja ei ole saatavilla, joten se on vain arvio. 
</t>
        </r>
        <r>
          <rPr>
            <sz val="9"/>
            <color indexed="81"/>
            <rFont val="Tahoma"/>
            <family val="2"/>
          </rPr>
          <t xml:space="preserve">
Based on Trozzi (Source 17), Table 7: MSD is typical engine type for MDO/MGO, only Container ships use commonly SSD. Tugboats utilise mainly HSD.</t>
        </r>
      </text>
    </comment>
    <comment ref="AB12" authorId="0" shapeId="0" xr:uid="{2BDE958A-3F40-436A-824D-862D4DB8B6E6}">
      <text>
        <r>
          <rPr>
            <b/>
            <sz val="9"/>
            <color indexed="81"/>
            <rFont val="Tahoma"/>
            <family val="2"/>
          </rPr>
          <t xml:space="preserve">Tietoja ei ole saatavilla, joten se on vain arvio.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2" authorId="0" shapeId="0" xr:uid="{5C6634D7-D13D-4643-8625-3ABF77E547CB}">
      <text>
        <r>
          <rPr>
            <b/>
            <sz val="9"/>
            <color indexed="81"/>
            <rFont val="Tahoma"/>
            <family val="2"/>
          </rPr>
          <t xml:space="preserve">Tietoja ei ole saatavilla, joten se on vain arvio.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2" authorId="0" shapeId="0" xr:uid="{2B9A5130-1D6B-40C5-9523-60462DA2A8BB}">
      <text>
        <r>
          <rPr>
            <b/>
            <sz val="9"/>
            <color indexed="81"/>
            <rFont val="Tahoma"/>
            <family val="2"/>
          </rPr>
          <t xml:space="preserve">Tietoja ei ole saatavilla, joten se on vain arvio. </t>
        </r>
      </text>
    </comment>
    <comment ref="AE12" authorId="0" shapeId="0" xr:uid="{FC1F6714-2F63-471F-AF8F-CBFF30D0331A}">
      <text>
        <r>
          <rPr>
            <b/>
            <sz val="9"/>
            <color indexed="81"/>
            <rFont val="Tahoma"/>
            <family val="2"/>
          </rPr>
          <t>Oletetaan höyryturbiiniksi.</t>
        </r>
      </text>
    </comment>
    <comment ref="AK12" authorId="0" shapeId="0" xr:uid="{A8BB5EDE-1929-4FBA-96F0-A49C506D347B}">
      <text>
        <r>
          <rPr>
            <b/>
            <sz val="9"/>
            <color indexed="81"/>
            <rFont val="Tahoma"/>
            <family val="2"/>
          </rPr>
          <t>Pääkoneiden oletetaan olevan pois päältä laiturissa.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 Kiehle</author>
  </authors>
  <commentList>
    <comment ref="A19" authorId="0" shapeId="0" xr:uid="{9488D892-6189-4414-B3B2-5FEAA1B516BB}">
      <text>
        <r>
          <rPr>
            <b/>
            <sz val="9"/>
            <color indexed="81"/>
            <rFont val="Tahoma"/>
            <family val="2"/>
          </rPr>
          <t>Tietojen muoto:
9.1.2020  22:00:00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" authorId="0" shapeId="0" xr:uid="{8184526F-AD9A-48FA-8FA4-6548DF4588A0}">
      <text>
        <r>
          <rPr>
            <b/>
            <sz val="9"/>
            <color indexed="81"/>
            <rFont val="Tahoma"/>
            <family val="2"/>
          </rPr>
          <t>Tietojen muoto:
9.1.2020  22:00:00</t>
        </r>
      </text>
    </comment>
    <comment ref="O19" authorId="0" shapeId="0" xr:uid="{15AC5CDB-2302-4E9F-B46F-511576EA8AA7}">
      <text>
        <r>
          <rPr>
            <sz val="9"/>
            <color indexed="81"/>
            <rFont val="Tahoma"/>
            <family val="2"/>
          </rPr>
          <t>Määsähkön kulutus on ilmoitettava erikseen työkalun Energia-kategoriassa.
'Käytetty'-vaihtoehdon valinta laukaisee oletuksen, että alus sammuttaa kaikki moottorit (pää, apu ja boileri) laiturissa ollessaan.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 Kiehle</author>
  </authors>
  <commentList>
    <comment ref="H8" authorId="0" shapeId="0" xr:uid="{5580297A-99DB-4C20-B6DE-1A90A894A2E0}">
      <text>
        <r>
          <rPr>
            <b/>
            <sz val="9"/>
            <color indexed="81"/>
            <rFont val="Tahoma"/>
            <family val="2"/>
          </rPr>
          <t xml:space="preserve">San Pedro Bay Ports Emissions Inventory Methodology Report - 2019
</t>
        </r>
        <r>
          <rPr>
            <sz val="9"/>
            <color indexed="81"/>
            <rFont val="Tahoma"/>
            <family val="2"/>
          </rPr>
          <t>Appendix A</t>
        </r>
      </text>
    </comment>
    <comment ref="A12" authorId="0" shapeId="0" xr:uid="{A81F387F-F468-4A1C-B99B-9FF67F8E38E6}">
      <text>
        <r>
          <rPr>
            <sz val="9"/>
            <color indexed="81"/>
            <rFont val="Tahoma"/>
            <family val="2"/>
          </rPr>
          <t>GEF-UNDP-IMO</t>
        </r>
        <r>
          <rPr>
            <b/>
            <sz val="9"/>
            <color indexed="81"/>
            <rFont val="Tahoma"/>
            <family val="2"/>
          </rPr>
          <t xml:space="preserve"> GloMEEP Project </t>
        </r>
        <r>
          <rPr>
            <sz val="9"/>
            <color indexed="81"/>
            <rFont val="Tahoma"/>
            <family val="2"/>
          </rPr>
          <t>and IAPH,</t>
        </r>
        <r>
          <rPr>
            <b/>
            <sz val="9"/>
            <color indexed="81"/>
            <rFont val="Tahoma"/>
            <family val="2"/>
          </rPr>
          <t xml:space="preserve"> 2018: Port Emissions Toolkit</t>
        </r>
        <r>
          <rPr>
            <sz val="9"/>
            <color indexed="81"/>
            <rFont val="Tahoma"/>
            <family val="2"/>
          </rPr>
          <t>, Guide No.1,
Assessment of port emissions</t>
        </r>
      </text>
    </comment>
    <comment ref="A21" authorId="0" shapeId="0" xr:uid="{EA96D5B1-ACB6-4128-8FE5-4D461623A9DF}">
      <text>
        <r>
          <rPr>
            <sz val="9"/>
            <color indexed="81"/>
            <rFont val="Tahoma"/>
            <family val="2"/>
          </rPr>
          <t xml:space="preserve">Not part of the PoLB inventory, but added because of Finnish situation. Same data as Ocean tugboat.
</t>
        </r>
      </text>
    </comment>
    <comment ref="B28" authorId="0" shapeId="0" xr:uid="{A8CFE6F0-B924-4187-A3D2-14E13ACA4EDA}">
      <text>
        <r>
          <rPr>
            <b/>
            <sz val="9"/>
            <color indexed="81"/>
            <rFont val="Tahoma"/>
            <family val="2"/>
          </rPr>
          <t xml:space="preserve">POLB's 2019 Air Emission Inventory
</t>
        </r>
        <r>
          <rPr>
            <sz val="9"/>
            <color indexed="81"/>
            <rFont val="Tahoma"/>
            <family val="2"/>
          </rPr>
          <t>(total power of all main engines in the boat)</t>
        </r>
      </text>
    </comment>
    <comment ref="C28" authorId="0" shapeId="0" xr:uid="{4F120E1B-6918-4FB4-B669-FB0B28BA95A4}">
      <text>
        <r>
          <rPr>
            <b/>
            <sz val="9"/>
            <color indexed="81"/>
            <rFont val="Tahoma"/>
            <family val="2"/>
          </rPr>
          <t>POLB's 2019 Air Emission Inventory</t>
        </r>
      </text>
    </comment>
    <comment ref="D28" authorId="0" shapeId="0" xr:uid="{E06F1764-3882-45D2-A211-56235D0EB3FF}">
      <text>
        <r>
          <rPr>
            <b/>
            <sz val="9"/>
            <color indexed="81"/>
            <rFont val="Tahoma"/>
            <family val="2"/>
          </rPr>
          <t xml:space="preserve">POLB's 2019 Air Emission Inventory
</t>
        </r>
        <r>
          <rPr>
            <sz val="9"/>
            <color indexed="81"/>
            <rFont val="Tahoma"/>
            <family val="2"/>
          </rPr>
          <t>(total power of all aux engines in the boat)</t>
        </r>
      </text>
    </comment>
    <comment ref="E28" authorId="0" shapeId="0" xr:uid="{2B6446FA-C61B-4F56-969B-4866F1CA8AB6}">
      <text>
        <r>
          <rPr>
            <b/>
            <sz val="9"/>
            <color indexed="81"/>
            <rFont val="Tahoma"/>
            <family val="2"/>
          </rPr>
          <t>POLB's 2019 Air Emission Inventory</t>
        </r>
      </text>
    </comment>
    <comment ref="A37" authorId="0" shapeId="0" xr:uid="{764A79A8-4E55-4FC1-924E-0F87E69A5CF8}">
      <text>
        <r>
          <rPr>
            <sz val="9"/>
            <color indexed="81"/>
            <rFont val="Tahoma"/>
            <family val="2"/>
          </rPr>
          <t>Not part of the PoLB inventory, but added because of Finnish situation. Same data as Ocean tugboat.</t>
        </r>
      </text>
    </comment>
    <comment ref="F39" authorId="0" shapeId="0" xr:uid="{567F0E5E-3EAE-490E-9755-25323D68F9A6}">
      <text>
        <r>
          <rPr>
            <b/>
            <sz val="9"/>
            <color indexed="81"/>
            <rFont val="Tahoma"/>
            <family val="2"/>
          </rPr>
          <t>Pääkoneen ja apukoneen välinen keskimääräinen suhde (Hinaaja)</t>
        </r>
      </text>
    </comment>
    <comment ref="B46" authorId="0" shapeId="0" xr:uid="{1F7812A7-2FED-4C39-98F3-88AE749CA620}">
      <text>
        <r>
          <rPr>
            <b/>
            <sz val="9"/>
            <color indexed="81"/>
            <rFont val="Tahoma"/>
            <family val="2"/>
          </rPr>
          <t xml:space="preserve">taken from CHE -&gt; see explanation there 
&gt;based on </t>
        </r>
        <r>
          <rPr>
            <sz val="9"/>
            <color indexed="81"/>
            <rFont val="Tahoma"/>
            <family val="2"/>
          </rPr>
          <t>A standardized tool to calculate Carbon Footprint in ports, Universitat Politècnica de Catalunya</t>
        </r>
      </text>
    </comment>
    <comment ref="B57" authorId="0" shapeId="0" xr:uid="{67FE3A5C-89DA-4916-843A-B52972B7537F}">
      <text>
        <r>
          <rPr>
            <b/>
            <sz val="9"/>
            <color indexed="81"/>
            <rFont val="Tahoma"/>
            <family val="2"/>
          </rPr>
          <t xml:space="preserve">As reported by Finnpilot
</t>
        </r>
        <r>
          <rPr>
            <sz val="9"/>
            <color indexed="81"/>
            <rFont val="Tahoma"/>
            <family val="2"/>
          </rPr>
          <t>https://finnpilot.fi/wp-content/uploads/2022/03/Finnpilot_vuosikertomus_2021.pdf -&gt; sivu 29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 Kiehle</author>
  </authors>
  <commentList>
    <comment ref="R18" authorId="0" shapeId="0" xr:uid="{89E6FF0D-C872-4FB8-9FC6-B6E61146D415}">
      <text>
        <r>
          <rPr>
            <sz val="9"/>
            <color indexed="81"/>
            <rFont val="Tahoma"/>
            <family val="2"/>
          </rPr>
          <t xml:space="preserve">Activity hours of auxiliary engine are based on the ratio between aux and main engine operating hours per harbour craft type reported by PoLB
</t>
        </r>
      </text>
    </comment>
    <comment ref="O26" authorId="0" shapeId="0" xr:uid="{EF03BB21-5DE3-461D-B747-55CBBC1F2A90}">
      <text>
        <r>
          <rPr>
            <sz val="9"/>
            <color indexed="81"/>
            <rFont val="Tahoma"/>
            <family val="2"/>
          </rPr>
          <t>Apukoneen toimintatunnit perustuen apu- ja pääkoneen toimintatuntien suhteeseen per satama-alus PoLB:n raportoituna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 Kiehle</author>
  </authors>
  <commentList>
    <comment ref="H7" authorId="0" shapeId="0" xr:uid="{DED764D4-D9A4-430B-9410-3BAB4621551B}">
      <text>
        <r>
          <rPr>
            <b/>
            <sz val="9"/>
            <color indexed="81"/>
            <rFont val="Tahoma"/>
            <family val="2"/>
          </rPr>
          <t>VTT Lipasto</t>
        </r>
        <r>
          <rPr>
            <sz val="9"/>
            <color indexed="81"/>
            <rFont val="Tahoma"/>
            <family val="2"/>
          </rPr>
          <t xml:space="preserve">
http://lipasto.vtt.fi/yksikkopaastot/muut/tyokoneet/tyokoneet_litra.htm</t>
        </r>
      </text>
    </comment>
    <comment ref="M7" authorId="0" shapeId="0" xr:uid="{D666E83C-92B4-439B-874E-E8AF62E13150}">
      <text>
        <r>
          <rPr>
            <b/>
            <sz val="9"/>
            <color indexed="81"/>
            <rFont val="Tahoma"/>
            <family val="2"/>
          </rPr>
          <t xml:space="preserve">Based on:
</t>
        </r>
        <r>
          <rPr>
            <sz val="9"/>
            <color indexed="81"/>
            <rFont val="Tahoma"/>
            <family val="2"/>
          </rPr>
          <t>A standardized tool to calculate Carbon Footprint in ports, Universitat Politècnica de Catalunya</t>
        </r>
      </text>
    </comment>
    <comment ref="A14" authorId="0" shapeId="0" xr:uid="{924F4DAF-54F0-4F6B-90ED-F52398E45707}">
      <text>
        <r>
          <rPr>
            <b/>
            <sz val="9"/>
            <color indexed="81"/>
            <rFont val="Tahoma"/>
            <family val="2"/>
          </rPr>
          <t xml:space="preserve">FINGRID 
</t>
        </r>
        <r>
          <rPr>
            <sz val="9"/>
            <color indexed="81"/>
            <rFont val="Tahoma"/>
            <family val="2"/>
          </rPr>
          <t>Emission factor for electricity consumed in Finland (g CO2/kWh)
https://www.fingrid.fi/en/electricity-market/electricity-market-information/real-time-co2-emissions-estimate/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 Kiehle</author>
  </authors>
  <commentList>
    <comment ref="E10" authorId="0" shapeId="0" xr:uid="{1181F6AC-8647-4938-9047-328D1C7E0DE8}">
      <text>
        <r>
          <rPr>
            <b/>
            <sz val="9"/>
            <color indexed="81"/>
            <rFont val="Tahoma"/>
            <family val="2"/>
          </rPr>
          <t xml:space="preserve">Based on:
</t>
        </r>
        <r>
          <rPr>
            <sz val="9"/>
            <color indexed="81"/>
            <rFont val="Tahoma"/>
            <family val="2"/>
          </rPr>
          <t>A standardized tool to calculate Carbon Footprint in ports, Universitat Politècnica de Catalunya</t>
        </r>
      </text>
    </comment>
    <comment ref="C31" authorId="0" shapeId="0" xr:uid="{0BD4D503-922F-48D3-9510-95BE61EEEE12}">
      <text>
        <r>
          <rPr>
            <b/>
            <sz val="9"/>
            <color indexed="81"/>
            <rFont val="Tahoma"/>
            <family val="2"/>
          </rPr>
          <t>San Pedro Bay Ports_Emission Inventory Methodology Report 2019</t>
        </r>
      </text>
    </comment>
    <comment ref="C33" authorId="0" shapeId="0" xr:uid="{C5B376E2-B614-4176-A38B-BCE7B78945AF}">
      <text>
        <r>
          <rPr>
            <b/>
            <sz val="9"/>
            <color indexed="81"/>
            <rFont val="Tahoma"/>
            <family val="2"/>
          </rPr>
          <t xml:space="preserve">Port of Long Beach -&gt; </t>
        </r>
        <r>
          <rPr>
            <sz val="9"/>
            <color indexed="81"/>
            <rFont val="Tahoma"/>
            <family val="2"/>
          </rPr>
          <t xml:space="preserve">2019 Speed-Specific Composite Exhaust Emission Factors
</t>
        </r>
      </text>
    </comment>
    <comment ref="D33" authorId="0" shapeId="0" xr:uid="{0A347F87-66B6-48EE-A6C9-6E47F5BD4AAE}">
      <text>
        <r>
          <rPr>
            <b/>
            <sz val="9"/>
            <color indexed="81"/>
            <rFont val="Tahoma"/>
            <family val="2"/>
          </rPr>
          <t xml:space="preserve">Port of Long Beach -&gt; </t>
        </r>
        <r>
          <rPr>
            <sz val="9"/>
            <color indexed="81"/>
            <rFont val="Tahoma"/>
            <family val="2"/>
          </rPr>
          <t>2019 Speed-Specific Composite Exhaust Emission Factors</t>
        </r>
      </text>
    </comment>
    <comment ref="E33" authorId="0" shapeId="0" xr:uid="{C58C44E0-D700-4C8B-9562-7ADDFF48F134}">
      <text>
        <r>
          <rPr>
            <b/>
            <sz val="9"/>
            <color indexed="81"/>
            <rFont val="Tahoma"/>
            <family val="2"/>
          </rPr>
          <t xml:space="preserve">Port of Long Beach -&gt; </t>
        </r>
        <r>
          <rPr>
            <sz val="9"/>
            <color indexed="81"/>
            <rFont val="Tahoma"/>
            <family val="2"/>
          </rPr>
          <t>2019 Speed-Specific Composite Exhaust Emission Factors</t>
        </r>
      </text>
    </comment>
    <comment ref="B46" authorId="0" shapeId="0" xr:uid="{E6115E12-3F10-4EE7-9868-8122881486DE}">
      <text>
        <r>
          <rPr>
            <b/>
            <sz val="9"/>
            <color indexed="81"/>
            <rFont val="Tahoma"/>
            <family val="2"/>
          </rPr>
          <t xml:space="preserve">VTT LIPASTO
</t>
        </r>
        <r>
          <rPr>
            <sz val="9"/>
            <color indexed="81"/>
            <rFont val="Tahoma"/>
            <family val="2"/>
          </rPr>
          <t xml:space="preserve">
yleisin EURO kategoria on merkattu vihreellä (perustuen mailimäärän osuuteen vuonna 2016 Suomessa)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 Kiehle</author>
  </authors>
  <commentList>
    <comment ref="G9" authorId="0" shapeId="0" xr:uid="{9984DDD9-2068-4F76-AF0A-5458F4575872}">
      <text>
        <r>
          <rPr>
            <b/>
            <sz val="9"/>
            <color indexed="81"/>
            <rFont val="Tahoma"/>
            <family val="2"/>
          </rPr>
          <t xml:space="preserve">FINGRID 
</t>
        </r>
        <r>
          <rPr>
            <sz val="9"/>
            <color indexed="81"/>
            <rFont val="Tahoma"/>
            <family val="2"/>
          </rPr>
          <t>Emission factor for electricity consumed in Finland (g CO2/kWh)
https://www.fingrid.fi/en/electricity-market/electricity-market-information/real-time-co2-emissions-estimate/</t>
        </r>
      </text>
    </comment>
    <comment ref="G18" authorId="0" shapeId="0" xr:uid="{0A871681-925B-441A-833A-2928958F71F6}">
      <text>
        <r>
          <rPr>
            <b/>
            <sz val="9"/>
            <color indexed="81"/>
            <rFont val="Tahoma"/>
            <family val="2"/>
          </rPr>
          <t>VTT Lipasto</t>
        </r>
      </text>
    </comment>
    <comment ref="G33" authorId="0" shapeId="0" xr:uid="{206C5DE2-2ACC-4910-8885-7E6EC132F5A5}">
      <text>
        <r>
          <rPr>
            <b/>
            <sz val="9"/>
            <color indexed="81"/>
            <rFont val="Tahoma"/>
            <family val="2"/>
          </rPr>
          <t xml:space="preserve">Based on:
</t>
        </r>
        <r>
          <rPr>
            <sz val="9"/>
            <color indexed="81"/>
            <rFont val="Tahoma"/>
            <family val="2"/>
          </rPr>
          <t>A standardized tool to calculate Carbon Footprint in ports, Universitat Politècnica de Catalunya</t>
        </r>
      </text>
    </comment>
    <comment ref="B45" authorId="0" shapeId="0" xr:uid="{15DBAD2A-CD1E-4447-AAB6-334F60E15716}">
      <text>
        <r>
          <rPr>
            <b/>
            <sz val="9"/>
            <color indexed="81"/>
            <rFont val="Tahoma"/>
            <family val="2"/>
          </rPr>
          <t>GloMEEP Port Emissions Toolkit
Guide No.1: Assessment of port emissions</t>
        </r>
      </text>
    </comment>
    <comment ref="F46" authorId="0" shapeId="0" xr:uid="{758A47A3-AE11-4714-8834-495F0DE44E85}">
      <text>
        <r>
          <rPr>
            <b/>
            <sz val="9"/>
            <color indexed="81"/>
            <rFont val="Tahoma"/>
            <family val="2"/>
          </rPr>
          <t>Port of Long Beach</t>
        </r>
        <r>
          <rPr>
            <sz val="9"/>
            <color indexed="81"/>
            <rFont val="Tahoma"/>
            <family val="2"/>
          </rPr>
          <t xml:space="preserve"> - 2019 Air Emissions Inventory</t>
        </r>
      </text>
    </comment>
    <comment ref="F51" authorId="0" shapeId="0" xr:uid="{58BCA823-9830-4D6B-B2DC-4F619D01EBE4}">
      <text>
        <r>
          <rPr>
            <b/>
            <sz val="9"/>
            <color indexed="81"/>
            <rFont val="Tahoma"/>
            <family val="2"/>
          </rPr>
          <t xml:space="preserve">San Pedro Bay Ports - </t>
        </r>
        <r>
          <rPr>
            <sz val="9"/>
            <color indexed="81"/>
            <rFont val="Tahoma"/>
            <family val="2"/>
          </rPr>
          <t>Emissions Inventory Methodology Report</t>
        </r>
      </text>
    </comment>
    <comment ref="F54" authorId="0" shapeId="0" xr:uid="{1CE54CF9-392A-4670-84B2-731794D0F95E}">
      <text>
        <r>
          <rPr>
            <sz val="9"/>
            <color indexed="81"/>
            <rFont val="Tahoma"/>
            <family val="2"/>
          </rPr>
          <t>Tiers represent emission standards (in US)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 Kiehle</author>
  </authors>
  <commentList>
    <comment ref="D11" authorId="0" shapeId="0" xr:uid="{038209D9-BC71-4B56-B385-C628B03DFF7B}">
      <text>
        <r>
          <rPr>
            <b/>
            <sz val="9"/>
            <color indexed="81"/>
            <rFont val="Tahoma"/>
            <family val="2"/>
          </rPr>
          <t>juna tulee lastattuna, lähtee tyhjänä - juna tule tyhjä, lähtee täynnä/lastattuna (lasketaan yhdeksi junaksi)</t>
        </r>
      </text>
    </comment>
    <comment ref="C19" authorId="0" shapeId="0" xr:uid="{30C984CE-771F-4037-A56A-BC28FA4DFED1}">
      <text>
        <r>
          <rPr>
            <b/>
            <sz val="9"/>
            <color indexed="81"/>
            <rFont val="Tahoma"/>
            <family val="2"/>
          </rPr>
          <t>juna tulee lastattuna, lähtee tyhjänä - juna tule tyhjä, lähtee täynnä/lastattuna (lasketaan yhdeksi junaksi)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 Kiehle</author>
  </authors>
  <commentList>
    <comment ref="D13" authorId="0" shapeId="0" xr:uid="{5FB78E89-41EB-4E86-9519-BFB93FDAE795}">
      <text>
        <r>
          <rPr>
            <b/>
            <sz val="9"/>
            <color indexed="81"/>
            <rFont val="Tahoma"/>
            <family val="2"/>
          </rPr>
          <t>juna tulee lastattuna, lähtee tyhjänä - juna tule tyhjä, lähtee täynnä/lastattuna (lasketaan yhdeksi junaksi)</t>
        </r>
      </text>
    </comment>
    <comment ref="C20" authorId="0" shapeId="0" xr:uid="{68E07236-A1EF-4C8E-8D90-991498D12820}">
      <text>
        <r>
          <rPr>
            <b/>
            <sz val="9"/>
            <color indexed="81"/>
            <rFont val="Tahoma"/>
            <family val="2"/>
          </rPr>
          <t>juna tulee lastattuna, lähtee tyhjänä - juna tule tyhjä, lähtee täynnä/lastattuna (lasketaan yhdeksi junaksi)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 Kiehle</author>
  </authors>
  <commentList>
    <comment ref="B9" authorId="0" shapeId="0" xr:uid="{88AF1D7C-FF66-4ABD-856F-DD973138D995}">
      <text>
        <r>
          <rPr>
            <b/>
            <sz val="9"/>
            <color indexed="81"/>
            <rFont val="Tahoma"/>
            <family val="2"/>
          </rPr>
          <t xml:space="preserve">Based on:
</t>
        </r>
        <r>
          <rPr>
            <sz val="9"/>
            <color indexed="81"/>
            <rFont val="Tahoma"/>
            <family val="2"/>
          </rPr>
          <t>A standardized tool to calculate Carbon Footprint in ports, Universitat Politècnica de Catalunya</t>
        </r>
      </text>
    </comment>
    <comment ref="A42" authorId="0" shapeId="0" xr:uid="{B8592F1F-7D26-4AFC-B1CE-9541511D250B}">
      <text>
        <r>
          <rPr>
            <b/>
            <sz val="9"/>
            <color indexed="81"/>
            <rFont val="Tahoma"/>
            <family val="2"/>
          </rPr>
          <t>Based on:</t>
        </r>
        <r>
          <rPr>
            <sz val="9"/>
            <color indexed="81"/>
            <rFont val="Tahoma"/>
            <family val="2"/>
          </rPr>
          <t xml:space="preserve">
A standardized tool to calculate Carbon Footprint in ports, Universitat Politècnica de Catalunya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 Kiehle</author>
  </authors>
  <commentList>
    <comment ref="A4" authorId="0" shapeId="0" xr:uid="{38F8A058-6DE6-4004-94CB-154DD4451C96}">
      <text>
        <r>
          <rPr>
            <b/>
            <sz val="9"/>
            <color indexed="81"/>
            <rFont val="Tahoma"/>
            <family val="2"/>
          </rPr>
          <t xml:space="preserve">Based on:
</t>
        </r>
        <r>
          <rPr>
            <sz val="9"/>
            <color indexed="81"/>
            <rFont val="Tahoma"/>
            <family val="2"/>
          </rPr>
          <t>A standardized tool to calculate Carbon Footprint in ports, Universitat Politècnica de Catalunya</t>
        </r>
      </text>
    </comment>
    <comment ref="O4" authorId="0" shapeId="0" xr:uid="{C48B8B6D-B72B-4ECD-AA10-9E8D78E84497}">
      <text>
        <r>
          <rPr>
            <b/>
            <sz val="9"/>
            <color indexed="81"/>
            <rFont val="Tahoma"/>
            <family val="2"/>
          </rPr>
          <t xml:space="preserve">VTT Lipasto
</t>
        </r>
        <r>
          <rPr>
            <sz val="9"/>
            <color indexed="81"/>
            <rFont val="Tahoma"/>
            <family val="2"/>
          </rPr>
          <t>(Suomi)</t>
        </r>
      </text>
    </comment>
    <comment ref="S6" authorId="0" shapeId="0" xr:uid="{DF301118-B5EA-4EB6-B774-C65992965C66}">
      <text>
        <r>
          <rPr>
            <b/>
            <sz val="9"/>
            <color indexed="81"/>
            <rFont val="Tahoma"/>
            <family val="2"/>
          </rPr>
          <t>Tilastokeskus</t>
        </r>
      </text>
    </comment>
    <comment ref="A8" authorId="0" shapeId="0" xr:uid="{D2B72BE1-4607-4ED0-952C-91084E2144CA}">
      <text>
        <r>
          <rPr>
            <b/>
            <sz val="9"/>
            <color indexed="81"/>
            <rFont val="Tahoma"/>
            <family val="2"/>
          </rPr>
          <t xml:space="preserve">Based on:
</t>
        </r>
        <r>
          <rPr>
            <sz val="9"/>
            <color indexed="81"/>
            <rFont val="Tahoma"/>
            <family val="2"/>
          </rPr>
          <t>A standardized tool to calculate Carbon Footprint in ports, Universitat Politècnica de Catalunya</t>
        </r>
      </text>
    </comment>
    <comment ref="E15" authorId="0" shapeId="0" xr:uid="{9C1A1298-40FF-4814-8D8F-C12798C35580}">
      <text>
        <r>
          <rPr>
            <b/>
            <sz val="9"/>
            <color indexed="81"/>
            <rFont val="Tahoma"/>
            <family val="2"/>
          </rPr>
          <t xml:space="preserve">Based on:
</t>
        </r>
        <r>
          <rPr>
            <sz val="9"/>
            <color indexed="81"/>
            <rFont val="Tahoma"/>
            <family val="2"/>
          </rPr>
          <t>A standardized tool to calculate Carbon Footprint in ports, Universitat Politècnica de Catalunya</t>
        </r>
      </text>
    </comment>
    <comment ref="P22" authorId="0" shapeId="0" xr:uid="{7DEA08A1-155D-4F42-A723-6A0A81EADC02}">
      <text>
        <r>
          <rPr>
            <b/>
            <sz val="9"/>
            <color indexed="81"/>
            <rFont val="Tahoma"/>
            <family val="2"/>
          </rPr>
          <t>saatavana pääasiassa vuoden 2010 jälkeen</t>
        </r>
      </text>
    </comment>
    <comment ref="R28" authorId="0" shapeId="0" xr:uid="{D36CD750-A451-4F4D-AB72-7FE01D13DDA0}">
      <text>
        <r>
          <rPr>
            <b/>
            <sz val="9"/>
            <color indexed="81"/>
            <rFont val="Tahoma"/>
            <family val="2"/>
          </rPr>
          <t>average of years 2010 to 2014 (no EURO category in database)</t>
        </r>
      </text>
    </comment>
    <comment ref="R29" authorId="0" shapeId="0" xr:uid="{BFFCABC0-60EF-47E4-BE20-A2B640850954}">
      <text>
        <r>
          <rPr>
            <b/>
            <sz val="9"/>
            <color indexed="81"/>
            <rFont val="Tahoma"/>
            <family val="2"/>
          </rPr>
          <t>average of years 2015 and 2016 (no EURO category in database)</t>
        </r>
      </text>
    </comment>
    <comment ref="R30" authorId="0" shapeId="0" xr:uid="{CC8E5B84-4EB1-4E00-BD6C-32C6F6A6A101}">
      <text>
        <r>
          <rPr>
            <b/>
            <sz val="9"/>
            <color indexed="81"/>
            <rFont val="Tahoma"/>
            <family val="2"/>
          </rPr>
          <t>g CO2e/km (not passenger km)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 Kiehle</author>
  </authors>
  <commentList>
    <comment ref="F12" authorId="0" shapeId="0" xr:uid="{4EE17FEF-7763-4702-A674-628AF327E5A1}">
      <text>
        <r>
          <rPr>
            <sz val="9"/>
            <color indexed="81"/>
            <rFont val="Tahoma"/>
            <family val="2"/>
          </rPr>
          <t xml:space="preserve">Bensiini
Diesel
Sähkö
Hybriidi
</t>
        </r>
      </text>
    </comment>
    <comment ref="G12" authorId="0" shapeId="0" xr:uid="{2BCA3791-0F2F-43FD-AF4E-2D4FFBA40AAC}">
      <text>
        <r>
          <rPr>
            <sz val="9"/>
            <color indexed="81"/>
            <rFont val="Tahoma"/>
            <family val="2"/>
          </rPr>
          <t>Paineistettu maakaasu
Biokaasu
Korkealaatuinen etanoli</t>
        </r>
      </text>
    </comment>
    <comment ref="F25" authorId="0" shapeId="0" xr:uid="{85B8F6C1-853C-402C-AF89-6ECFCCDA3F6C}">
      <text>
        <r>
          <rPr>
            <sz val="9"/>
            <color indexed="81"/>
            <rFont val="Tahoma"/>
            <family val="2"/>
          </rPr>
          <t xml:space="preserve">Petrol
Diesel
CNG
LPG
</t>
        </r>
      </text>
    </comment>
    <comment ref="D42" authorId="0" shapeId="0" xr:uid="{57FC7BC0-3A8F-4141-9F13-47B95605454D}">
      <text>
        <r>
          <rPr>
            <b/>
            <sz val="9"/>
            <color indexed="81"/>
            <rFont val="Tahoma"/>
            <family val="2"/>
          </rPr>
          <t>tavanomaisia työviikkoja vuodessa: 48</t>
        </r>
      </text>
    </comment>
    <comment ref="G42" authorId="0" shapeId="0" xr:uid="{6324F6CB-90E4-4F39-8BC8-4AAAE7BBA5B7}">
      <text>
        <r>
          <rPr>
            <sz val="9"/>
            <color indexed="81"/>
            <rFont val="Tahoma"/>
            <family val="2"/>
          </rPr>
          <t xml:space="preserve">Petrol
Diesel
Electricity
PHEV
</t>
        </r>
      </text>
    </comment>
    <comment ref="H42" authorId="0" shapeId="0" xr:uid="{78BE469C-00EF-44D9-B973-74C2ACD47A69}">
      <text>
        <r>
          <rPr>
            <sz val="9"/>
            <color indexed="81"/>
            <rFont val="Tahoma"/>
            <family val="2"/>
          </rPr>
          <t>CNG
Biogas
High-blend ethanol</t>
        </r>
      </text>
    </comment>
    <comment ref="N42" authorId="0" shapeId="0" xr:uid="{A0E9BA42-53DE-40EA-B4B6-AE0EE5101A79}">
      <text>
        <r>
          <rPr>
            <b/>
            <sz val="9"/>
            <color indexed="81"/>
            <rFont val="Tahoma"/>
            <family val="2"/>
          </rPr>
          <t>tavanomaisia työviikkoja vuodessa: 48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 Kiehle</author>
  </authors>
  <commentList>
    <comment ref="D44" authorId="0" shapeId="0" xr:uid="{B694E882-8D99-4706-82EC-9CD5BFCDF063}">
      <text>
        <r>
          <rPr>
            <b/>
            <sz val="9"/>
            <color indexed="81"/>
            <rFont val="Tahoma"/>
            <family val="2"/>
          </rPr>
          <t>tavanomaisia työviikkoja vuodessa: 48</t>
        </r>
      </text>
    </comment>
    <comment ref="J44" authorId="0" shapeId="0" xr:uid="{15D989D3-E6E1-42E6-AAAE-005F842AFBEC}">
      <text>
        <r>
          <rPr>
            <b/>
            <sz val="9"/>
            <color indexed="81"/>
            <rFont val="Tahoma"/>
            <family val="2"/>
          </rPr>
          <t>tavanomaisia työviikkoja vuodessa: 48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 Kiehle</author>
  </authors>
  <commentList>
    <comment ref="A14" authorId="0" shapeId="0" xr:uid="{97A27A19-025A-4BE0-9DEC-07BFBA4A6A20}">
      <text>
        <r>
          <rPr>
            <b/>
            <sz val="9"/>
            <color indexed="81"/>
            <rFont val="Tahoma"/>
            <family val="2"/>
          </rPr>
          <t xml:space="preserve">Based on:
</t>
        </r>
        <r>
          <rPr>
            <sz val="9"/>
            <color indexed="81"/>
            <rFont val="Tahoma"/>
            <family val="2"/>
          </rPr>
          <t>A standardized tool to calculate Carbon Footprint in ports, Universitat Politècnica de Catalunya</t>
        </r>
      </text>
    </comment>
  </commentList>
</comments>
</file>

<file path=xl/sharedStrings.xml><?xml version="1.0" encoding="utf-8"?>
<sst xmlns="http://schemas.openxmlformats.org/spreadsheetml/2006/main" count="1935" uniqueCount="930">
  <si>
    <t>HIILIJALANJÄLKI - Yhteenvetosivu</t>
  </si>
  <si>
    <t>X:n</t>
  </si>
  <si>
    <t>satama</t>
  </si>
  <si>
    <t>NAVIGOINTIPANEELI</t>
  </si>
  <si>
    <t>TULOKSET</t>
  </si>
  <si>
    <t>// Klikkaamalla painiketta sinut ohjataan tietylle sivulle lisäämään tietoja.</t>
  </si>
  <si>
    <t>Scope</t>
  </si>
  <si>
    <t>Päästöluokat</t>
  </si>
  <si>
    <t>Päästöt</t>
  </si>
  <si>
    <t>Prosenttiosuus hiilijalanjäljestä</t>
  </si>
  <si>
    <t>Hiilijalanjälki</t>
  </si>
  <si>
    <t>t CO2e</t>
  </si>
  <si>
    <t>%</t>
  </si>
  <si>
    <t>Scope 1</t>
  </si>
  <si>
    <t>Oma autokanta</t>
  </si>
  <si>
    <t>Sataman kapasiteetit</t>
  </si>
  <si>
    <t>Omat satama-alukset</t>
  </si>
  <si>
    <t>miljoona tonnia</t>
  </si>
  <si>
    <t>Omat kiinteät energialähteet</t>
  </si>
  <si>
    <t>Scope 2</t>
  </si>
  <si>
    <t>Energiankulutus</t>
  </si>
  <si>
    <t>TEU</t>
  </si>
  <si>
    <t>Scope 3</t>
  </si>
  <si>
    <t>Valtamerialukset</t>
  </si>
  <si>
    <t>Vuositulot</t>
  </si>
  <si>
    <t>miljoona euroa</t>
  </si>
  <si>
    <t>Satama-alukset</t>
  </si>
  <si>
    <t>Hiilijalanjälki kapasiteettia kohti</t>
  </si>
  <si>
    <t xml:space="preserve">t CO2e/miljoona tonnia </t>
  </si>
  <si>
    <t>Raskaat ajoneuvot/Kuorma-autot</t>
  </si>
  <si>
    <t>t CO2e/alusten saapuminen</t>
  </si>
  <si>
    <t>t CO2e/TEU</t>
  </si>
  <si>
    <t>Kiinteät energialähteet</t>
  </si>
  <si>
    <t>t CO2e/miljoona euroa</t>
  </si>
  <si>
    <t>Työntekijöiden työmatkaliikenne</t>
  </si>
  <si>
    <t>Yhteensä</t>
  </si>
  <si>
    <t>Yksinkertaistetut päästöluokat</t>
  </si>
  <si>
    <t>1.) Alukset</t>
  </si>
  <si>
    <t>2.) Raskas koneisto</t>
  </si>
  <si>
    <t>3.) Liikenne</t>
  </si>
  <si>
    <t>4.) Sataman oma</t>
  </si>
  <si>
    <t>5.) Satama-alue</t>
  </si>
  <si>
    <t>Raskaat ajoneuvot</t>
  </si>
  <si>
    <t>Kiinteät energialaitteet</t>
  </si>
  <si>
    <t>Työntekijoiden matkustaminen</t>
  </si>
  <si>
    <t>Omat kiinteät energilähteet</t>
  </si>
  <si>
    <t>ENERGIA</t>
  </si>
  <si>
    <t>*Scope 2: Satamalaitoksen energiaan liittyvät, epäsuorat päästöt | Scope 3: Satamavuokralaisten energiaan liittyvät, epäsuorat päästöt</t>
  </si>
  <si>
    <t>Sähkönkulutus &amp; alusten sähkönkulutus laiturissa</t>
  </si>
  <si>
    <t>o Vain satamalaitosten rakennusten, ajoneuvojen ja koneiden sähkönkulutus (ei satamavuokralaisille myytyä sähköä)</t>
  </si>
  <si>
    <r>
      <rPr>
        <b/>
        <sz val="12"/>
        <color rgb="FFFF0000"/>
        <rFont val="Calibri"/>
        <family val="2"/>
        <scheme val="minor"/>
      </rPr>
      <t>Sähkönkulutuksen päästöt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= </t>
    </r>
    <r>
      <rPr>
        <sz val="12"/>
        <color theme="9" tint="-0.249977111117893"/>
        <rFont val="Calibri"/>
        <family val="2"/>
        <scheme val="minor"/>
      </rPr>
      <t>Kulutus (kWh/vuosi)</t>
    </r>
    <r>
      <rPr>
        <sz val="12"/>
        <color theme="1"/>
        <rFont val="Calibri"/>
        <family val="2"/>
        <scheme val="minor"/>
      </rPr>
      <t xml:space="preserve"> x </t>
    </r>
    <r>
      <rPr>
        <sz val="12"/>
        <color theme="5"/>
        <rFont val="Calibri"/>
        <family val="2"/>
        <scheme val="minor"/>
      </rPr>
      <t>Päästökerroin (g CO2e/kWh)</t>
    </r>
  </si>
  <si>
    <t>Päästökertoimet_Suomi</t>
  </si>
  <si>
    <t>Energian tyyppi</t>
  </si>
  <si>
    <t>vuosi</t>
  </si>
  <si>
    <t>Päästökerroin (g CO2/kWh)</t>
  </si>
  <si>
    <t>100% uusiutuvaa energiaa</t>
  </si>
  <si>
    <t>hiilineutraalia energiaa</t>
  </si>
  <si>
    <t>Suomen keskiarvo</t>
  </si>
  <si>
    <t>Oma arvo</t>
  </si>
  <si>
    <t>Kaukolämmön kulutus</t>
  </si>
  <si>
    <t>o Vain lämmityslaitteista, jotka eivät ole satamassa tai eivät ole sataman omistuksessa</t>
  </si>
  <si>
    <r>
      <rPr>
        <b/>
        <sz val="12"/>
        <color rgb="FFFF0000"/>
        <rFont val="Calibri"/>
        <family val="2"/>
        <scheme val="minor"/>
      </rPr>
      <t>Kaukolämmön kulutuksen päästöt</t>
    </r>
    <r>
      <rPr>
        <sz val="12"/>
        <color theme="1"/>
        <rFont val="Calibri"/>
        <family val="2"/>
        <scheme val="minor"/>
      </rPr>
      <t xml:space="preserve"> = </t>
    </r>
    <r>
      <rPr>
        <sz val="12"/>
        <color theme="9" tint="-0.249977111117893"/>
        <rFont val="Calibri"/>
        <family val="2"/>
        <scheme val="minor"/>
      </rPr>
      <t>Kulutus (kWh/year)</t>
    </r>
    <r>
      <rPr>
        <sz val="12"/>
        <color theme="1"/>
        <rFont val="Calibri"/>
        <family val="2"/>
        <scheme val="minor"/>
      </rPr>
      <t xml:space="preserve"> x </t>
    </r>
    <r>
      <rPr>
        <sz val="12"/>
        <color theme="5"/>
        <rFont val="Calibri"/>
        <family val="2"/>
        <scheme val="minor"/>
      </rPr>
      <t>Päästökerroin (g CO2e/kWh)</t>
    </r>
  </si>
  <si>
    <t>*jos mahdollista, tulee käyttää paikallista päästökerrointa, muuten Suomen keskiarvoa</t>
  </si>
  <si>
    <t>Paikallinen päästökerroin</t>
  </si>
  <si>
    <t>Alue</t>
  </si>
  <si>
    <t>Oulu (Oulun Energia)</t>
  </si>
  <si>
    <t>Muut sekundaariset energialähteet</t>
  </si>
  <si>
    <t>o Jäähdytys (esim. kaukojäähdytys, kylmäaineet)</t>
  </si>
  <si>
    <t>o Höyryvoima (käytetään satamalaitosten rakennuksissa)</t>
  </si>
  <si>
    <t>o jäteveden käsittely</t>
  </si>
  <si>
    <r>
      <rPr>
        <b/>
        <sz val="12"/>
        <color rgb="FFFF0000"/>
        <rFont val="Calibri"/>
        <family val="2"/>
        <scheme val="minor"/>
      </rPr>
      <t>Sekundaarisista energialähteistä peräisin olevat päästöt</t>
    </r>
    <r>
      <rPr>
        <sz val="12"/>
        <color theme="1"/>
        <rFont val="Calibri"/>
        <family val="2"/>
        <scheme val="minor"/>
      </rPr>
      <t xml:space="preserve"> = Kulutus x Päästökerroin</t>
    </r>
  </si>
  <si>
    <t>VESI</t>
  </si>
  <si>
    <r>
      <t xml:space="preserve">Kulutus </t>
    </r>
    <r>
      <rPr>
        <b/>
        <sz val="11"/>
        <color theme="1"/>
        <rFont val="Calibri"/>
        <family val="2"/>
        <scheme val="minor"/>
      </rPr>
      <t>(m3)</t>
    </r>
  </si>
  <si>
    <t>Päästökerroin</t>
  </si>
  <si>
    <t>Tyyppi</t>
  </si>
  <si>
    <t>kg CO2/m3</t>
  </si>
  <si>
    <t>puhdas vesi</t>
  </si>
  <si>
    <t>Puhdas vesi</t>
  </si>
  <si>
    <t>jätevesi</t>
  </si>
  <si>
    <t>Jätevesi</t>
  </si>
  <si>
    <t>Yleinen</t>
  </si>
  <si>
    <t>Höyry</t>
  </si>
  <si>
    <t>*Teollinen höyryntuotanto - erillinen tuotanto ja yhdistetty sähkön ja lämmön tuotanto (teollisuus)</t>
  </si>
  <si>
    <r>
      <t xml:space="preserve">Kulutus </t>
    </r>
    <r>
      <rPr>
        <b/>
        <sz val="11"/>
        <color theme="1"/>
        <rFont val="Calibri"/>
        <family val="2"/>
        <scheme val="minor"/>
      </rPr>
      <t>(kWh)</t>
    </r>
  </si>
  <si>
    <t>Laskenta</t>
  </si>
  <si>
    <t xml:space="preserve">// Laskentataulukko - Tiedot täytetään automaattisesti "Energia"-sivun tiedoista riippuen. </t>
  </si>
  <si>
    <t xml:space="preserve">     Huolellinen harkinta on tarpeen, jos laskelmaan suunnitellaan muutoksia. Kätettyjä kertoimia voidaan muuttaa "Energia_fx"- sivulla.</t>
  </si>
  <si>
    <t>SCOPE 2 - Satamalaitoksen energiaan liittyvät, epäsuorat päästöt</t>
  </si>
  <si>
    <t>Sähkö</t>
  </si>
  <si>
    <t>Kuluttaja/Mittauspiste</t>
  </si>
  <si>
    <t>Sähkönkulutus (kWh)</t>
  </si>
  <si>
    <t>Sähkön tyyppi</t>
  </si>
  <si>
    <t>Päästökerroin (g CO2e/kWh)</t>
  </si>
  <si>
    <t>Päästöt (t CO2e)</t>
  </si>
  <si>
    <t>Energiankulutus (kWh)</t>
  </si>
  <si>
    <t>Vesi</t>
  </si>
  <si>
    <t>Vedenkulutus (m3)</t>
  </si>
  <si>
    <t>Päästökerrion (kg CO2e/m3)</t>
  </si>
  <si>
    <t>Päästöt - Scope 2</t>
  </si>
  <si>
    <t>Päästöt - Scope 3</t>
  </si>
  <si>
    <t xml:space="preserve">     Jos energiankulutus on saatavilla vain laskujen perusteella, kulutuksen laskennassa voidaan käyttää energian hintaa (€/kWh) ja vuosilaskua.</t>
  </si>
  <si>
    <t xml:space="preserve">     Perustana voidaan käyttää EVISA:n energiaselvityksen tietoja.</t>
  </si>
  <si>
    <t>VALTAMERIALUKSET</t>
  </si>
  <si>
    <r>
      <rPr>
        <b/>
        <sz val="14"/>
        <color rgb="FFFF0000"/>
        <rFont val="Calibri"/>
        <family val="2"/>
        <scheme val="minor"/>
      </rPr>
      <t>Päästöt VMA</t>
    </r>
    <r>
      <rPr>
        <b/>
        <sz val="14"/>
        <color theme="1"/>
        <rFont val="Calibri"/>
        <family val="2"/>
        <scheme val="minor"/>
      </rPr>
      <t xml:space="preserve"> = </t>
    </r>
    <r>
      <rPr>
        <b/>
        <sz val="14"/>
        <color theme="7" tint="-0.249977111117893"/>
        <rFont val="Calibri"/>
        <family val="2"/>
        <scheme val="minor"/>
      </rPr>
      <t xml:space="preserve">Päästöt </t>
    </r>
    <r>
      <rPr>
        <b/>
        <i/>
        <sz val="14"/>
        <color theme="7" tint="-0.249977111117893"/>
        <rFont val="Calibri"/>
        <family val="2"/>
        <scheme val="minor"/>
      </rPr>
      <t>Ohjailu</t>
    </r>
    <r>
      <rPr>
        <b/>
        <sz val="14"/>
        <color theme="1"/>
        <rFont val="Calibri"/>
        <family val="2"/>
        <scheme val="minor"/>
      </rPr>
      <t xml:space="preserve"> + </t>
    </r>
    <r>
      <rPr>
        <b/>
        <sz val="14"/>
        <color theme="9" tint="-0.249977111117893"/>
        <rFont val="Calibri"/>
        <family val="2"/>
        <scheme val="minor"/>
      </rPr>
      <t xml:space="preserve">Päästöt </t>
    </r>
    <r>
      <rPr>
        <b/>
        <i/>
        <sz val="14"/>
        <color theme="9" tint="-0.249977111117893"/>
        <rFont val="Calibri"/>
        <family val="2"/>
        <scheme val="minor"/>
      </rPr>
      <t>Laiturissa</t>
    </r>
    <r>
      <rPr>
        <b/>
        <sz val="14"/>
        <color theme="9" tint="-0.249977111117893"/>
        <rFont val="Calibri"/>
        <family val="2"/>
        <scheme val="minor"/>
      </rPr>
      <t xml:space="preserve"> </t>
    </r>
  </si>
  <si>
    <t>GWP (IPCC)</t>
  </si>
  <si>
    <t>CO2</t>
  </si>
  <si>
    <t>CH4</t>
  </si>
  <si>
    <t>N2O</t>
  </si>
  <si>
    <t>Ohjailu</t>
  </si>
  <si>
    <t>Laiturissa</t>
  </si>
  <si>
    <t>(satamassa &amp; sataman hallinnassa olevalla aluella - satamaan saapuminen ja lähtö satamasta)</t>
  </si>
  <si>
    <t>(alus on laiturissa tai ankkuroitu)</t>
  </si>
  <si>
    <t>o pääkone: pieni kuormitus - hitain nopeus - alhainen polttoaineenkulutus</t>
  </si>
  <si>
    <t>o pääkone: pois päältä</t>
  </si>
  <si>
    <t>o apukone: suurin kuormitus - korkea polttoaineenkulutus</t>
  </si>
  <si>
    <t>o apukone: käynnissä - suuri kuormitus, jos itsepurkava alus - polttoainekulutus -&gt; keskitasoista korkeaan</t>
  </si>
  <si>
    <t>o apuboileri: mahdollisesti käynnissä - alhainen polttoaineenkulutus</t>
  </si>
  <si>
    <t>o apuboileri: yleensä käynnissä - polttoainekulutus -&gt; keskitasoista korkeaan</t>
  </si>
  <si>
    <r>
      <t xml:space="preserve">Päästöt = </t>
    </r>
    <r>
      <rPr>
        <b/>
        <sz val="12"/>
        <color theme="1"/>
        <rFont val="Calibri"/>
        <family val="2"/>
        <scheme val="minor"/>
      </rPr>
      <t xml:space="preserve">Energian kysyntä </t>
    </r>
    <r>
      <rPr>
        <b/>
        <i/>
        <sz val="12"/>
        <color theme="1"/>
        <rFont val="Calibri"/>
        <family val="2"/>
        <scheme val="minor"/>
      </rPr>
      <t>Ohjailu</t>
    </r>
    <r>
      <rPr>
        <sz val="12"/>
        <color theme="1"/>
        <rFont val="Calibri"/>
        <family val="2"/>
        <scheme val="minor"/>
      </rPr>
      <t xml:space="preserve"> [kWh] x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theme="5"/>
        <rFont val="Calibri"/>
        <family val="2"/>
        <scheme val="minor"/>
      </rPr>
      <t>Päästökerroin</t>
    </r>
    <r>
      <rPr>
        <sz val="12"/>
        <color theme="5"/>
        <rFont val="Calibri"/>
        <family val="2"/>
        <scheme val="minor"/>
      </rPr>
      <t xml:space="preserve"> [g CO2e/kWh]</t>
    </r>
  </si>
  <si>
    <r>
      <t xml:space="preserve">Päästöt = </t>
    </r>
    <r>
      <rPr>
        <b/>
        <sz val="12"/>
        <color theme="1"/>
        <rFont val="Calibri"/>
        <family val="2"/>
        <scheme val="minor"/>
      </rPr>
      <t xml:space="preserve">Energian kysyntä </t>
    </r>
    <r>
      <rPr>
        <b/>
        <i/>
        <sz val="12"/>
        <color theme="1"/>
        <rFont val="Calibri"/>
        <family val="2"/>
        <scheme val="minor"/>
      </rPr>
      <t>Laiturissa</t>
    </r>
    <r>
      <rPr>
        <sz val="12"/>
        <color theme="1"/>
        <rFont val="Calibri"/>
        <family val="2"/>
        <scheme val="minor"/>
      </rPr>
      <t xml:space="preserve"> [kWh] x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theme="5"/>
        <rFont val="Calibri"/>
        <family val="2"/>
        <scheme val="minor"/>
      </rPr>
      <t>Päästökerroin</t>
    </r>
    <r>
      <rPr>
        <sz val="12"/>
        <color theme="5"/>
        <rFont val="Calibri"/>
        <family val="2"/>
        <scheme val="minor"/>
      </rPr>
      <t xml:space="preserve"> [g CO2e/kWh]</t>
    </r>
  </si>
  <si>
    <t>*harkitse polttoaineen korjauskertoimia ja päästöjen vähentämistekniikoiden ohjauskertoimia, tarvittaessa</t>
  </si>
  <si>
    <r>
      <rPr>
        <sz val="12"/>
        <color theme="7" tint="-0.249977111117893"/>
        <rFont val="Calibri"/>
        <family val="2"/>
        <scheme val="minor"/>
      </rPr>
      <t xml:space="preserve">Energia kysyntä </t>
    </r>
    <r>
      <rPr>
        <i/>
        <sz val="12"/>
        <color theme="7" tint="-0.249977111117893"/>
        <rFont val="Calibri"/>
        <family val="2"/>
        <scheme val="minor"/>
      </rPr>
      <t>Ohjailu</t>
    </r>
    <r>
      <rPr>
        <i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= Kuormitus</t>
    </r>
    <r>
      <rPr>
        <i/>
        <sz val="12"/>
        <color theme="1"/>
        <rFont val="Calibri"/>
        <family val="2"/>
        <scheme val="minor"/>
      </rPr>
      <t xml:space="preserve"> konetta/boileria kohti</t>
    </r>
    <r>
      <rPr>
        <sz val="12"/>
        <color theme="1"/>
        <rFont val="Calibri"/>
        <family val="2"/>
        <scheme val="minor"/>
      </rPr>
      <t xml:space="preserve"> [kW] x Toiminta [tuntia]</t>
    </r>
  </si>
  <si>
    <r>
      <rPr>
        <sz val="12"/>
        <color theme="9"/>
        <rFont val="Calibri"/>
        <family val="2"/>
        <scheme val="minor"/>
      </rPr>
      <t xml:space="preserve">Energian kysyntä </t>
    </r>
    <r>
      <rPr>
        <i/>
        <sz val="12"/>
        <color theme="9"/>
        <rFont val="Calibri"/>
        <family val="2"/>
        <scheme val="minor"/>
      </rPr>
      <t>Laiturissa</t>
    </r>
    <r>
      <rPr>
        <i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= LKuormitusoad</t>
    </r>
    <r>
      <rPr>
        <i/>
        <sz val="12"/>
        <color theme="1"/>
        <rFont val="Calibri"/>
        <family val="2"/>
        <scheme val="minor"/>
      </rPr>
      <t xml:space="preserve"> konetta/boileria kohti</t>
    </r>
    <r>
      <rPr>
        <sz val="12"/>
        <color theme="1"/>
        <rFont val="Calibri"/>
        <family val="2"/>
        <scheme val="minor"/>
      </rPr>
      <t xml:space="preserve"> [kW] x Toiminta [tuntia]</t>
    </r>
  </si>
  <si>
    <t>Toiminta: Ohjailuaika -&gt; jos ei ole tiedossa: arvio, joka perustuu aluksen nopeuteen ja matkaan mereltä satamaan</t>
  </si>
  <si>
    <t>Toiminta: Aika laiturissa -&gt; laiturissa (tai ankkurissa) oleskelun keston perusteella</t>
  </si>
  <si>
    <r>
      <t xml:space="preserve">Kuormitus </t>
    </r>
    <r>
      <rPr>
        <i/>
        <sz val="12"/>
        <color theme="4" tint="-0.249977111117893"/>
        <rFont val="Calibri"/>
        <family val="2"/>
        <scheme val="minor"/>
      </rPr>
      <t>Pääkone</t>
    </r>
    <r>
      <rPr>
        <sz val="12"/>
        <color theme="4" tint="-0.249977111117893"/>
        <rFont val="Calibri"/>
        <family val="2"/>
        <scheme val="minor"/>
      </rPr>
      <t xml:space="preserve"> = MCR [kW] x Kuormitusaste</t>
    </r>
  </si>
  <si>
    <r>
      <t xml:space="preserve">Kuormitus </t>
    </r>
    <r>
      <rPr>
        <i/>
        <sz val="12"/>
        <color theme="4" tint="-0.249977111117893"/>
        <rFont val="Calibri"/>
        <family val="2"/>
        <scheme val="minor"/>
      </rPr>
      <t xml:space="preserve">Pääkone </t>
    </r>
    <r>
      <rPr>
        <sz val="12"/>
        <color theme="4" tint="-0.249977111117893"/>
        <rFont val="Calibri"/>
        <family val="2"/>
        <scheme val="minor"/>
      </rPr>
      <t>= MCR [kW] x Kuormitusaste</t>
    </r>
  </si>
  <si>
    <t>MCR -&gt; maximum continuous rating (suurin jatkuva teho) -&gt; tunnettu pääkoneteho</t>
  </si>
  <si>
    <t>PÄÄSTÖKERTOIMET</t>
  </si>
  <si>
    <t>MCR -&gt; maximum continuous rating (suurin jatkuva teho) -&gt; tunnettu apukoneteho ja boileriteho</t>
  </si>
  <si>
    <t>polttoaine: HFO, 2.7% rikki</t>
  </si>
  <si>
    <t>KUORMITUSASTE</t>
  </si>
  <si>
    <t>Konetyyppi</t>
  </si>
  <si>
    <t>Pääkone</t>
  </si>
  <si>
    <t>Apukone</t>
  </si>
  <si>
    <t>g CO2e/kWh</t>
  </si>
  <si>
    <t>Laiturissa (Säiliöalus)</t>
  </si>
  <si>
    <t>slow speed diesel</t>
  </si>
  <si>
    <t>-</t>
  </si>
  <si>
    <t>medium speed diesel</t>
  </si>
  <si>
    <t>high speed diesel</t>
  </si>
  <si>
    <t>LNG (Otto)</t>
  </si>
  <si>
    <r>
      <t xml:space="preserve">Kuormitus </t>
    </r>
    <r>
      <rPr>
        <i/>
        <sz val="12"/>
        <color theme="4" tint="-0.249977111117893"/>
        <rFont val="Calibri"/>
        <family val="2"/>
        <scheme val="minor"/>
      </rPr>
      <t xml:space="preserve">Apukone/Apuboileri </t>
    </r>
    <r>
      <rPr>
        <sz val="12"/>
        <color theme="4" tint="-0.249977111117893"/>
        <rFont val="Calibri"/>
        <family val="2"/>
        <scheme val="minor"/>
      </rPr>
      <t>= Apukoneen/Apuboilerin keskimääräinen kuormitusoletusarvo [kW]</t>
    </r>
  </si>
  <si>
    <r>
      <t xml:space="preserve">Kuormitus </t>
    </r>
    <r>
      <rPr>
        <i/>
        <sz val="12"/>
        <color theme="4" tint="-0.249977111117893"/>
        <rFont val="Calibri"/>
        <family val="2"/>
        <scheme val="minor"/>
      </rPr>
      <t xml:space="preserve">Apukone </t>
    </r>
    <r>
      <rPr>
        <sz val="12"/>
        <color theme="4" tint="-0.249977111117893"/>
        <rFont val="Calibri"/>
        <family val="2"/>
        <scheme val="minor"/>
      </rPr>
      <t>= Apukoneen/Apuboilerin keskimääräinen kuormituksen oletusarvo [kW]</t>
    </r>
  </si>
  <si>
    <t xml:space="preserve">Gas Turbine </t>
  </si>
  <si>
    <t>Steam (turbine &amp; boiler)</t>
  </si>
  <si>
    <r>
      <t xml:space="preserve">APUKONEEN/APUBOILERIN KESKIMÄÄRÄINEN KUORMITUKSEN OLETUSARVO </t>
    </r>
    <r>
      <rPr>
        <sz val="11"/>
        <color theme="1"/>
        <rFont val="Calibri"/>
        <family val="2"/>
        <scheme val="minor"/>
      </rPr>
      <t>[kW]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Ohjailu</t>
    </r>
  </si>
  <si>
    <r>
      <t xml:space="preserve">APUKONEEN/APUBOILERIN KESKIMÄÄRÄINEN KUORMITUSOLETUSARVO </t>
    </r>
    <r>
      <rPr>
        <sz val="11"/>
        <color theme="1"/>
        <rFont val="Calibri"/>
        <family val="2"/>
        <scheme val="minor"/>
      </rPr>
      <t>[kW]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Laiturissa</t>
    </r>
  </si>
  <si>
    <t>LAITURISSA</t>
  </si>
  <si>
    <t>ANKKURISSA</t>
  </si>
  <si>
    <t>Aluslaji</t>
  </si>
  <si>
    <t>Apuboileri</t>
  </si>
  <si>
    <t>Auto Carrier</t>
  </si>
  <si>
    <t>Bulk</t>
  </si>
  <si>
    <t>Bulk - Heavy Load</t>
  </si>
  <si>
    <t>Bulk - Self Discharging</t>
  </si>
  <si>
    <t>Container - 1000</t>
  </si>
  <si>
    <t>Container - 2000</t>
  </si>
  <si>
    <t>Container - 3000</t>
  </si>
  <si>
    <t>LNG-Otto (dual fuel, medium speed)</t>
  </si>
  <si>
    <t>Container - 4000</t>
  </si>
  <si>
    <t>LNG-Otto (dual fuel, slow speed)</t>
  </si>
  <si>
    <t>Container - 5000</t>
  </si>
  <si>
    <t>LNG-diesel (dual fuel)</t>
  </si>
  <si>
    <t>Container - 6000</t>
  </si>
  <si>
    <t>LBSI</t>
  </si>
  <si>
    <t>Container - 7000</t>
  </si>
  <si>
    <t>Container - 8000</t>
  </si>
  <si>
    <t>Container - 9000</t>
  </si>
  <si>
    <t>Container - 10000</t>
  </si>
  <si>
    <t>CO2e</t>
  </si>
  <si>
    <t>Residual fuel oil</t>
  </si>
  <si>
    <t>Container - 11000</t>
  </si>
  <si>
    <t>Container - 12000</t>
  </si>
  <si>
    <t>CO2e (g CO2e/kWh)</t>
  </si>
  <si>
    <t>Container - 13000</t>
  </si>
  <si>
    <t>SSD/marine gas oil</t>
  </si>
  <si>
    <t>Container - 14000</t>
  </si>
  <si>
    <t>SSD/marine diesel oil</t>
  </si>
  <si>
    <t>Container - 19000</t>
  </si>
  <si>
    <t>SSD/residual oil</t>
  </si>
  <si>
    <t>General Cargo</t>
  </si>
  <si>
    <t>MSD/MGO</t>
  </si>
  <si>
    <t>Ocean Tugboat (ATB/ITB)</t>
  </si>
  <si>
    <t>MSD/MDO</t>
  </si>
  <si>
    <t>Miscellaneous</t>
  </si>
  <si>
    <t>MSD/RO</t>
  </si>
  <si>
    <t>RoRo</t>
  </si>
  <si>
    <t>HSD/MGO</t>
  </si>
  <si>
    <t>Tanker - Chemical</t>
  </si>
  <si>
    <t>HSD/MDO</t>
  </si>
  <si>
    <t>Tanker - Handysize</t>
  </si>
  <si>
    <t>HSD/RO</t>
  </si>
  <si>
    <t>Tanker - Panamax</t>
  </si>
  <si>
    <t>GT/MGO</t>
  </si>
  <si>
    <t>Tanker - Aframax</t>
  </si>
  <si>
    <t>GT/MDO</t>
  </si>
  <si>
    <t>Tanker - Suezmax</t>
  </si>
  <si>
    <t>GT/RO</t>
  </si>
  <si>
    <t>Tanker - VLCC</t>
  </si>
  <si>
    <t>ST/MGO</t>
  </si>
  <si>
    <t>Tanker - ULCC</t>
  </si>
  <si>
    <t>ST/MDO</t>
  </si>
  <si>
    <t>Tanker (Diesel-Electric)</t>
  </si>
  <si>
    <t>ST/RO</t>
  </si>
  <si>
    <t>IPCC default value</t>
  </si>
  <si>
    <t>Apukoneiden/Pääkoneiden arvioitu keskimääräinen alussuhde alustyypeittäin</t>
  </si>
  <si>
    <t>Alusluokka</t>
  </si>
  <si>
    <t>2010 world fleet</t>
  </si>
  <si>
    <t>Mediterranean Sea fleet (2006)</t>
  </si>
  <si>
    <t>Liquid bulk ship</t>
  </si>
  <si>
    <t>Pääkoneteho bruttovetoisuuden funktiona</t>
  </si>
  <si>
    <t>Dry bulk ship</t>
  </si>
  <si>
    <t>Kerroin 1</t>
  </si>
  <si>
    <t>Kerroin 2</t>
  </si>
  <si>
    <t>Container</t>
  </si>
  <si>
    <t>RoRo Cargo</t>
  </si>
  <si>
    <t>Passenger</t>
  </si>
  <si>
    <t>Fishing</t>
  </si>
  <si>
    <t>Other</t>
  </si>
  <si>
    <t>Tugs</t>
  </si>
  <si>
    <t>Oletuksia</t>
  </si>
  <si>
    <t>Alustyyppi</t>
  </si>
  <si>
    <t>Itämeri = Sulfur Emission Control Area - Rikkipäästöjen valvonta-alue (1.5% rikkiraja)</t>
  </si>
  <si>
    <t>Suomeksi</t>
  </si>
  <si>
    <t>Englanniksi</t>
  </si>
  <si>
    <t>Työkalussa</t>
  </si>
  <si>
    <t xml:space="preserve">SECA:n ulkopuolella: pääpolttoaine on jäännösöljy (Residual Oil) </t>
  </si>
  <si>
    <t>Kuiva Bulk</t>
  </si>
  <si>
    <t>Dry bulk</t>
  </si>
  <si>
    <t>SECA:n sisällä: marine diesel oil/marine gas oil</t>
  </si>
  <si>
    <t>Muu kuivalasti, Muu kuivalastialus</t>
  </si>
  <si>
    <t>Irtolastialus</t>
  </si>
  <si>
    <t>Bulk carrier</t>
  </si>
  <si>
    <t>container</t>
  </si>
  <si>
    <t>MDO</t>
  </si>
  <si>
    <t>Säiliöalus</t>
  </si>
  <si>
    <t>Tanker</t>
  </si>
  <si>
    <t>Liquid bulk</t>
  </si>
  <si>
    <t>passenger (RoRo)</t>
  </si>
  <si>
    <t>Kaasusäiliöalus</t>
  </si>
  <si>
    <t>Gas tanker</t>
  </si>
  <si>
    <t>RoRo cargo</t>
  </si>
  <si>
    <t>Kemikaalisäiliöalus</t>
  </si>
  <si>
    <t>Chemical tanker</t>
  </si>
  <si>
    <t>bulk carrier</t>
  </si>
  <si>
    <t>MGO</t>
  </si>
  <si>
    <t>Öljysäiliöalus</t>
  </si>
  <si>
    <t>Oil tanker</t>
  </si>
  <si>
    <t>general cargo</t>
  </si>
  <si>
    <t>Konttialus</t>
  </si>
  <si>
    <t>Container ship</t>
  </si>
  <si>
    <t>tanker</t>
  </si>
  <si>
    <t>Ro-Ro-Matkustaja-Alus</t>
  </si>
  <si>
    <t>RoPax</t>
  </si>
  <si>
    <t>Ro-Ro-Lastialus</t>
  </si>
  <si>
    <t>o MDO:lla ja MGO:lla oletetaan olevan sama päästökerroin (IMO GHG Studies)</t>
  </si>
  <si>
    <t>Ajoneuvojenkuljetusalus</t>
  </si>
  <si>
    <t>Vehicle carrier</t>
  </si>
  <si>
    <t>*Boileri oletetaan höyryturbiiniksi</t>
  </si>
  <si>
    <t>Muu alus</t>
  </si>
  <si>
    <t>Other vessel</t>
  </si>
  <si>
    <t>Hinaaja</t>
  </si>
  <si>
    <t>Tugboat</t>
  </si>
  <si>
    <t>Proomu, Pusku-Proomu</t>
  </si>
  <si>
    <t>Barge</t>
  </si>
  <si>
    <t>Luettelo aluskäynneistä ja alusten tiedoista</t>
  </si>
  <si>
    <t>// Laskentataulukko - Tiedot täytetään automaattisesti "Alukset_Käynnit"-sivun tiedoista riippuen.</t>
  </si>
  <si>
    <t>Alusten päästöt</t>
  </si>
  <si>
    <t xml:space="preserve">     Huolellinen harkinta on tarpeen, jos laskelmaan suunnitellaan muutoksia. Kätettyjä kertoimia voidaan muuttaa "Alukset_fx"- sivulla.</t>
  </si>
  <si>
    <t>Keskiarvo alusta kohti</t>
  </si>
  <si>
    <t>SCOPE 3 - Valtamerialukset</t>
  </si>
  <si>
    <t>Perustuen alusten käynteihin ja alusten tietoihin</t>
  </si>
  <si>
    <t>Tuloaika</t>
  </si>
  <si>
    <t>Lähtöaika</t>
  </si>
  <si>
    <t>Laituri</t>
  </si>
  <si>
    <t>Sataman osa</t>
  </si>
  <si>
    <t>Alus</t>
  </si>
  <si>
    <t>Käyntitunniste</t>
  </si>
  <si>
    <t>Lloyds-numero</t>
  </si>
  <si>
    <t>Pituus (m)</t>
  </si>
  <si>
    <t>Kuollutpaino (Deadweight tonnage) (t)</t>
  </si>
  <si>
    <t>Bruttopaino (Grossweight/Brutto tonnage) (t)</t>
  </si>
  <si>
    <t>(Pää)koneteho (kW)</t>
  </si>
  <si>
    <t>Aika laiturissa (minuuttia)</t>
  </si>
  <si>
    <t>Aika laiturissa (tuntia)</t>
  </si>
  <si>
    <t>Arvioitu apukoneteho (kW)</t>
  </si>
  <si>
    <t>Arvioitu pääkoneteho (kW)</t>
  </si>
  <si>
    <t>Apukonetehon jatkuva arviointi (kW)</t>
  </si>
  <si>
    <t>Yhteenveto pääkoneteho (kW)</t>
  </si>
  <si>
    <t>Yhteenveto apukoneteho (kW)</t>
  </si>
  <si>
    <t>Ohjailuaika satamassa &amp; sataman hallinnassa olevalla aluella (tuntia)</t>
  </si>
  <si>
    <t>Arvioitettu apuboilerin teho - ohjailuaikana (kW)</t>
  </si>
  <si>
    <t>Arvioitettu apuboilerin teho - laiturissa (kW)</t>
  </si>
  <si>
    <t>Pääkoneen polttoaine</t>
  </si>
  <si>
    <t>Pääkoneen tyyppi</t>
  </si>
  <si>
    <t>Apukoneen polttoaine</t>
  </si>
  <si>
    <t>Apukoneen tyyppi</t>
  </si>
  <si>
    <t>Apuboilerin polttoaine</t>
  </si>
  <si>
    <t>Apuboilerin tyyppi</t>
  </si>
  <si>
    <t>Pääkoneen päästöt - ohjailuaikana (kg CO2e)</t>
  </si>
  <si>
    <t>Apukoneen päästöt - ohjailuaikana (kg CO2e)</t>
  </si>
  <si>
    <t>Apuboilerin päästöt - ohjailuaikana (kg CO2e)</t>
  </si>
  <si>
    <t>Pääkoneen päästöt - laiturissa (kg CO2e)</t>
  </si>
  <si>
    <t>Apukoneen päästöt - laiturissa (kg CO2e)</t>
  </si>
  <si>
    <t>Apuboilerin päästöt - laiturissa (kg CO2e)</t>
  </si>
  <si>
    <t>Kokonaispäästöt (t CO2e)</t>
  </si>
  <si>
    <t>Luettelo alusten käynneistä ja alusten tiedoista</t>
  </si>
  <si>
    <t xml:space="preserve">     Kiinnitä huomiota alustyyppiin, jota voidaan läyttää tässä laskentatyökalussa.</t>
  </si>
  <si>
    <t xml:space="preserve">     Oletettu polttoaine: MDO/MGO (koska Itämeri on rikkipäästöjen valvonta-alue, eli Sulphur Emission Control Area (SECA)).</t>
  </si>
  <si>
    <t xml:space="preserve">     Oletettu konelaji: MSD (poikkeus: Konttialus (SSD) ja Hinaaja (HSD))</t>
  </si>
  <si>
    <t xml:space="preserve">     Lisätietoja laskennan oletuksista ja arvioista löytyy ohjekirjasta.</t>
  </si>
  <si>
    <t>Tiedot satamanhallintajärjestelmästä</t>
  </si>
  <si>
    <t>Lisäinformaatio</t>
  </si>
  <si>
    <t>Kuollut paino (Deadweight tonnage) (t)</t>
  </si>
  <si>
    <t>Koneteho (kW)</t>
  </si>
  <si>
    <t>Alusten päästöt ovat tiedossa (esim. Satamatieto ja Portensys)</t>
  </si>
  <si>
    <t>// Laskentataulukko - Tiedot täytetään automaattisesti "Alukset_Päästöt"-sivun tiedoista riippuen.</t>
  </si>
  <si>
    <t xml:space="preserve">     Tämä työkalu tekee yhteenvedon vain toimitetuista päästötiedoista. Varsinaisen laskennan tekee sataman järjestelmä (esim. Satamatieto ja Portensys).</t>
  </si>
  <si>
    <t>Tunnettujen päästöjen perusteella (laske erillisellä työkalulla)</t>
  </si>
  <si>
    <t>CO₂ (t)</t>
  </si>
  <si>
    <t>CH4 (t)</t>
  </si>
  <si>
    <t>N₂O (t)</t>
  </si>
  <si>
    <t>Aluskäynnit (Määrä)</t>
  </si>
  <si>
    <t>Keskimääräiset päästöt alusta kohti</t>
  </si>
  <si>
    <t>// Valitse kahdesta laskentamenetelmästä tiedon saatavuuden ja sataman käyttämän tietojärjestelmän perusteella.</t>
  </si>
  <si>
    <t>SATAMA-ALUKSET</t>
  </si>
  <si>
    <r>
      <rPr>
        <b/>
        <sz val="14"/>
        <color rgb="FFFF0000"/>
        <rFont val="Calibri"/>
        <family val="2"/>
        <scheme val="minor"/>
      </rPr>
      <t xml:space="preserve">Päästöt </t>
    </r>
    <r>
      <rPr>
        <b/>
        <i/>
        <sz val="14"/>
        <color rgb="FFFF0000"/>
        <rFont val="Calibri"/>
        <family val="2"/>
        <scheme val="minor"/>
      </rPr>
      <t>Satama-alukset</t>
    </r>
    <r>
      <rPr>
        <sz val="14"/>
        <color rgb="FFFF0000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 xml:space="preserve">= </t>
    </r>
    <r>
      <rPr>
        <b/>
        <sz val="14"/>
        <color theme="1"/>
        <rFont val="Calibri"/>
        <family val="2"/>
        <scheme val="minor"/>
      </rPr>
      <t>Energian kysyntä</t>
    </r>
    <r>
      <rPr>
        <sz val="14"/>
        <color theme="1"/>
        <rFont val="Calibri"/>
        <family val="2"/>
        <scheme val="minor"/>
      </rPr>
      <t xml:space="preserve"> [kWh] x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5"/>
        <rFont val="Calibri"/>
        <family val="2"/>
        <scheme val="minor"/>
      </rPr>
      <t>Päästökerroin</t>
    </r>
    <r>
      <rPr>
        <sz val="14"/>
        <color theme="5"/>
        <rFont val="Calibri"/>
        <family val="2"/>
        <scheme val="minor"/>
      </rPr>
      <t xml:space="preserve"> [g CO2e/kWh]</t>
    </r>
  </si>
  <si>
    <t>Muuntokerroin</t>
  </si>
  <si>
    <t>1 hp =</t>
  </si>
  <si>
    <t>kW</t>
  </si>
  <si>
    <r>
      <rPr>
        <b/>
        <sz val="12"/>
        <color theme="1"/>
        <rFont val="Calibri"/>
        <family val="2"/>
        <scheme val="minor"/>
      </rPr>
      <t>Energian kysyntä</t>
    </r>
    <r>
      <rPr>
        <sz val="12"/>
        <color theme="1"/>
        <rFont val="Calibri"/>
        <family val="2"/>
        <scheme val="minor"/>
      </rPr>
      <t xml:space="preserve"> = </t>
    </r>
    <r>
      <rPr>
        <sz val="12"/>
        <color rgb="FF7030A0"/>
        <rFont val="Calibri"/>
        <family val="2"/>
        <scheme val="minor"/>
      </rPr>
      <t xml:space="preserve">Energian kysyntä </t>
    </r>
    <r>
      <rPr>
        <i/>
        <sz val="12"/>
        <color rgb="FF7030A0"/>
        <rFont val="Calibri"/>
        <family val="2"/>
        <scheme val="minor"/>
      </rPr>
      <t>Pääkoneet</t>
    </r>
    <r>
      <rPr>
        <sz val="12"/>
        <color theme="1"/>
        <rFont val="Calibri"/>
        <family val="2"/>
        <scheme val="minor"/>
      </rPr>
      <t xml:space="preserve"> + </t>
    </r>
    <r>
      <rPr>
        <sz val="12"/>
        <color rgb="FF00B050"/>
        <rFont val="Calibri"/>
        <family val="2"/>
        <scheme val="minor"/>
      </rPr>
      <t xml:space="preserve">Energian kysyntä </t>
    </r>
    <r>
      <rPr>
        <i/>
        <sz val="12"/>
        <color rgb="FF00B050"/>
        <rFont val="Calibri"/>
        <family val="2"/>
        <scheme val="minor"/>
      </rPr>
      <t>Apukoneet</t>
    </r>
  </si>
  <si>
    <t>Päästökertoimet (Zero Hour Emission Factor) - Satama-alukset</t>
  </si>
  <si>
    <r>
      <rPr>
        <b/>
        <sz val="12"/>
        <color theme="1"/>
        <rFont val="Calibri"/>
        <family val="2"/>
        <scheme val="minor"/>
      </rPr>
      <t xml:space="preserve">Energian kysyntä </t>
    </r>
    <r>
      <rPr>
        <sz val="12"/>
        <color theme="1"/>
        <rFont val="Calibri"/>
        <family val="2"/>
        <scheme val="minor"/>
      </rPr>
      <t xml:space="preserve">= MRP [kW] x </t>
    </r>
    <r>
      <rPr>
        <b/>
        <sz val="12"/>
        <color theme="7" tint="-0.249977111117893"/>
        <rFont val="Calibri"/>
        <family val="2"/>
        <scheme val="minor"/>
      </rPr>
      <t>Kuormitusaste</t>
    </r>
    <r>
      <rPr>
        <sz val="12"/>
        <color theme="1"/>
        <rFont val="Calibri"/>
        <family val="2"/>
        <scheme val="minor"/>
      </rPr>
      <t xml:space="preserve"> x Toiminta [tuntia]</t>
    </r>
  </si>
  <si>
    <t>PÄÄKONE</t>
  </si>
  <si>
    <r>
      <t xml:space="preserve">*MRP = maximum rated power (suurin nimellisteho -&gt; kW tai hevosvoimaa), </t>
    </r>
    <r>
      <rPr>
        <b/>
        <sz val="10"/>
        <color theme="1"/>
        <rFont val="Calibri"/>
        <family val="2"/>
        <scheme val="minor"/>
      </rPr>
      <t>tarvittaessa kerrottuna koneen määrällä</t>
    </r>
    <r>
      <rPr>
        <sz val="10"/>
        <color theme="1"/>
        <rFont val="Calibri"/>
        <family val="2"/>
        <scheme val="minor"/>
      </rPr>
      <t xml:space="preserve"> (tai kokonaisarvolla)</t>
    </r>
  </si>
  <si>
    <t>Teho</t>
  </si>
  <si>
    <t>Vuosi</t>
  </si>
  <si>
    <t>Keskimääräiset Kuormitusasteet - Satama-alusten koneet</t>
  </si>
  <si>
    <t>Satama-aluksen tyyppi</t>
  </si>
  <si>
    <t>Pääkoneet</t>
  </si>
  <si>
    <t>Apukoneet</t>
  </si>
  <si>
    <t>suomeksi</t>
  </si>
  <si>
    <t>englanniksi</t>
  </si>
  <si>
    <t>1998-</t>
  </si>
  <si>
    <t>Apuhinaaja</t>
  </si>
  <si>
    <t>Assist tugboat</t>
  </si>
  <si>
    <t>38-90</t>
  </si>
  <si>
    <t>Miehistön vene</t>
  </si>
  <si>
    <t>Crew boat</t>
  </si>
  <si>
    <t>1997-</t>
  </si>
  <si>
    <t>Retkialus</t>
  </si>
  <si>
    <t>Excursion vessel</t>
  </si>
  <si>
    <t>90-187</t>
  </si>
  <si>
    <t>Lossi</t>
  </si>
  <si>
    <t>Ferry</t>
  </si>
  <si>
    <t>1971-1979</t>
  </si>
  <si>
    <t>Hallituksen alus</t>
  </si>
  <si>
    <t>Government vessel</t>
  </si>
  <si>
    <t>1979-1984</t>
  </si>
  <si>
    <t>Valtamerihinaaja</t>
  </si>
  <si>
    <t>Ocean tugboat</t>
  </si>
  <si>
    <t>1984-1987</t>
  </si>
  <si>
    <t>Satamahinaaja</t>
  </si>
  <si>
    <t>Harbour tugboat</t>
  </si>
  <si>
    <t>1987-1996</t>
  </si>
  <si>
    <t>Jäänmurtaja</t>
  </si>
  <si>
    <t>Icebreaker</t>
  </si>
  <si>
    <t>1996-</t>
  </si>
  <si>
    <t>Työvene</t>
  </si>
  <si>
    <t>Workboat</t>
  </si>
  <si>
    <t>187-560</t>
  </si>
  <si>
    <t>Oletuksia:</t>
  </si>
  <si>
    <t>1987-1995</t>
  </si>
  <si>
    <t>Satama-alusten ominaisuudet</t>
  </si>
  <si>
    <t>1995-</t>
  </si>
  <si>
    <t>Aluksen tyyppi</t>
  </si>
  <si>
    <t>Pääkoneen keskimääräinen teho</t>
  </si>
  <si>
    <t>Pääkoneen vuosittaiset toiminta-ajat</t>
  </si>
  <si>
    <t>Apukoneen keskimääräinen teho</t>
  </si>
  <si>
    <t>Apukoneen vuosittaiset toiminta-ajat</t>
  </si>
  <si>
    <t>Pääkoneen ja apukoneen välinen suhde</t>
  </si>
  <si>
    <t>560-7456</t>
  </si>
  <si>
    <t>h</t>
  </si>
  <si>
    <t>1987-1999</t>
  </si>
  <si>
    <t>1999-</t>
  </si>
  <si>
    <t>APUKONE</t>
  </si>
  <si>
    <t>Polttoainetyyppi: jos ei ole tiedossa, oletetaan MDO/MGO</t>
  </si>
  <si>
    <t>90-131</t>
  </si>
  <si>
    <t>Päästökerroin (polttoaineen perusteella)</t>
  </si>
  <si>
    <t>Polttoaine</t>
  </si>
  <si>
    <t>t CO2e/l</t>
  </si>
  <si>
    <t>131-187</t>
  </si>
  <si>
    <t>Bensiini</t>
  </si>
  <si>
    <t>Diesel</t>
  </si>
  <si>
    <t>Nestekaasu (LPG)</t>
  </si>
  <si>
    <t>Kerosiini</t>
  </si>
  <si>
    <t>Voiteluaineet</t>
  </si>
  <si>
    <t>Paineistettu maakaasu (CNG)</t>
  </si>
  <si>
    <t>Nesteytetty maakaasu (LNG)</t>
  </si>
  <si>
    <t>Luotsiveneiden päästökertoimet</t>
  </si>
  <si>
    <t>Luotsiveneen tyyppi</t>
  </si>
  <si>
    <t>t CO2e/luotsaus</t>
  </si>
  <si>
    <t>Nopea luotsivene</t>
  </si>
  <si>
    <t>Luotsikutteri (jäissä kulkeva)</t>
  </si>
  <si>
    <t>Hydrokopteri</t>
  </si>
  <si>
    <t xml:space="preserve">// Laskentataulukko - Tiedot täytetään automaattisesti "Satama-alukset"-sivun tiedoista riippuen. </t>
  </si>
  <si>
    <t xml:space="preserve">     Huolellinen harkinta on tarpeen, jos laskelmaan suunnitellaan muutoksia. Kätettyjä kertoimia voidaan muuttaa "Satama-alukset_fx"- sivulla.</t>
  </si>
  <si>
    <t>SCOPE 1 - Satamalaitoksen omistamat satama-alukset</t>
  </si>
  <si>
    <t>TOIMINTAAN PERUSTUVA</t>
  </si>
  <si>
    <t>Veneen tyyppi</t>
  </si>
  <si>
    <t>Nimi</t>
  </si>
  <si>
    <t>Valmistusvuosi</t>
  </si>
  <si>
    <t>Apukoneteho (kW)</t>
  </si>
  <si>
    <t>Pääkoneen toimintatunnit</t>
  </si>
  <si>
    <t>Apukoneen toimintatunnit</t>
  </si>
  <si>
    <t>Määsähkönkulutus (kWh)</t>
  </si>
  <si>
    <t>Pääkoneteho - arvioitu, jos ei ole tiedossa (kW)</t>
  </si>
  <si>
    <t>Apukoneteho - arvioitu, jos ei ole tiedossa (kW)</t>
  </si>
  <si>
    <t>Kuormituskerroin_Pääkone</t>
  </si>
  <si>
    <t>Kuormituskerroin_Apukone</t>
  </si>
  <si>
    <t>Päästökerroin_Pääkone (g CO2e/kWh)</t>
  </si>
  <si>
    <t>Päästökerroin_Apukone (g CO2e/kWh)</t>
  </si>
  <si>
    <t>Päästökerroin_Sähkö (g CO2e/kWh)</t>
  </si>
  <si>
    <t>POLTTOAINEENKULUTUKSEN PERUSTEELLA</t>
  </si>
  <si>
    <t>Polttoaineen tyyppi</t>
  </si>
  <si>
    <t>Polttoaineenkulutus (litra)</t>
  </si>
  <si>
    <t>Päästökerroin_Polttoaine (t CO2e/litra)</t>
  </si>
  <si>
    <t>SCOPE 3 - Satama-alukset, joita liikennöi yritys satamalaitoksen puolesta</t>
  </si>
  <si>
    <t xml:space="preserve"> </t>
  </si>
  <si>
    <t>SCOPE 3 - Luotsiveneet (satama-alueella toimivat)</t>
  </si>
  <si>
    <t>Finnpilotin LUOTSIVENEET</t>
  </si>
  <si>
    <t>Nimi/Tunnus</t>
  </si>
  <si>
    <t>Luotsiveneen huoltamien vierailevien alusten lukumäärä</t>
  </si>
  <si>
    <t>Päästökerroin_Luotsivene (t CO2e/luotsaus)</t>
  </si>
  <si>
    <t>Satama-alusten päästöt</t>
  </si>
  <si>
    <t>SCOPE 1 Satama-alusten päästöt</t>
  </si>
  <si>
    <t>SCOPE 3 Satama-alusten päästöt</t>
  </si>
  <si>
    <t xml:space="preserve">     Pudotusvalikot ovat saatavilla alustyypille, sähkötyypille ja polttoainetyypille. </t>
  </si>
  <si>
    <t xml:space="preserve">     Lopullisia toimintatunteja ei lisätä automaattisesti viereisiin taulukoihin, sillä tämän laskennan oletetaan olevan vain arvioinnin ohjeistus. </t>
  </si>
  <si>
    <t xml:space="preserve">     Jos arvoja käytetään ne tulee lisätä taulukkoon manuaalisesti. </t>
  </si>
  <si>
    <t>Hinaajat</t>
  </si>
  <si>
    <t>Valtamerialuksen minimi pituus (m)</t>
  </si>
  <si>
    <t>Valtamerialuksen maksimi pituus (m)</t>
  </si>
  <si>
    <t>Alusten määrä per pituuskategoria</t>
  </si>
  <si>
    <t>Tarvittavien hinaajien määrä per pituuskategoria</t>
  </si>
  <si>
    <t>Yhden hinaajan toiminta per vieraileva alus (tunteina)</t>
  </si>
  <si>
    <t>Yhden hinaajan pääkoneen toimintatunnit</t>
  </si>
  <si>
    <t>Yhden hinaajan apukoneen toimintatunnit</t>
  </si>
  <si>
    <t>POLTTOAINEEN KULUTUKSEN PERUSTEELLA</t>
  </si>
  <si>
    <t>Määsähkön kulutus (kWh)</t>
  </si>
  <si>
    <t>Jäänmurtajat</t>
  </si>
  <si>
    <t>Vierailevien alusten määrä jäänmurtamiskauden aikana</t>
  </si>
  <si>
    <t>Yhden jäänmurtajan toiminta per vieraileva alus (tunteina)</t>
  </si>
  <si>
    <t>Yhden jäänmurtajan pääkoneen toimintatunnit</t>
  </si>
  <si>
    <t>Yhden jäänmurtajan apumoottorin toimintatunnit</t>
  </si>
  <si>
    <t>Päästökertoimet</t>
  </si>
  <si>
    <t>(Suomessa, polttoaineen perusteella)</t>
  </si>
  <si>
    <t>Päästökertoimet (polttoaineen perusteella)</t>
  </si>
  <si>
    <t>Sähkökäyttöiset laitteet</t>
  </si>
  <si>
    <t>*VTT Lipasto (2017) - Työkoneiden keskimääräinen päästö ja energia polttoainelitraa kohden Suomessa vuonna 2016</t>
  </si>
  <si>
    <t>Keskimääräinen nimellisteho</t>
  </si>
  <si>
    <t>Keskimääräinen kuormitusaste</t>
  </si>
  <si>
    <t>t CH4/l</t>
  </si>
  <si>
    <t>t N2O/l</t>
  </si>
  <si>
    <r>
      <rPr>
        <b/>
        <sz val="12"/>
        <color rgb="FFFF0000"/>
        <rFont val="Calibri"/>
        <family val="2"/>
        <scheme val="minor"/>
      </rPr>
      <t>Päästöt</t>
    </r>
    <r>
      <rPr>
        <sz val="12"/>
        <color theme="1"/>
        <rFont val="Calibri"/>
        <family val="2"/>
        <scheme val="minor"/>
      </rPr>
      <t xml:space="preserve"> = </t>
    </r>
    <r>
      <rPr>
        <sz val="12"/>
        <color theme="9"/>
        <rFont val="Calibri"/>
        <family val="2"/>
        <scheme val="minor"/>
      </rPr>
      <t>Sähkökulutus (kWh)</t>
    </r>
    <r>
      <rPr>
        <sz val="12"/>
        <color theme="1"/>
        <rFont val="Calibri"/>
        <family val="2"/>
        <scheme val="minor"/>
      </rPr>
      <t xml:space="preserve"> x </t>
    </r>
    <r>
      <rPr>
        <sz val="12"/>
        <color theme="5"/>
        <rFont val="Calibri"/>
        <family val="2"/>
        <scheme val="minor"/>
      </rPr>
      <t>Päästökerroin (g CO2e/kWh)</t>
    </r>
  </si>
  <si>
    <t>g/polttoainelitra</t>
  </si>
  <si>
    <r>
      <rPr>
        <i/>
        <u/>
        <sz val="11"/>
        <color theme="1"/>
        <rFont val="Calibri"/>
        <family val="2"/>
        <scheme val="minor"/>
      </rPr>
      <t>Diesel</t>
    </r>
    <r>
      <rPr>
        <i/>
        <sz val="11"/>
        <color theme="1"/>
        <rFont val="Calibri"/>
        <family val="2"/>
        <scheme val="minor"/>
      </rPr>
      <t>käyttöiset ajettavat työkoneet</t>
    </r>
  </si>
  <si>
    <t xml:space="preserve">// Päästökertoimia voi muuttaa "Energia_fx"-sivulla. </t>
  </si>
  <si>
    <t>Nosturit</t>
  </si>
  <si>
    <t xml:space="preserve">     Seuraavien solujen tietoja ei ole linkitetty laskelmaan.</t>
  </si>
  <si>
    <t>Haarukkatrukit</t>
  </si>
  <si>
    <t>Trakturikaivurit</t>
  </si>
  <si>
    <t>Teollisuustraktorit</t>
  </si>
  <si>
    <t>Muut ajettavat dieseltyökoneet</t>
  </si>
  <si>
    <r>
      <rPr>
        <i/>
        <u/>
        <sz val="11"/>
        <color theme="1"/>
        <rFont val="Calibri"/>
        <family val="2"/>
        <scheme val="minor"/>
      </rPr>
      <t>Bensiini</t>
    </r>
    <r>
      <rPr>
        <i/>
        <sz val="11"/>
        <color theme="1"/>
        <rFont val="Calibri"/>
        <family val="2"/>
        <scheme val="minor"/>
      </rPr>
      <t>käyttöiset ajettavat työkoneet</t>
    </r>
  </si>
  <si>
    <t>Haarukkatrukit, bensiini</t>
  </si>
  <si>
    <t>Haarukkatrukit, kaasu</t>
  </si>
  <si>
    <t xml:space="preserve">Muut ajettavat bensiinikäyttöiset </t>
  </si>
  <si>
    <t xml:space="preserve">// Laskentataulukko - Tiedot täytetään automaattisesti "LKL"-sivun tiedoista riippuen. </t>
  </si>
  <si>
    <t xml:space="preserve">     Huolellinen harkinta on tarpeen, jos laskelmaan suunnitellaan muutoksia. Käytettyjä kertoimia voidaan muuttaa "LKL_fx"- sivulla.</t>
  </si>
  <si>
    <t>SCOPE 1 - Satamalaitoksen omistamat tai vuokraamat lastinkäsittelylaitteet</t>
  </si>
  <si>
    <t>Laitetyyppi</t>
  </si>
  <si>
    <t>Määrittely</t>
  </si>
  <si>
    <t>Laitteiden määrä</t>
  </si>
  <si>
    <t>Omistaja tai vuokrausyhtiö</t>
  </si>
  <si>
    <t>Polttoaineenkulutus (litra/vuosi)</t>
  </si>
  <si>
    <t>Päästöt Scope 1</t>
  </si>
  <si>
    <t>SCOPE 3 - Satamassa toiminnassa olevia lastinkäsittelylaitteita</t>
  </si>
  <si>
    <t>Päästöt Scope 3</t>
  </si>
  <si>
    <t xml:space="preserve">    Pudostusvalikot ovat saatavilla polttoaine- ja sähkötyypeille.</t>
  </si>
  <si>
    <t xml:space="preserve">     Erittelyillä ja laitteiden määrällä luokkaa kohden ei ole merkitystä laskennassa, mutta niistä voi olla hyötyä arvioinnin järjestämisessä.</t>
  </si>
  <si>
    <t xml:space="preserve">     Jos listaa lastinkäsittelylaitteista ei ole saatavilla, merkitse kaikkien koneiden polttoaineen kokonaiskulutus yhdelle riville (merkitse se vastaavasti). Tärkeää on kuitenkin jakaa polttoaineenkulutus ainakin Scope-luokkiin.</t>
  </si>
  <si>
    <t>Raskas tieliikenne</t>
  </si>
  <si>
    <t>o lähes yksinomaan dieselmoottoreilla, mutta CNG:n, LNG:n, propaanin ja sähkön käyttö lisääntymässä</t>
  </si>
  <si>
    <t>o Ajoneuvon kokonaispaino suurempi kuin 14.97 tonnia</t>
  </si>
  <si>
    <t xml:space="preserve">Polttoaineen kulutuksen perusteella </t>
  </si>
  <si>
    <r>
      <rPr>
        <b/>
        <sz val="12"/>
        <color rgb="FFFF0000"/>
        <rFont val="Calibri"/>
        <family val="2"/>
        <scheme val="minor"/>
      </rPr>
      <t>Päästöt</t>
    </r>
    <r>
      <rPr>
        <b/>
        <i/>
        <sz val="12"/>
        <color rgb="FFFF0000"/>
        <rFont val="Calibri"/>
        <family val="2"/>
        <scheme val="minor"/>
      </rPr>
      <t xml:space="preserve"> polttoaine </t>
    </r>
    <r>
      <rPr>
        <sz val="12"/>
        <color theme="1"/>
        <rFont val="Calibri"/>
        <family val="2"/>
        <scheme val="minor"/>
      </rPr>
      <t xml:space="preserve">= </t>
    </r>
    <r>
      <rPr>
        <sz val="12"/>
        <color theme="9" tint="-0.249977111117893"/>
        <rFont val="Calibri"/>
        <family val="2"/>
        <scheme val="minor"/>
      </rPr>
      <t>Polttoaineen kulutus (litraa)</t>
    </r>
    <r>
      <rPr>
        <sz val="12"/>
        <color theme="1"/>
        <rFont val="Calibri"/>
        <family val="2"/>
        <scheme val="minor"/>
      </rPr>
      <t xml:space="preserve"> x </t>
    </r>
    <r>
      <rPr>
        <sz val="12"/>
        <color theme="5"/>
        <rFont val="Calibri"/>
        <family val="2"/>
        <scheme val="minor"/>
      </rPr>
      <t>Päästökerroin (g CO2e/litraa)</t>
    </r>
  </si>
  <si>
    <t>Päästökertoimet_ polttoaineen kulutus</t>
  </si>
  <si>
    <t>Kuorma-auton tyyppi</t>
  </si>
  <si>
    <t>(t CO2e/litraa polttoainetta)</t>
  </si>
  <si>
    <t>Diesel kuorma-auto, raskas</t>
  </si>
  <si>
    <t>Nesteytetty maakaasu (LNG) kuorma-auto, raskas</t>
  </si>
  <si>
    <t>LNG</t>
  </si>
  <si>
    <t>Paineistettu maakaasu (CNG) kuorma-auto, raskas</t>
  </si>
  <si>
    <t>CNG</t>
  </si>
  <si>
    <t>Propaani kuorma-auto, raskas</t>
  </si>
  <si>
    <t>LPG</t>
  </si>
  <si>
    <t>Toimintaan perustuva</t>
  </si>
  <si>
    <r>
      <t xml:space="preserve">o kaksi moodia: </t>
    </r>
    <r>
      <rPr>
        <b/>
        <sz val="11"/>
        <color theme="1"/>
        <rFont val="Calibri"/>
        <family val="2"/>
        <scheme val="minor"/>
      </rPr>
      <t>tyhjäkäynti ("terminaalissa")</t>
    </r>
    <r>
      <rPr>
        <sz val="11"/>
        <color theme="1"/>
        <rFont val="Calibri"/>
        <family val="2"/>
        <scheme val="minor"/>
      </rPr>
      <t xml:space="preserve"> &amp; </t>
    </r>
    <r>
      <rPr>
        <b/>
        <sz val="11"/>
        <color theme="1"/>
        <rFont val="Calibri"/>
        <family val="2"/>
        <scheme val="minor"/>
      </rPr>
      <t>ajomoodi ("satama-alueella")</t>
    </r>
  </si>
  <si>
    <r>
      <rPr>
        <b/>
        <sz val="12"/>
        <color rgb="FFFF0000"/>
        <rFont val="Calibri"/>
        <family val="2"/>
        <scheme val="minor"/>
      </rPr>
      <t xml:space="preserve">Päästöt </t>
    </r>
    <r>
      <rPr>
        <b/>
        <i/>
        <sz val="12"/>
        <color rgb="FFFF0000"/>
        <rFont val="Calibri"/>
        <family val="2"/>
        <scheme val="minor"/>
      </rPr>
      <t>toiminta</t>
    </r>
    <r>
      <rPr>
        <sz val="12"/>
        <color theme="1"/>
        <rFont val="Calibri"/>
        <family val="2"/>
        <scheme val="minor"/>
      </rPr>
      <t xml:space="preserve"> =</t>
    </r>
    <r>
      <rPr>
        <sz val="12"/>
        <color theme="5"/>
        <rFont val="Calibri"/>
        <family val="2"/>
        <scheme val="minor"/>
      </rPr>
      <t xml:space="preserve"> Päästökerroin (g CO2e/moodi)</t>
    </r>
    <r>
      <rPr>
        <sz val="12"/>
        <color theme="1"/>
        <rFont val="Calibri"/>
        <family val="2"/>
        <scheme val="minor"/>
      </rPr>
      <t xml:space="preserve"> x </t>
    </r>
    <r>
      <rPr>
        <sz val="12"/>
        <color theme="8" tint="-0.249977111117893"/>
        <rFont val="Calibri"/>
        <family val="2"/>
        <scheme val="minor"/>
      </rPr>
      <t xml:space="preserve">toiminta moodia kohti </t>
    </r>
  </si>
  <si>
    <t>*moodi: ajomoodi (km) &amp; tyhjäkäynti (tuntia)</t>
  </si>
  <si>
    <t>*diesel kuorma-autot</t>
  </si>
  <si>
    <t>o alhaiset tyhjäkäynnin päästökertoimet perustuvat CARB-tutkimukseen - "indikatiivinen kuorma-autoon laiturissa joka joko noutaa tai tuo lähetystä"</t>
  </si>
  <si>
    <t>g CO2e/tuntia</t>
  </si>
  <si>
    <t>2010-</t>
  </si>
  <si>
    <t>1993-1996 (EURO 1)</t>
  </si>
  <si>
    <t>2007-2009</t>
  </si>
  <si>
    <t>1997-1998 (EURO 2)</t>
  </si>
  <si>
    <t>2003-2007</t>
  </si>
  <si>
    <t>1999-2003 (EURO 3)</t>
  </si>
  <si>
    <t>1998-2002</t>
  </si>
  <si>
    <t>2004-2007 (EURO 4)</t>
  </si>
  <si>
    <t>1994-1997</t>
  </si>
  <si>
    <t>2008-2013 (EURO 5)</t>
  </si>
  <si>
    <t>1991-1993</t>
  </si>
  <si>
    <t>2014- (EURO 6)</t>
  </si>
  <si>
    <t>1987-1990</t>
  </si>
  <si>
    <t>AJOMOODI</t>
  </si>
  <si>
    <t>Päästökerroin_kilometriä kohden | diesel_"kaupunkiajo"</t>
  </si>
  <si>
    <t>Kokonaismassa</t>
  </si>
  <si>
    <t>Hyötykuormakapasiteetti</t>
  </si>
  <si>
    <t>Päästöstandardi</t>
  </si>
  <si>
    <t>CO2e [g CO2e/km]</t>
  </si>
  <si>
    <t>Kuorma-autojen tyypit</t>
  </si>
  <si>
    <t>tonnit</t>
  </si>
  <si>
    <t>vuosi tai EURO</t>
  </si>
  <si>
    <t>Tyhjä</t>
  </si>
  <si>
    <t>Täyteen lastattu</t>
  </si>
  <si>
    <t>Jakelukuorma-auto, pieni (3.5 t)</t>
  </si>
  <si>
    <t>Jakelukuorma-auto, pieni</t>
  </si>
  <si>
    <t>Jakelukuorma-auto, suuri (9 t)</t>
  </si>
  <si>
    <t>Puoliperävaunuyhdistelmä (25 t)</t>
  </si>
  <si>
    <t>Täysperävaunuyhdistelmä (40 t)</t>
  </si>
  <si>
    <t>Täysperävaunuyhdistelmä (9 akselia, 51 t)</t>
  </si>
  <si>
    <t>Maansiirtoauto (19 t)</t>
  </si>
  <si>
    <t>Pakettiauto (1.2 t)</t>
  </si>
  <si>
    <t>Jakelukuorma-auto, suuri</t>
  </si>
  <si>
    <t>Puoliperävaunuyhdistelmä</t>
  </si>
  <si>
    <t>Täysperävaunuyhdistelmä</t>
  </si>
  <si>
    <t>Täysperävaunuyhdistelmä (9 akselia)</t>
  </si>
  <si>
    <t>Maansiirtoauto</t>
  </si>
  <si>
    <t>Pakettiauto</t>
  </si>
  <si>
    <t>1993-1997 (EURO 1)</t>
  </si>
  <si>
    <t>1998-2001 (EURO 2)</t>
  </si>
  <si>
    <t>2002-2006 (EURO 3)</t>
  </si>
  <si>
    <t>2007-2011 (EURO 4)</t>
  </si>
  <si>
    <t>2012-2015 (EURO 5)</t>
  </si>
  <si>
    <t>2016- (EURO 6)</t>
  </si>
  <si>
    <t>Laskeminen</t>
  </si>
  <si>
    <t xml:space="preserve">// Laskentataulukko - Tiedot täytetään automaattisesti "Tie"-sivun tiedoista riippuen. </t>
  </si>
  <si>
    <t xml:space="preserve">     Huolellinen harkinta on tarpeen, jos laskelmaan suunnitellaan muutoksia. Kätettyjä kertoimia voidaan muuttaa "Tie_fx"- sivulla.</t>
  </si>
  <si>
    <t>SCOPE 3 - Satamassa vierailevia kuorma-autoja</t>
  </si>
  <si>
    <t>TOIMINTAAN PERUSTUVA (erityisiä tietoja saatavilla)</t>
  </si>
  <si>
    <t>Kuorma-auton tyyppi (mukaan lukien hyötykuormakapasiteetti tonneina)</t>
  </si>
  <si>
    <t>Kuorma-auton määrä</t>
  </si>
  <si>
    <t>Valmistusvuosi tai Päästöstandardi (EURO)</t>
  </si>
  <si>
    <t>Päästökerroin_täyteen lastattu (g CO2e/km)</t>
  </si>
  <si>
    <t>Päästökerroin_tyhjä    (g CO2e/km)</t>
  </si>
  <si>
    <t>Päästökerroin - Tyhjäkäynti (g CO2e/tunti)</t>
  </si>
  <si>
    <t>TOIMINTAAN PERUSTUVA (arvioitujen osuuksien perusteella)</t>
  </si>
  <si>
    <t>Kuorma-auton tyypin arvioitu osuus satamakäyntien kokonaismäärästä (%)</t>
  </si>
  <si>
    <t xml:space="preserve">// Kuorma-autojen käytöstä aiheutuvat päästöt satama-alueella lasketaan toimintatietojen perusteella. Polttoaine oletetaan dieseliksi. </t>
  </si>
  <si>
    <t xml:space="preserve">     Tyhjien ja täyteen lastattujen kuorma-autojen oletus on puolet edestakaisen matkan pituudesta.</t>
  </si>
  <si>
    <t xml:space="preserve">     Jos satamassa on huomattava määrä pakettiautoja tavaroiden kuljettamiseksi, tiedot voidaan lisätä kunkin taulukon lopussa olevalle erilliselle riville. </t>
  </si>
  <si>
    <t xml:space="preserve">     Pudotusvalikot ovat käytettävissä kuorma-auton tyypeille ja valmistusvuosille.</t>
  </si>
  <si>
    <t xml:space="preserve">     Kuorma-autojen lopullista määrää ei lisätä automaattisesti viereisiin taulukoihin, koska tämä laskelma toimii suuntaa-antava ohjeistuksena.</t>
  </si>
  <si>
    <t xml:space="preserve">     Jos arvoja käytetään, ne on lisättävä taulukoihin manuaalisesti.</t>
  </si>
  <si>
    <t>Lastin paino vuodessa (tonneina)</t>
  </si>
  <si>
    <t>Tavallinen kuorma-auton tyyppi</t>
  </si>
  <si>
    <t>Tavallisen kuorma-auton hyötykuormakapasiteetti (tonneina)</t>
  </si>
  <si>
    <t>Tarvittava määrä kuorma-autoja</t>
  </si>
  <si>
    <t>Junaveturit, sähkö</t>
  </si>
  <si>
    <r>
      <rPr>
        <b/>
        <sz val="12"/>
        <color rgb="FFFF0000"/>
        <rFont val="Calibri"/>
        <family val="2"/>
        <scheme val="minor"/>
      </rPr>
      <t>Päästöt</t>
    </r>
    <r>
      <rPr>
        <b/>
        <i/>
        <sz val="12"/>
        <color rgb="FFFF0000"/>
        <rFont val="Calibri"/>
        <family val="2"/>
        <scheme val="minor"/>
      </rPr>
      <t xml:space="preserve"> Sähköjuna</t>
    </r>
    <r>
      <rPr>
        <sz val="12"/>
        <color theme="1"/>
        <rFont val="Calibri"/>
        <family val="2"/>
        <scheme val="minor"/>
      </rPr>
      <t xml:space="preserve"> = </t>
    </r>
    <r>
      <rPr>
        <sz val="12"/>
        <color theme="9"/>
        <rFont val="Calibri"/>
        <family val="2"/>
        <scheme val="minor"/>
      </rPr>
      <t>Sähkönkulutus (kWh)</t>
    </r>
    <r>
      <rPr>
        <sz val="12"/>
        <color theme="1"/>
        <rFont val="Calibri"/>
        <family val="2"/>
        <scheme val="minor"/>
      </rPr>
      <t xml:space="preserve"> x </t>
    </r>
    <r>
      <rPr>
        <sz val="12"/>
        <color theme="5"/>
        <rFont val="Calibri"/>
        <family val="2"/>
        <scheme val="minor"/>
      </rPr>
      <t>Päästökerroin (g CO2e/kWh)</t>
    </r>
  </si>
  <si>
    <t>*kulutus = ilmajohdosta otettu sähkö (ajoverkko)</t>
  </si>
  <si>
    <t>VTT Lipasto -&gt; Sähköjuna ei aiheuta päästöjä ajon aikana.</t>
  </si>
  <si>
    <t>&gt; Sähkönkulutus = 14 kWh/km</t>
  </si>
  <si>
    <t>&gt; 0.027 kWh/tonne-km</t>
  </si>
  <si>
    <t>Junaveturit, diesel</t>
  </si>
  <si>
    <t>Kuljetun matkan perusteella</t>
  </si>
  <si>
    <r>
      <rPr>
        <b/>
        <sz val="12"/>
        <color rgb="FFFF0000"/>
        <rFont val="Calibri"/>
        <family val="2"/>
        <scheme val="minor"/>
      </rPr>
      <t xml:space="preserve">Päästöt </t>
    </r>
    <r>
      <rPr>
        <b/>
        <i/>
        <sz val="12"/>
        <color rgb="FFFF0000"/>
        <rFont val="Calibri"/>
        <family val="2"/>
        <scheme val="minor"/>
      </rPr>
      <t>diesel_km</t>
    </r>
    <r>
      <rPr>
        <sz val="12"/>
        <color theme="1"/>
        <rFont val="Calibri"/>
        <family val="2"/>
        <scheme val="minor"/>
      </rPr>
      <t xml:space="preserve"> = </t>
    </r>
    <r>
      <rPr>
        <sz val="12"/>
        <color rgb="FF00B0F0"/>
        <rFont val="Calibri"/>
        <family val="2"/>
        <scheme val="minor"/>
      </rPr>
      <t>Kuljettu matka (km)</t>
    </r>
    <r>
      <rPr>
        <sz val="12"/>
        <color theme="1"/>
        <rFont val="Calibri"/>
        <family val="2"/>
        <scheme val="minor"/>
      </rPr>
      <t xml:space="preserve"> x </t>
    </r>
    <r>
      <rPr>
        <sz val="12"/>
        <color theme="5"/>
        <rFont val="Calibri"/>
        <family val="2"/>
        <scheme val="minor"/>
      </rPr>
      <t>Päästökerroin (g CO2e/km)</t>
    </r>
  </si>
  <si>
    <t>Päästökertoimet_kilometria kohti</t>
  </si>
  <si>
    <t>Junan tyyppi</t>
  </si>
  <si>
    <t>tyhjä/lastattu</t>
  </si>
  <si>
    <t>g CO2e/km</t>
  </si>
  <si>
    <t>g CO2e/tkm</t>
  </si>
  <si>
    <t>g CO2e/kontti km</t>
  </si>
  <si>
    <t>Sekatavarajuna</t>
  </si>
  <si>
    <t>Raakapuujuna</t>
  </si>
  <si>
    <t>lastattu</t>
  </si>
  <si>
    <t>tyhjä</t>
  </si>
  <si>
    <t>Malmijuna</t>
  </si>
  <si>
    <t>Konttijuna</t>
  </si>
  <si>
    <t>Polttoaineen kulutuksen perusteella</t>
  </si>
  <si>
    <t>Päästökertoimet_ polttoaineen kulutuksen perusteella</t>
  </si>
  <si>
    <r>
      <rPr>
        <b/>
        <sz val="12"/>
        <color rgb="FFFF0000"/>
        <rFont val="Calibri"/>
        <family val="2"/>
        <scheme val="minor"/>
      </rPr>
      <t xml:space="preserve">Päästöt </t>
    </r>
    <r>
      <rPr>
        <b/>
        <i/>
        <sz val="12"/>
        <color rgb="FFFF0000"/>
        <rFont val="Calibri"/>
        <family val="2"/>
        <scheme val="minor"/>
      </rPr>
      <t>polttoaine</t>
    </r>
    <r>
      <rPr>
        <sz val="12"/>
        <color theme="1"/>
        <rFont val="Calibri"/>
        <family val="2"/>
        <scheme val="minor"/>
      </rPr>
      <t xml:space="preserve"> = </t>
    </r>
    <r>
      <rPr>
        <sz val="12"/>
        <color theme="1" tint="0.249977111117893"/>
        <rFont val="Calibri"/>
        <family val="2"/>
        <scheme val="minor"/>
      </rPr>
      <t>Polttoaineen kulutus (litra)</t>
    </r>
    <r>
      <rPr>
        <sz val="12"/>
        <color theme="1"/>
        <rFont val="Calibri"/>
        <family val="2"/>
        <scheme val="minor"/>
      </rPr>
      <t xml:space="preserve"> x </t>
    </r>
    <r>
      <rPr>
        <sz val="12"/>
        <color theme="5"/>
        <rFont val="Calibri"/>
        <family val="2"/>
        <scheme val="minor"/>
      </rPr>
      <t>Päästökerroin (g CO2e/litra)</t>
    </r>
  </si>
  <si>
    <t>(t CO2e/litraa polttoaine)</t>
  </si>
  <si>
    <t>Time-in-notch</t>
  </si>
  <si>
    <r>
      <rPr>
        <b/>
        <sz val="12"/>
        <color rgb="FFFF0000"/>
        <rFont val="Calibri"/>
        <family val="2"/>
        <scheme val="minor"/>
      </rPr>
      <t xml:space="preserve">Päästöt </t>
    </r>
    <r>
      <rPr>
        <b/>
        <i/>
        <sz val="12"/>
        <color rgb="FFFF0000"/>
        <rFont val="Calibri"/>
        <family val="2"/>
        <scheme val="minor"/>
      </rPr>
      <t>diesel junaveturit</t>
    </r>
    <r>
      <rPr>
        <sz val="12"/>
        <color theme="1"/>
        <rFont val="Calibri"/>
        <family val="2"/>
        <scheme val="minor"/>
      </rPr>
      <t xml:space="preserve"> = </t>
    </r>
    <r>
      <rPr>
        <sz val="12"/>
        <color theme="4" tint="-0.249977111117893"/>
        <rFont val="Calibri"/>
        <family val="2"/>
        <scheme val="minor"/>
      </rPr>
      <t>Energiankulutus (kWh)</t>
    </r>
    <r>
      <rPr>
        <sz val="12"/>
        <color theme="1"/>
        <rFont val="Calibri"/>
        <family val="2"/>
        <scheme val="minor"/>
      </rPr>
      <t xml:space="preserve"> x </t>
    </r>
    <r>
      <rPr>
        <sz val="12"/>
        <color theme="5"/>
        <rFont val="Calibri"/>
        <family val="2"/>
        <scheme val="minor"/>
      </rPr>
      <t>Päästökerroin (g CO2e/kWh)</t>
    </r>
  </si>
  <si>
    <t>1 g/bhp-hr tai g/hp-hr</t>
  </si>
  <si>
    <t>=</t>
  </si>
  <si>
    <t>g/kWh</t>
  </si>
  <si>
    <t>*MRP = maximum rated power</t>
  </si>
  <si>
    <t>Päästökerroin per kWh</t>
  </si>
  <si>
    <t>Moodi</t>
  </si>
  <si>
    <t>Dynaaminen jarrutus</t>
  </si>
  <si>
    <t>Tyhjäkäynti</t>
  </si>
  <si>
    <t>Notch 1</t>
  </si>
  <si>
    <t>Notch 2</t>
  </si>
  <si>
    <t>Notch 3</t>
  </si>
  <si>
    <t>Vaihtoveturi</t>
  </si>
  <si>
    <t>Notch 4</t>
  </si>
  <si>
    <t>Veturin tyyppi</t>
  </si>
  <si>
    <t>Notch 5</t>
  </si>
  <si>
    <t>Notch 6</t>
  </si>
  <si>
    <t>RR switch Tier 0</t>
  </si>
  <si>
    <t>Notch 7</t>
  </si>
  <si>
    <t>RR Tier 1</t>
  </si>
  <si>
    <t>Notch 8</t>
  </si>
  <si>
    <t>RR Tier 2</t>
  </si>
  <si>
    <t>RR Tier 3</t>
  </si>
  <si>
    <t>RR Tier 3+</t>
  </si>
  <si>
    <t>RR Tier 4</t>
  </si>
  <si>
    <t>RR Genset</t>
  </si>
  <si>
    <t xml:space="preserve">// Laskentataulukko - Tiedot täytetään automaattisesti "Rautatie"-sivun tiedoista riippuen. </t>
  </si>
  <si>
    <t>SCOPE 3 - Satamassa vierailevia junia</t>
  </si>
  <si>
    <t>Tavarajuna, diesel - kuljettu matka</t>
  </si>
  <si>
    <t>Omistaja/Kuljettaja</t>
  </si>
  <si>
    <t>Rautatieverkoston pituus satama-alueella (km) -&gt; edestakainen matka yhdelle junalle</t>
  </si>
  <si>
    <t>Junan määrä vuodessa</t>
  </si>
  <si>
    <t>Kuljettu matka, lastattuna (km)</t>
  </si>
  <si>
    <t>Kuljettu matka, tyhjänä (km)</t>
  </si>
  <si>
    <t>Päästökerroin_lastattu (g CO2e/km)</t>
  </si>
  <si>
    <t>Tavarajuna, sähkö- kuljettu matka</t>
  </si>
  <si>
    <t>Sähkön tyypi</t>
  </si>
  <si>
    <t>Kuljettu matka (km)</t>
  </si>
  <si>
    <t>Sähkön päästökerroin (g CO2e/kWh)</t>
  </si>
  <si>
    <t>Sähkönkulutus junaa kohti (kWh/km)</t>
  </si>
  <si>
    <t>// Satama-alueen junien liikennöinnin aiheuttamat päästöt lasketaan kuljetun matkan perusteella.</t>
  </si>
  <si>
    <t xml:space="preserve">     Ensimmäistä taulukkoa käytetään dieseljunille ja toista sähköjunille.</t>
  </si>
  <si>
    <t xml:space="preserve">     Pudotusvalikot ovat käytettävissä junan tyypeille ja sähköntyypille.</t>
  </si>
  <si>
    <r>
      <rPr>
        <b/>
        <sz val="12"/>
        <color rgb="FFFF0000"/>
        <rFont val="Calibri"/>
        <family val="2"/>
        <scheme val="minor"/>
      </rPr>
      <t xml:space="preserve">Päästöt </t>
    </r>
    <r>
      <rPr>
        <b/>
        <i/>
        <sz val="12"/>
        <color rgb="FFFF0000"/>
        <rFont val="Calibri"/>
        <family val="2"/>
        <scheme val="minor"/>
      </rPr>
      <t>Kiinteät energialähteet</t>
    </r>
    <r>
      <rPr>
        <b/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= </t>
    </r>
    <r>
      <rPr>
        <sz val="12"/>
        <color theme="9" tint="-0.249977111117893"/>
        <rFont val="Calibri"/>
        <family val="2"/>
        <scheme val="minor"/>
      </rPr>
      <t>Polttoaineen kulutus (litra tai kg)</t>
    </r>
    <r>
      <rPr>
        <sz val="12"/>
        <color theme="1"/>
        <rFont val="Calibri"/>
        <family val="2"/>
        <scheme val="minor"/>
      </rPr>
      <t xml:space="preserve"> x </t>
    </r>
    <r>
      <rPr>
        <sz val="12"/>
        <color theme="5"/>
        <rFont val="Calibri"/>
        <family val="2"/>
        <scheme val="minor"/>
      </rPr>
      <t>Päästökerroin (tonnia CO2e/litra tai kg)</t>
    </r>
  </si>
  <si>
    <t>Kiintiden energialähteiden tyyppejä</t>
  </si>
  <si>
    <t>Voimalaitos</t>
  </si>
  <si>
    <t>Boileri</t>
  </si>
  <si>
    <t>Generaattori</t>
  </si>
  <si>
    <t>CO2e (mass)</t>
  </si>
  <si>
    <t>CO2e (vol)</t>
  </si>
  <si>
    <t>(Polttolaitos)</t>
  </si>
  <si>
    <t>[t CO2e/kg]</t>
  </si>
  <si>
    <t>[t CO2e/litre]</t>
  </si>
  <si>
    <t>(Jätevesilaitos)</t>
  </si>
  <si>
    <t>Yhdyskuntajäte (ei biomassaa)</t>
  </si>
  <si>
    <t>Jäteöljyt</t>
  </si>
  <si>
    <t>Turve</t>
  </si>
  <si>
    <t>Puu</t>
  </si>
  <si>
    <t>Muu ensisijainen kiinteä biomassa</t>
  </si>
  <si>
    <t>Puuhiili/Hiili</t>
  </si>
  <si>
    <t>Biobensiini</t>
  </si>
  <si>
    <t>Biodiesel</t>
  </si>
  <si>
    <t>Muut nestemäiset biopolttoaineet</t>
  </si>
  <si>
    <t>Kaatopaikkakaasu</t>
  </si>
  <si>
    <t>Lietekaasu</t>
  </si>
  <si>
    <t>Muut biokaasut</t>
  </si>
  <si>
    <t>Yhdyskuntajäte (biomassa)</t>
  </si>
  <si>
    <t>Raakaöljy</t>
  </si>
  <si>
    <t>Maakaasunesteet</t>
  </si>
  <si>
    <t>Moottoribensiini</t>
  </si>
  <si>
    <t>Liuskeöljy</t>
  </si>
  <si>
    <t>Dieselöljy</t>
  </si>
  <si>
    <t>Jäännöspolttoöljy</t>
  </si>
  <si>
    <t>Etaani</t>
  </si>
  <si>
    <t>Muut öljytuotteet</t>
  </si>
  <si>
    <t>Ruskohiili</t>
  </si>
  <si>
    <t xml:space="preserve">Öljyliuske ja tervahiekka </t>
  </si>
  <si>
    <t>Ruskohiilibriketit</t>
  </si>
  <si>
    <t>Maakaasu</t>
  </si>
  <si>
    <t>Päästöjä per polttoainetyyppi</t>
  </si>
  <si>
    <t>CO2 (massa)</t>
  </si>
  <si>
    <t>CO2 (tilavuus)</t>
  </si>
  <si>
    <t>CH4 (massa)</t>
  </si>
  <si>
    <t>CH4 (tilavuus)</t>
  </si>
  <si>
    <t>N2O (massa)</t>
  </si>
  <si>
    <t>N2O (tilavuus)</t>
  </si>
  <si>
    <t>CO2e (massa)</t>
  </si>
  <si>
    <t>CO2e (tilavuus)</t>
  </si>
  <si>
    <t>[t CO2e/litra]</t>
  </si>
  <si>
    <t>Yhdyskuntajäte (ei biomassa)</t>
  </si>
  <si>
    <t/>
  </si>
  <si>
    <t>Hiili</t>
  </si>
  <si>
    <t>Biodieselit</t>
  </si>
  <si>
    <t>Muu biokaasu</t>
  </si>
  <si>
    <t>Yhdyskuntajätteet (biomassa)</t>
  </si>
  <si>
    <t>Orimulsion</t>
  </si>
  <si>
    <t>Lentobensiini</t>
  </si>
  <si>
    <t>Jet bensiini</t>
  </si>
  <si>
    <t>Jet kerosiini</t>
  </si>
  <si>
    <t>Muu kerosiini</t>
  </si>
  <si>
    <t>Kaasu-/dieselöljy</t>
  </si>
  <si>
    <t>Nestekaasut</t>
  </si>
  <si>
    <t>Nafta</t>
  </si>
  <si>
    <t>Bitumi</t>
  </si>
  <si>
    <t>Voiteluöljyt</t>
  </si>
  <si>
    <t>Petroli koksi</t>
  </si>
  <si>
    <t>Jalostamon raaka-aine</t>
  </si>
  <si>
    <t>Jalostamon kaasu</t>
  </si>
  <si>
    <t>Parafiinivahat</t>
  </si>
  <si>
    <t>Lakkabensiini ja SBP</t>
  </si>
  <si>
    <t>Muut petrolituotteet</t>
  </si>
  <si>
    <t>Antrasiitti</t>
  </si>
  <si>
    <t>Koksihiili</t>
  </si>
  <si>
    <t>Muu bitumihiili</t>
  </si>
  <si>
    <t>Osabitumihiili</t>
  </si>
  <si>
    <t>Ligniitti</t>
  </si>
  <si>
    <t>Öljyliuske ja tervahiekka</t>
  </si>
  <si>
    <t>Patent Fuel hiilibriketti?</t>
  </si>
  <si>
    <t>Koksiuunikoksi ja ligniittikoksi</t>
  </si>
  <si>
    <t>Kaasukoksi</t>
  </si>
  <si>
    <t>Kivihiiliterva</t>
  </si>
  <si>
    <t>Jakelukaasu</t>
  </si>
  <si>
    <t>Koksaamokaasu</t>
  </si>
  <si>
    <t>Oxygen Steel Furnance Gas</t>
  </si>
  <si>
    <t xml:space="preserve">// Laskentataulukko - Tiedot täytetään automaattisesti "KEL"-sivun tiedoista riippuen. </t>
  </si>
  <si>
    <t xml:space="preserve">     Huolellinen harkinta on tarpeen, jos laskelmaan suunnitellaan muutoksia. Kätettyjä kertoimia voidaan muuttaa "KEL_fx"- sivulla.</t>
  </si>
  <si>
    <t>Kiinteän energianlähteen tyyppi</t>
  </si>
  <si>
    <t>Kiinteän energialähteen määrä</t>
  </si>
  <si>
    <t>Polttoaineen kulutus</t>
  </si>
  <si>
    <t>Polttoaineen kulutuksen mittayksikkö</t>
  </si>
  <si>
    <t>Päästökerroin                (t CO2e/kg)</t>
  </si>
  <si>
    <t>Päästökerroin                (t CO2e/litra)</t>
  </si>
  <si>
    <t>Päästöt - Scope 1</t>
  </si>
  <si>
    <t>Kiinteän energialähteen tyyppi</t>
  </si>
  <si>
    <t>Omistaja</t>
  </si>
  <si>
    <t>// Kiinteiden energialähteiden käytöstä satama-alueella aiheutuvat päästöt lasketaan kulutetun polttoaineen perusteella.</t>
  </si>
  <si>
    <t xml:space="preserve">     Satamalaitoksen omistamat kiinteät energialähteet kuuuluvat Scope-luokkaan 1. Jos kiinteä energialähde sijaitsee satama-alueella, mutta sitä käyttää vuokralainen, se on kohdistettu Scope-luokkaan 3.</t>
  </si>
  <si>
    <t xml:space="preserve">     Pudotusvalikot ovat saatavilla polttoainetyypille ja polttoaineenkulutuksen mittayksikköön. </t>
  </si>
  <si>
    <t>Kiinteiden energialähden määrä</t>
  </si>
  <si>
    <t>Henkilöautot &amp; työntekijöiden työmatkaliikenne</t>
  </si>
  <si>
    <t>*satamaviranomaisen työntekijät</t>
  </si>
  <si>
    <t>Etäisyyteen perustuva menetelmä</t>
  </si>
  <si>
    <t>*henkilökohtainen laskelma kullekin työntekijälle etäisyyden ja kuljetustavan perusteella</t>
  </si>
  <si>
    <t>Kulkutapa</t>
  </si>
  <si>
    <t>Selitys</t>
  </si>
  <si>
    <t>Lähde</t>
  </si>
  <si>
    <r>
      <rPr>
        <b/>
        <sz val="12"/>
        <color rgb="FFFF0000"/>
        <rFont val="Calibri"/>
        <family val="2"/>
        <scheme val="minor"/>
      </rPr>
      <t xml:space="preserve">Päästöt </t>
    </r>
    <r>
      <rPr>
        <b/>
        <i/>
        <sz val="12"/>
        <color rgb="FFFF0000"/>
        <rFont val="Calibri"/>
        <family val="2"/>
        <scheme val="minor"/>
      </rPr>
      <t>työmatkaliikenne</t>
    </r>
    <r>
      <rPr>
        <sz val="12"/>
        <color theme="1"/>
        <rFont val="Calibri"/>
        <family val="2"/>
        <scheme val="minor"/>
      </rPr>
      <t xml:space="preserve">= </t>
    </r>
    <r>
      <rPr>
        <sz val="12"/>
        <color theme="7" tint="-0.249977111117893"/>
        <rFont val="Calibri"/>
        <family val="2"/>
        <scheme val="minor"/>
      </rPr>
      <t>yksisuuntainen työmatka (km)</t>
    </r>
    <r>
      <rPr>
        <sz val="12"/>
        <color theme="1"/>
        <rFont val="Calibri"/>
        <family val="2"/>
        <scheme val="minor"/>
      </rPr>
      <t xml:space="preserve"> x 2 x</t>
    </r>
    <r>
      <rPr>
        <sz val="12"/>
        <color theme="5" tint="-0.249977111117893"/>
        <rFont val="Calibri"/>
        <family val="2"/>
        <scheme val="minor"/>
      </rPr>
      <t xml:space="preserve"> </t>
    </r>
    <r>
      <rPr>
        <sz val="12"/>
        <color rgb="FF7030A0"/>
        <rFont val="Calibri"/>
        <family val="2"/>
        <scheme val="minor"/>
      </rPr>
      <t>työpäivät/vuosi</t>
    </r>
    <r>
      <rPr>
        <sz val="12"/>
        <color theme="1"/>
        <rFont val="Calibri"/>
        <family val="2"/>
        <scheme val="minor"/>
      </rPr>
      <t xml:space="preserve"> x</t>
    </r>
    <r>
      <rPr>
        <sz val="12"/>
        <color theme="5"/>
        <rFont val="Calibri"/>
        <family val="2"/>
        <scheme val="minor"/>
      </rPr>
      <t xml:space="preserve"> Päästökerroin (g CO2e/pkm)</t>
    </r>
  </si>
  <si>
    <t>g CO2e/pkm</t>
  </si>
  <si>
    <t>Auto</t>
  </si>
  <si>
    <t>bensiini</t>
  </si>
  <si>
    <t>Keskiarvo (73% valtatie + 27% taajama)</t>
  </si>
  <si>
    <t>VTT Technical Research Centre of Finland Ltd. LIPASTO unit emissions -database. [Accessed 14.07.2021]. Available at: lipasto.vtt.fi/yksikkopaastot/</t>
  </si>
  <si>
    <t>Keskimääräisten tietojen menetelmä</t>
  </si>
  <si>
    <t>1993 – 1996 (EURO 1)</t>
  </si>
  <si>
    <t>*keskimääräinen laskelma perustuu tiettyjä kuljetusmuotoja käyttävien työntekijöiden prosenttiosuuteen</t>
  </si>
  <si>
    <t>1997 – 2000 (EURO 2)</t>
  </si>
  <si>
    <r>
      <rPr>
        <b/>
        <sz val="12"/>
        <color rgb="FFFF0000"/>
        <rFont val="Calibri"/>
        <family val="2"/>
        <scheme val="minor"/>
      </rPr>
      <t xml:space="preserve">Päästöt </t>
    </r>
    <r>
      <rPr>
        <b/>
        <i/>
        <sz val="12"/>
        <color rgb="FFFF0000"/>
        <rFont val="Calibri"/>
        <family val="2"/>
        <scheme val="minor"/>
      </rPr>
      <t>työmatkaliikenne</t>
    </r>
    <r>
      <rPr>
        <sz val="12"/>
        <color theme="1"/>
        <rFont val="Calibri"/>
        <family val="2"/>
        <scheme val="minor"/>
      </rPr>
      <t xml:space="preserve"> = Työntekijöiden kokonaismäärä x Prosenttiosuus kuljetusmuotoa kohti (%) x </t>
    </r>
    <r>
      <rPr>
        <sz val="12"/>
        <color theme="7" tint="-0.249977111117893"/>
        <rFont val="Calibri"/>
        <family val="2"/>
        <scheme val="minor"/>
      </rPr>
      <t>keskimääräinen yksisuuntainen työmatka (km)</t>
    </r>
    <r>
      <rPr>
        <sz val="12"/>
        <color theme="1"/>
        <rFont val="Calibri"/>
        <family val="2"/>
        <scheme val="minor"/>
      </rPr>
      <t xml:space="preserve"> x 2 x </t>
    </r>
    <r>
      <rPr>
        <sz val="12"/>
        <color rgb="FF7030A0"/>
        <rFont val="Calibri"/>
        <family val="2"/>
        <scheme val="minor"/>
      </rPr>
      <t>työpäivät/vuosi</t>
    </r>
    <r>
      <rPr>
        <sz val="12"/>
        <color theme="1"/>
        <rFont val="Calibri"/>
        <family val="2"/>
        <scheme val="minor"/>
      </rPr>
      <t xml:space="preserve"> x </t>
    </r>
    <r>
      <rPr>
        <sz val="12"/>
        <color theme="5"/>
        <rFont val="Calibri"/>
        <family val="2"/>
        <scheme val="minor"/>
      </rPr>
      <t>Päästökerroin (g CO2e/pkm)</t>
    </r>
  </si>
  <si>
    <t>2001 – 2005 (EURO 3)</t>
  </si>
  <si>
    <t>2006 – 2009 (EURO 4)</t>
  </si>
  <si>
    <t>o menetelmä valittu käytettävissä olevien tietojen ja niiden yksityiskohtien sekä työntekijöiden määrän mukaan</t>
  </si>
  <si>
    <t>2010 – 2014 (EURO 5)</t>
  </si>
  <si>
    <t xml:space="preserve">2014 - (EURO 6) </t>
  </si>
  <si>
    <t>diesel</t>
  </si>
  <si>
    <t>Päästökertoimet (polttoainepohjaisia)</t>
  </si>
  <si>
    <t>Polttoaineen tyyppi_kuljetun matkan perusteella</t>
  </si>
  <si>
    <t>Hybridi</t>
  </si>
  <si>
    <t>Nestekaasu</t>
  </si>
  <si>
    <t>Paineistettu maakaasu</t>
  </si>
  <si>
    <t>Biokaasu</t>
  </si>
  <si>
    <t>sähkö (EV)</t>
  </si>
  <si>
    <t>Keskiarvo (73% valtatie + 27% taajama) -&gt; 0.1 kWh/pkm &amp; päästökerroin sähkönkulutukselle Suomessa (gCO2/kWh) 2020: 72</t>
  </si>
  <si>
    <t xml:space="preserve">VTT Technical Research Centre of Finland Ltd. LIPASTO unit emissions -database. [Accessed 14.07.2021]. Available at: lipasto.vtt.fi/yksikkopaastot/ &amp; Fingrid, 2021. [Accessed: 14.07.2021] Available at: https://www.fingrid.fi/en/electricity-market/electricity-market-information/real-time-co2-emissions-estimate/ </t>
  </si>
  <si>
    <t>&amp; sähkö (48%)!</t>
  </si>
  <si>
    <t>Korkealaatuinen etanoli</t>
  </si>
  <si>
    <t>Hybridi (PHEV, ladattava hybridi)</t>
  </si>
  <si>
    <t>tosielämän ajon osuus: Euroopan keskiarvo -&gt; 48% sähkö + 52% bensiini (perustuen Norja 53% &amp; Saksa 43%)</t>
  </si>
  <si>
    <t>International Council on Clean Transportation, 2020. (https://theicct.org/sites/default/files/PHEV-FS-EN-sept2020-0.pdf), accessed: 14.07.2021</t>
  </si>
  <si>
    <t>paineistettu maakaasu</t>
  </si>
  <si>
    <t>biokaasu</t>
  </si>
  <si>
    <t>LCA päästöt -&gt; "ei" päästöjä käyttövaiheessa (biometaanisekoitus tuotettu maissista, nestemäisestä lannasta ja orgaanisesta jätteestä)</t>
  </si>
  <si>
    <t>IRENA (2018), Biogas for road vehicles: Technology brief, International Renewable Energy Agency, Abu Dhabi. [https://www.irena.org/-/media/files/irena/agency/publication/2017/mar/irena_biogas_for_road_vehicles_2017.pdf], retrieved 14.07.21</t>
  </si>
  <si>
    <t>korkealaatuinen etanoli</t>
  </si>
  <si>
    <t>Moottoripyörä</t>
  </si>
  <si>
    <t>Keskiarvo (ennen 1998 vuoteen 2016) &amp; 2-tahti + 4-tahti moottoripyörät</t>
  </si>
  <si>
    <t>Mopo</t>
  </si>
  <si>
    <t>Keskiarvo (ennen 1998 vuoteen 2016)</t>
  </si>
  <si>
    <t>Taksi</t>
  </si>
  <si>
    <t>Keskiarvo (ennen 1998 vuoteen 2016) &amp; keskiarvo (73% valtatie + 27% taajama) &amp; keskiarvopolttoaine (41% diesel)</t>
  </si>
  <si>
    <t>Juna</t>
  </si>
  <si>
    <t>sähkö, intercity</t>
  </si>
  <si>
    <t xml:space="preserve">Master's thesis, University of Jyväskylä, 2021. (https://jyx.jyu.fi/bitstream/handle/123456789/75053/URN%3ANBN%3Afi%3Ajyu-202104142365.pdf?sequence=1) </t>
  </si>
  <si>
    <t>Bussi</t>
  </si>
  <si>
    <t>Polkupyörä</t>
  </si>
  <si>
    <t>Jalkaisin</t>
  </si>
  <si>
    <t>Henkilöautot &amp; työmatkaliikenne</t>
  </si>
  <si>
    <t xml:space="preserve">// Laskentataulukko - Tiedot täytetään automaattisesti "Henkilöautot"-sivun tiedoista riippuen. </t>
  </si>
  <si>
    <t xml:space="preserve">     Huolellinen harkinta on tarpeen, jos laskelmaan suunnitellaan muutoksia. Kätettyjä kertoimia voidaan muuttaa "Henkilöautot_fx"- sivulla.</t>
  </si>
  <si>
    <t>SCOPE 1 - Satamalaitoksen autokanta</t>
  </si>
  <si>
    <t>Henkilöauton tyyppi</t>
  </si>
  <si>
    <t>Kuljettu matka vuodessa (km)</t>
  </si>
  <si>
    <t>Päästökerroin 1                        (g CO2e/pkm)</t>
  </si>
  <si>
    <t>Päästökerroin 2          (g CO2e/pkm)</t>
  </si>
  <si>
    <t>Polttoaineen kulutus vuodessa (litra)</t>
  </si>
  <si>
    <t>Sähkönkulutus vuodessa (kWh)</t>
  </si>
  <si>
    <t>Päästökerroin_fossiiliset polttoaine (t CO2e/litra)</t>
  </si>
  <si>
    <t>Päästöt - oma autokanta</t>
  </si>
  <si>
    <t>Päästöt - työmatka kodin ja työpaikan välillä</t>
  </si>
  <si>
    <t>SCOPE 3 - Satamalaitoksen työntekijöiden työmatkaliikenne</t>
  </si>
  <si>
    <t>Auton tyyppi</t>
  </si>
  <si>
    <t>Yksisuuntainen työmatka kodin ja työpaikan välillä (km)</t>
  </si>
  <si>
    <t>Työpäivät vuodessa (työmatkapäivät)</t>
  </si>
  <si>
    <t>Päästökerroin 1          (g CO2e/pkm)</t>
  </si>
  <si>
    <t>Päästökerroin 2 (g CO2e/pkm)</t>
  </si>
  <si>
    <t>Kulkumuoto</t>
  </si>
  <si>
    <t>Päästökerroin              (g CO2e/pkm)</t>
  </si>
  <si>
    <t xml:space="preserve">     Saatavilla olevat polttoainetyypit vaihtelevat hieman kahden laskentatavan välillä. </t>
  </si>
  <si>
    <t>// Satamalaitoksen työntekijöiden työmatkoihin liittyvät päästöt perustuvat yhdensuuntaiseen työmatkaan ja työpäiviin vuodessa.</t>
  </si>
  <si>
    <t xml:space="preserve">     Pudotusvalikot ovat saatavilla päästöstandardille ja polttoaineen tyypille.</t>
  </si>
  <si>
    <r>
      <rPr>
        <b/>
        <sz val="12"/>
        <color rgb="FFFF0000"/>
        <rFont val="Calibri"/>
        <family val="2"/>
        <scheme val="minor"/>
      </rPr>
      <t xml:space="preserve">Päästöt </t>
    </r>
    <r>
      <rPr>
        <b/>
        <i/>
        <sz val="12"/>
        <color rgb="FFFF0000"/>
        <rFont val="Calibri"/>
        <family val="2"/>
        <scheme val="minor"/>
      </rPr>
      <t>Rakennuslaitteet</t>
    </r>
    <r>
      <rPr>
        <b/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= </t>
    </r>
    <r>
      <rPr>
        <sz val="12"/>
        <color theme="9" tint="-0.249977111117893"/>
        <rFont val="Calibri"/>
        <family val="2"/>
        <scheme val="minor"/>
      </rPr>
      <t>Polttoaineen kulutus (litra)</t>
    </r>
    <r>
      <rPr>
        <sz val="12"/>
        <color theme="1"/>
        <rFont val="Calibri"/>
        <family val="2"/>
        <scheme val="minor"/>
      </rPr>
      <t xml:space="preserve"> x</t>
    </r>
    <r>
      <rPr>
        <sz val="12"/>
        <color theme="5"/>
        <rFont val="Calibri"/>
        <family val="2"/>
        <scheme val="minor"/>
      </rPr>
      <t xml:space="preserve"> Päästökerroin (tonnia CO2e/litra)</t>
    </r>
  </si>
  <si>
    <t>Rakennuslaitteiden tyypit</t>
  </si>
  <si>
    <t>Ruoppauskone</t>
  </si>
  <si>
    <t>Maansiirtolaitteet</t>
  </si>
  <si>
    <t>Päällystyslaitteet</t>
  </si>
  <si>
    <t>Siirrettävät betoni- ja asfalttierälaitokset</t>
  </si>
  <si>
    <t>Kannettavat työmaageneraattorit</t>
  </si>
  <si>
    <t>Rakennuslaitteiden päästökertoimet polttoainetyyppiä kohti</t>
  </si>
  <si>
    <t>CO2 (vol)</t>
  </si>
  <si>
    <t>CH4 (vol)</t>
  </si>
  <si>
    <t>N2O (vol)</t>
  </si>
  <si>
    <t>[tonnia CO2e/litra]</t>
  </si>
  <si>
    <t>[tonnia CH4/litra]</t>
  </si>
  <si>
    <t>[tonnia N2O/litra]</t>
  </si>
  <si>
    <t>Moottoribensiini 4-tahti</t>
  </si>
  <si>
    <t>Moottoribensiini 2-tahti</t>
  </si>
  <si>
    <t xml:space="preserve">// Laskentataulukko - Tiedot täytetään automaattisesti "RL"-sivun tiedoista riippuen. </t>
  </si>
  <si>
    <t xml:space="preserve">     Huolellinen harkinta on tarpeen, jos laskelmaan suunnitellaan muutoksia. Kätettyjä kertoimia voidaan muuttaa "RL_fx"- sivulla.</t>
  </si>
  <si>
    <t>Rakennuslaitteiden tyyppi</t>
  </si>
  <si>
    <t>Polttoaineen kulutus (litra)</t>
  </si>
  <si>
    <t>Päästökerroin                   (t CO2e/litra)</t>
  </si>
  <si>
    <t xml:space="preserve">     Rakennuslaitteet voivat olla esimerkiksi seuraavia: Ruoppauskoneet, maansiirtolaitteet, päällystyslaitteet, siirrettävät betoni- ja asfalttiasemat sekä kannettavat työmaageneraattorit.</t>
  </si>
  <si>
    <t xml:space="preserve">     Pudotusvalikko on saatavilla polttoainetyypille.</t>
  </si>
  <si>
    <t xml:space="preserve">// Sivu täyttyy pääosin automaattisesti. Lisää vain sataman nimi, hiilijalanjäljen laskennan vuosi ja tiedot sataman kapasiteetista.
</t>
  </si>
  <si>
    <t>Linjakuljetusveturi -&gt; bhp-hr (jarru hevosvoima tunteina)</t>
  </si>
  <si>
    <r>
      <rPr>
        <b/>
        <sz val="12"/>
        <color rgb="FFFF0000"/>
        <rFont val="Calibri"/>
        <family val="2"/>
        <scheme val="minor"/>
      </rPr>
      <t xml:space="preserve">Päästöt </t>
    </r>
    <r>
      <rPr>
        <b/>
        <i/>
        <sz val="12"/>
        <color rgb="FFFF0000"/>
        <rFont val="Calibri"/>
        <family val="2"/>
        <scheme val="minor"/>
      </rPr>
      <t>diesel_tkm</t>
    </r>
    <r>
      <rPr>
        <b/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= </t>
    </r>
    <r>
      <rPr>
        <sz val="12"/>
        <color rgb="FF00B0F0"/>
        <rFont val="Calibri"/>
        <family val="2"/>
        <scheme val="minor"/>
      </rPr>
      <t>Kuljettu matka (km)</t>
    </r>
    <r>
      <rPr>
        <sz val="12"/>
        <color theme="1"/>
        <rFont val="Calibri"/>
        <family val="2"/>
        <scheme val="minor"/>
      </rPr>
      <t xml:space="preserve"> x</t>
    </r>
    <r>
      <rPr>
        <sz val="12"/>
        <color rgb="FF0070C0"/>
        <rFont val="Calibri"/>
        <family val="2"/>
        <scheme val="minor"/>
      </rPr>
      <t xml:space="preserve"> Kuorman paino (t)</t>
    </r>
    <r>
      <rPr>
        <sz val="12"/>
        <color theme="1"/>
        <rFont val="Calibri"/>
        <family val="2"/>
        <scheme val="minor"/>
      </rPr>
      <t xml:space="preserve"> x </t>
    </r>
    <r>
      <rPr>
        <sz val="12"/>
        <color theme="5"/>
        <rFont val="Calibri"/>
        <family val="2"/>
        <scheme val="minor"/>
      </rPr>
      <t>Päästökerroin (g CO2e/tkm)</t>
    </r>
  </si>
  <si>
    <t>Kuormituskerroin</t>
  </si>
  <si>
    <t>Masuunikaasu</t>
  </si>
  <si>
    <t>[tonnia CO2e/kg]</t>
  </si>
  <si>
    <t>[tonnia CH4/kg]</t>
  </si>
  <si>
    <t>[tonnia N2O/kg]</t>
  </si>
  <si>
    <r>
      <rPr>
        <b/>
        <sz val="12"/>
        <color theme="1"/>
        <rFont val="Calibri"/>
        <family val="2"/>
        <scheme val="minor"/>
      </rPr>
      <t>Energia</t>
    </r>
    <r>
      <rPr>
        <sz val="12"/>
        <color theme="1"/>
        <rFont val="Calibri"/>
        <family val="2"/>
        <scheme val="minor"/>
      </rPr>
      <t xml:space="preserve"> = MRP (kW) x</t>
    </r>
    <r>
      <rPr>
        <sz val="12"/>
        <color rgb="FF7030A0"/>
        <rFont val="Calibri"/>
        <family val="2"/>
        <scheme val="minor"/>
      </rPr>
      <t xml:space="preserve"> Kuormituskerroin</t>
    </r>
    <r>
      <rPr>
        <b/>
        <sz val="12"/>
        <color rgb="FFFFC000"/>
        <rFont val="Calibri"/>
        <family val="2"/>
        <scheme val="minor"/>
      </rPr>
      <t xml:space="preserve"> per kuristusläppä</t>
    </r>
    <r>
      <rPr>
        <sz val="12"/>
        <color theme="1"/>
        <rFont val="Calibri"/>
        <family val="2"/>
        <scheme val="minor"/>
      </rPr>
      <t xml:space="preserve"> x toiminta (tunnit per kuristusläppä)</t>
    </r>
  </si>
  <si>
    <t>Arvioidut kuormituskertoimet kuristusläpän mukaan</t>
  </si>
  <si>
    <t>Määsähkön käyttö</t>
  </si>
  <si>
    <t>Kaukojäähdytys</t>
  </si>
  <si>
    <t>o Vain jäähdytyslaitteista, jotka eivät ole satamassa tai eivät ole sataman omistuksessa</t>
  </si>
  <si>
    <t>Kaukolämpö (ja kaukojäähdytys)</t>
  </si>
  <si>
    <t xml:space="preserve">     Jos satamasi käyttää kaukojäähdytystä, sinun on täytettävä oma päästökerroin alueellesi. Tarkemmat ohjeet löytyvät opaskirjasta.</t>
  </si>
  <si>
    <t>Pääkoneen toimintatunnit - arvioitu, jos ei ole tiedossa</t>
  </si>
  <si>
    <t>Apukoneen toimintatunnit - arvioitu, jos ei ole tiedossa</t>
  </si>
  <si>
    <t>Oma lastinkäsittely</t>
  </si>
  <si>
    <t>Lastinkäsittely</t>
  </si>
  <si>
    <t>Rautatiekuljetukset</t>
  </si>
  <si>
    <t>Rakennuskalusto</t>
  </si>
  <si>
    <t>Satamaoperaattorien energiankulutus</t>
  </si>
  <si>
    <t>SCOPE 3 - Satamaoperaattorien energiaan liittyvät, epäsuorat päästöt</t>
  </si>
  <si>
    <t>LASTINKÄSITTELY</t>
  </si>
  <si>
    <r>
      <rPr>
        <b/>
        <sz val="14"/>
        <color rgb="FFFF0000"/>
        <rFont val="Calibri"/>
        <family val="2"/>
        <scheme val="minor"/>
      </rPr>
      <t xml:space="preserve">Päästöt </t>
    </r>
    <r>
      <rPr>
        <b/>
        <i/>
        <sz val="14"/>
        <color rgb="FFFF0000"/>
        <rFont val="Calibri"/>
        <family val="2"/>
        <scheme val="minor"/>
      </rPr>
      <t>Lastinkäsittely</t>
    </r>
    <r>
      <rPr>
        <sz val="14"/>
        <color theme="1"/>
        <rFont val="Calibri"/>
        <family val="2"/>
        <scheme val="minor"/>
      </rPr>
      <t xml:space="preserve"> = </t>
    </r>
    <r>
      <rPr>
        <sz val="14"/>
        <color theme="4"/>
        <rFont val="Calibri"/>
        <family val="2"/>
        <scheme val="minor"/>
      </rPr>
      <t>polttoainekulutus työkoneen kohti (litraa/vuosi)</t>
    </r>
    <r>
      <rPr>
        <sz val="14"/>
        <color theme="1"/>
        <rFont val="Calibri"/>
        <family val="2"/>
        <scheme val="minor"/>
      </rPr>
      <t xml:space="preserve"> x </t>
    </r>
    <r>
      <rPr>
        <b/>
        <sz val="14"/>
        <color theme="5"/>
        <rFont val="Calibri"/>
        <family val="2"/>
        <scheme val="minor"/>
      </rPr>
      <t>Päästökerroin</t>
    </r>
    <r>
      <rPr>
        <sz val="14"/>
        <color theme="5"/>
        <rFont val="Calibri"/>
        <family val="2"/>
        <scheme val="minor"/>
      </rPr>
      <t xml:space="preserve"> (g CO2e/litra)</t>
    </r>
  </si>
  <si>
    <t>SCOPE 3 - Satama-alueella operaattorien käyttämät kiinteät energialähteet</t>
  </si>
  <si>
    <t>SCOPE 1 - Sataman omistamat kiinteät energialähteet</t>
  </si>
  <si>
    <t>*Kaukojäähdystys Helsingissä: päästökerroin = 0 g/kWh vuodesta 2020 lähtien (lämpöpumppulaitos)</t>
  </si>
  <si>
    <t xml:space="preserve">     Pudotusvalikot ovat saatavilla päästöstandardille, polttoainetyypille ja työmatkan kulkutavalle. </t>
  </si>
  <si>
    <t xml:space="preserve">     Laskentataulukko voi laskea päästöt enintään 60 henkilöauton työmatkalle ja saman verran muilla kulkutavoilla liikkuville.</t>
  </si>
  <si>
    <t>Yhdensuuntainen työmatka kodin ja työpaikan välillä (km)</t>
  </si>
  <si>
    <t>Aluksia vuodessa</t>
  </si>
  <si>
    <t>Konttien lukumäärä</t>
  </si>
  <si>
    <t>Tavaraliikenne</t>
  </si>
  <si>
    <t>// Täytä kaikki olemassa olevat tiedot sataman omistamista ja satama-alueella käytössä olevista lastinkäsittelylaitteista. Laskelma perustuu aina polttoaineen tai sähkön kulutukseen.</t>
  </si>
  <si>
    <t xml:space="preserve">     Tyypillisiä lastinkäsittelylaitteiden luokkia ovat seuraavat: Nosturi | Haarukkatrukki | Konttikurottaja | Traktori | Pyöräkuormaaja</t>
  </si>
  <si>
    <t xml:space="preserve">     Luotsiveneet tulee ottaa huomioon vain silloin, kun niiden kotilaituri on satamassa (eli ne liikennöivät myös satama-alueella). Niillä on erillinen luokka (viimeinen taulukko).</t>
  </si>
  <si>
    <t xml:space="preserve"> Satama-aluksien toimintatuntien itsearviointi vierailevien valtamerialusten pohjalta</t>
  </si>
  <si>
    <t xml:space="preserve">//  Käytetään, jos satama-alusten toimintatunneista ei ole tietoa, mutta vierailevien valtamerialusten tiedot ovat saatavilla. </t>
  </si>
  <si>
    <t xml:space="preserve">     Tämä voi olla vaihtoehtona erityisesti hinaajien, luotsiveneiden tai jäänmurtajien toimintatuntien arviointiin.</t>
  </si>
  <si>
    <t xml:space="preserve">// Energiaan liittyvät, epäsuorat päästöt lasketaan kulutetun määrän ja energiatyypin päästökertoimen perusteella. </t>
  </si>
  <si>
    <t xml:space="preserve">     "100% uusiutuvaa energiaa"- ja "hiilineutraalia energiaa"-luokkiin sovelletaan päästökerrointa nolla.</t>
  </si>
  <si>
    <t>// Jos satamassa on jo käytössä alusten päästöjä laskeva järjestelmä, tietoja voidaan lisätä suoraan tästä järjestelmästä tähän työkaluun.</t>
  </si>
  <si>
    <t xml:space="preserve">     Kopioi saatavilla olevat tiedot alla olevaan taulukkoon sen varmistamiseksi, että kaikki käyttettävät tiedot ovat samassa muodossa. Päästöt lasketaan yhteen ja tulos siirretään automaattisesti yhteenvetosivulle.</t>
  </si>
  <si>
    <t xml:space="preserve">// Alusten päästöjen laskenta perustuu alusten tietoihin. Tärkeitä tietoja ovat tuloaika, lähtöaika, alustyyppi, pituus, DWT ja koneteho. Tiedot voidaan kopioida satamahallintajärjestelmästä. </t>
  </si>
  <si>
    <t xml:space="preserve">     Aluskäyntien enimmäismäärä laskentatyökalussa on 700. Jos aluskäyntejä on ollut enemmän, laskentataulukkoa voidaan muokata (ohjeet löytyvät ohjekirjasta). </t>
  </si>
  <si>
    <t xml:space="preserve">     Tulo- ja lähtöaika: tiedot on tärkeä lisätä oikeassa muodossa: 9.1.2020  22:00:00 (Jos satama käyttää WD.net-ohjelma, tiedot ovat jo tässä muodossa). Todennäköisesti solu näyttää vain päivämäärän, mutta aikaa käytetään myös "aika laiturissa"-laskennassa. </t>
  </si>
  <si>
    <t xml:space="preserve">     Siirtoaika voidaan myös arvioida, jos se ei ole tiedossa. Samaa arvoa voidaan käyttää kaikille aluksille, mutta jokaiselle alukselle on myös mahdollista käyttää yksilöllistä aikaa.</t>
  </si>
  <si>
    <t>Siirtoaika satamassa &amp; sataman hallinnassa olevalla aluella (tuntia)</t>
  </si>
  <si>
    <t xml:space="preserve">    Ota huomioon myös satama-alusten omistajuudet. Satamalaitoksen omistamat alukset on kohdistettava Scope-luokkaan 1. Jos aluksia liikennöi yritys satamalaitoksen puolesta, päästöt ovat osa Scope-luokkaa 3.</t>
  </si>
  <si>
    <t xml:space="preserve">     Ota huomioon myös laitteiden omistajuus. Kaikki satamalaitoksen omistamat tai vuokraamat laitteet on kohdistettava Scope luokkaan 1. Jos koneet ovat yrityksen käytössä, päästöt ovat osa Scope luokkaa 3.</t>
  </si>
  <si>
    <t xml:space="preserve">     Yksi juna = juna tulee lastattuna (tyhjät kontit tai vaunut), lähtee tyhjänä (vain veturi) ja tulee tyhjänä (vain veturi), lähtee lastattuna (täydet kontit tai vaunut) TAI päinvastöin vientiin.</t>
  </si>
  <si>
    <t>// Satama-aluella rakennuslaitteiden käytöstä aiheutuvat päästöt lasketaan polttoaineen kulutuksen perusteella. Tulokset ovat osa Scope-luokaa 3.</t>
  </si>
  <si>
    <t>SCOPE 3 - Satama-alueella käytössä olevat rakennuslaitteet (ei satamaviranomaisen omistuksessa)</t>
  </si>
  <si>
    <t xml:space="preserve">     Jos kuorma-autojen lukumäärä tyyppiä kohden on tiedossa, voidaan käyttää ensimmäistä taulukkoa. Jos tyyppikohtainen osuus on arvioitava, voidaan käyttää toista taulukkoa.</t>
  </si>
  <si>
    <t xml:space="preserve">     Jos päästöstandardi (EURO) ei ole tiedossa, oletusarvo on yleensä EURO 5 (2008-2013).  Poikkeus: 9-akselisen täysperävaunuyhdistelmän oletusarvo on EURO 6 (2014-).</t>
  </si>
  <si>
    <t xml:space="preserve">     Jos joutokäyntiaikaa kuorma-autoa kohti ei voi arvioida, kirjoita 0.</t>
  </si>
  <si>
    <t>SCOPE 3 - Satamassa vierailevat kuorma-autot</t>
  </si>
  <si>
    <t>Joutokäyntiaika kuorma-autoa kohti (arvioitu tunteina)</t>
  </si>
  <si>
    <t>Edestakainen matka satamassa - sisäänkäynnistä uloskäyntiportille (km)</t>
  </si>
  <si>
    <t>Itsearviointi: kuorma-autojen satamakäyntien määrä vuodessa</t>
  </si>
  <si>
    <t xml:space="preserve">// Käytetään, jos kuorma-autojen satamakäyntien kokonaismäärää ei ole tiedossa, mutta kuorma-autoilla kuljetetun lastin paino vuodessa on saatavilla. </t>
  </si>
  <si>
    <t xml:space="preserve"> Kuorma-autojen satamakäyntien määrä vuodessa</t>
  </si>
  <si>
    <t>// Henkilöajoneuvojen (oma autokanta) päästöt lasketaan joko ajoneuvon vuotuisen ajetun matkan ja polttoainetyypin mukaan tai vuotuisen polttoaineen/sähkön kulutuksen perusteella.</t>
  </si>
  <si>
    <t>Ajetun matkan perusteella</t>
  </si>
  <si>
    <t>Ajettu matka vuodessa (km)</t>
  </si>
  <si>
    <t>Työmatka autolla - ajetun matkan perusteella</t>
  </si>
  <si>
    <t>Työmatkat muilla kulkutavoilla - ajetun matkan perusteella</t>
  </si>
  <si>
    <t>o Alukset paikallaanolovaiheessa (ankkuroituna/laiturissa) -&gt; määsähkö (OPS - onshore power supply)</t>
  </si>
  <si>
    <t>// Täytä kaikki tiedossa olevat tiedot sataman omistamista ja satama-alueella liikennöivistä satama-aluksista. Laskennassa on kaksi vaihtoehtoa: Polttoaineenkulutusperusteinen tai toimintaperusteinen. Valitse menetelmä kullekin alukselle saatavilla olevien tietojen mukaan.</t>
  </si>
  <si>
    <t>JOUTOKÄYNTI</t>
  </si>
  <si>
    <t>Päästökerroin_JOUTOKÄYNTI</t>
  </si>
  <si>
    <t>Edestakaisen matka satamassa - sisäänkäynnistä uloskäyntiportille (km)</t>
  </si>
  <si>
    <t>Kuorma-autojen satamakäyntienmäärä vuodessa</t>
  </si>
  <si>
    <t xml:space="preserve">     Huolellinen harkinta on tarpeen, jos laskelmaan suunnitellaan muutoksia. Käytettyjä kertoimia voidaan muuttaa "Rautatie_fx"- sivulla.</t>
  </si>
  <si>
    <t>Junien määrä vuodessa</t>
  </si>
  <si>
    <t>Sulfiittilipeät</t>
  </si>
  <si>
    <t>Henkilökilometri (passenger-kilometer) on mittayksikkö, joka kuvaa henkilöiden kuljetussuoritetta jollakin liikennevälineellä, joka voi olla henkilöauto, linja-auto, juna, laiva, lentokone tai mikä tahansa henkilöiden kuljettamiseen soveltuva liikenneväline. Jos kaksi henkilöä kulkee sillä viisi kilometriä, muodostuu kymmenen henkilökilometriä. Liikennesuorite kertaa keskimääräinen matkustajaluku .</t>
  </si>
  <si>
    <t>keskimääräinen kaupunkibussi | Esim. Oulussa on käytössä pääasiassa dieselbusseja sekä joitain biokaasu- ja sähköbusseja</t>
  </si>
  <si>
    <t>SCOPE 3 - Satama-alueella käytössä olevat rakennuslaitteet (ei satamalaitoksen omistuksessa)</t>
  </si>
  <si>
    <t xml:space="preserve">     Jos konetehot ja/tai käyttötunnit eivät ole tiedossa, kirjoita X. Siinä tapauksessa käytetään tietyn alustyypin karkeita keskiarvoja (tätä ei suositella tarkkaan hiilijalanjäljen laskentaan!).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</si>
</sst>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00"/>
    <numFmt numFmtId="165" formatCode="0.00000000"/>
    <numFmt numFmtId="166" formatCode="0.00000"/>
    <numFmt numFmtId="167" formatCode="0.0"/>
    <numFmt numFmtId="168" formatCode="dd\.mm\.yyyy"/>
    <numFmt numFmtId="169" formatCode="_-* #,##0_-;\-* #,##0_-;_-* &quot;-&quot;??_-;_-@_-"/>
    <numFmt numFmtId="170" formatCode="_-* #,##0.00000_-;\-* #,##0.00000_-;_-* &quot;-&quot;??_-;_-@_-"/>
    <numFmt numFmtId="171" formatCode="0.000E+00"/>
  </numFmts>
  <fonts count="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b/>
      <i/>
      <sz val="14"/>
      <color theme="7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i/>
      <sz val="14"/>
      <color theme="9" tint="-0.249977111117893"/>
      <name val="Calibri"/>
      <family val="2"/>
      <scheme val="minor"/>
    </font>
    <font>
      <b/>
      <sz val="16"/>
      <color theme="7" tint="-0.249977111117893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14"/>
      <color theme="5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i/>
      <sz val="12"/>
      <color theme="7" tint="-0.249977111117893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i/>
      <sz val="12"/>
      <color theme="4" tint="-0.249977111117893"/>
      <name val="Calibri"/>
      <family val="2"/>
      <scheme val="minor"/>
    </font>
    <font>
      <sz val="12"/>
      <color theme="9"/>
      <name val="Calibri"/>
      <family val="2"/>
      <scheme val="minor"/>
    </font>
    <font>
      <i/>
      <sz val="12"/>
      <color theme="9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sz val="12"/>
      <color rgb="FF7030A0"/>
      <name val="Calibri"/>
      <family val="2"/>
      <scheme val="minor"/>
    </font>
    <font>
      <i/>
      <sz val="12"/>
      <color rgb="FF7030A0"/>
      <name val="Calibri"/>
      <family val="2"/>
      <scheme val="minor"/>
    </font>
    <font>
      <sz val="12"/>
      <color rgb="FF00B050"/>
      <name val="Calibri"/>
      <family val="2"/>
      <scheme val="minor"/>
    </font>
    <font>
      <i/>
      <sz val="12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4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i/>
      <sz val="14"/>
      <color theme="4"/>
      <name val="Calibri"/>
      <family val="2"/>
      <scheme val="minor"/>
    </font>
    <font>
      <sz val="11"/>
      <color theme="1"/>
      <name val="Arial"/>
      <family val="2"/>
    </font>
    <font>
      <b/>
      <sz val="14"/>
      <color theme="5" tint="-0.249977111117893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sz val="11"/>
      <color theme="9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5" tint="-0.499984740745262"/>
      <name val="ARIAL"/>
      <family val="2"/>
    </font>
    <font>
      <b/>
      <sz val="8"/>
      <color indexed="18"/>
      <name val="Arial"/>
      <family val="2"/>
    </font>
    <font>
      <sz val="10"/>
      <name val="Arial"/>
      <family val="2"/>
    </font>
    <font>
      <sz val="12"/>
      <color rgb="FF202124"/>
      <name val="Arial"/>
      <family val="2"/>
    </font>
    <font>
      <b/>
      <sz val="8"/>
      <color rgb="FFFF0000"/>
      <name val="Arial"/>
      <family val="2"/>
    </font>
    <font>
      <sz val="20"/>
      <color theme="0" tint="-4.9989318521683403E-2"/>
      <name val="Calibri"/>
      <family val="2"/>
      <scheme val="minor"/>
    </font>
    <font>
      <b/>
      <sz val="9"/>
      <color indexed="18"/>
      <name val="Arial"/>
      <family val="2"/>
    </font>
    <font>
      <i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theme="5" tint="-0.499984740745262"/>
      <name val="ARIAL"/>
      <family val="2"/>
    </font>
    <font>
      <b/>
      <sz val="16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Segoe UI"/>
      <family val="2"/>
    </font>
    <font>
      <b/>
      <sz val="11"/>
      <color theme="4"/>
      <name val="Calibri"/>
      <family val="2"/>
      <scheme val="minor"/>
    </font>
    <font>
      <sz val="9"/>
      <color indexed="81"/>
      <name val="Tahoma"/>
      <charset val="1"/>
    </font>
  </fonts>
  <fills count="3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8B8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5"/>
      </top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 style="thin">
        <color theme="5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5"/>
      </left>
      <right/>
      <top/>
      <bottom style="thin">
        <color indexed="64"/>
      </bottom>
      <diagonal/>
    </border>
    <border>
      <left/>
      <right style="medium">
        <color theme="5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6699"/>
      </left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 style="medium">
        <color rgb="FFFF6699"/>
      </right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medium">
        <color theme="5"/>
      </right>
      <top/>
      <bottom style="thin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/>
      <bottom style="thin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8" fillId="11" borderId="0" applyNumberFormat="0" applyBorder="0" applyAlignment="0" applyProtection="0"/>
    <xf numFmtId="0" fontId="59" fillId="0" borderId="0"/>
    <xf numFmtId="0" fontId="69" fillId="26" borderId="0" applyNumberFormat="0" applyBorder="0" applyAlignment="0" applyProtection="0"/>
    <xf numFmtId="0" fontId="70" fillId="27" borderId="0" applyNumberFormat="0" applyBorder="0" applyAlignment="0" applyProtection="0"/>
    <xf numFmtId="0" fontId="1" fillId="0" borderId="22" applyNumberFormat="0" applyFill="0" applyAlignment="0" applyProtection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8" fillId="0" borderId="29" applyNumberFormat="0" applyFill="0" applyAlignment="0" applyProtection="0"/>
    <xf numFmtId="0" fontId="91" fillId="0" borderId="30" applyNumberFormat="0" applyFill="0" applyAlignment="0" applyProtection="0"/>
  </cellStyleXfs>
  <cellXfs count="417">
    <xf numFmtId="0" fontId="0" fillId="0" borderId="0" xfId="0"/>
    <xf numFmtId="0" fontId="2" fillId="2" borderId="0" xfId="0" applyFont="1" applyFill="1"/>
    <xf numFmtId="0" fontId="6" fillId="0" borderId="0" xfId="0" applyFont="1"/>
    <xf numFmtId="0" fontId="13" fillId="0" borderId="0" xfId="0" applyFont="1"/>
    <xf numFmtId="0" fontId="3" fillId="3" borderId="0" xfId="0" applyFont="1" applyFill="1"/>
    <xf numFmtId="0" fontId="0" fillId="3" borderId="0" xfId="0" applyFill="1"/>
    <xf numFmtId="0" fontId="14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5" fillId="0" borderId="0" xfId="0" applyFont="1"/>
    <xf numFmtId="0" fontId="16" fillId="0" borderId="0" xfId="0" applyFont="1"/>
    <xf numFmtId="0" fontId="0" fillId="0" borderId="0" xfId="0" applyAlignment="1">
      <alignment wrapText="1"/>
    </xf>
    <xf numFmtId="0" fontId="1" fillId="4" borderId="0" xfId="0" applyFont="1" applyFill="1"/>
    <xf numFmtId="0" fontId="0" fillId="4" borderId="0" xfId="0" applyFill="1"/>
    <xf numFmtId="0" fontId="0" fillId="4" borderId="0" xfId="0" applyFill="1" applyAlignment="1">
      <alignment wrapText="1"/>
    </xf>
    <xf numFmtId="0" fontId="3" fillId="4" borderId="0" xfId="0" applyFont="1" applyFill="1"/>
    <xf numFmtId="0" fontId="0" fillId="5" borderId="0" xfId="0" applyFill="1"/>
    <xf numFmtId="0" fontId="0" fillId="0" borderId="7" xfId="0" applyBorder="1"/>
    <xf numFmtId="0" fontId="0" fillId="4" borderId="9" xfId="0" applyFill="1" applyBorder="1"/>
    <xf numFmtId="0" fontId="0" fillId="0" borderId="9" xfId="0" applyBorder="1"/>
    <xf numFmtId="0" fontId="0" fillId="0" borderId="10" xfId="0" applyBorder="1"/>
    <xf numFmtId="0" fontId="3" fillId="5" borderId="11" xfId="0" applyFont="1" applyFill="1" applyBorder="1"/>
    <xf numFmtId="0" fontId="0" fillId="5" borderId="12" xfId="0" applyFill="1" applyBorder="1"/>
    <xf numFmtId="0" fontId="0" fillId="5" borderId="11" xfId="0" applyFill="1" applyBorder="1"/>
    <xf numFmtId="0" fontId="0" fillId="0" borderId="12" xfId="0" applyBorder="1"/>
    <xf numFmtId="0" fontId="0" fillId="0" borderId="11" xfId="0" applyBorder="1"/>
    <xf numFmtId="0" fontId="1" fillId="4" borderId="8" xfId="0" applyFont="1" applyFill="1" applyBorder="1"/>
    <xf numFmtId="0" fontId="0" fillId="6" borderId="0" xfId="0" applyFill="1"/>
    <xf numFmtId="0" fontId="0" fillId="6" borderId="12" xfId="0" applyFill="1" applyBorder="1"/>
    <xf numFmtId="0" fontId="1" fillId="0" borderId="11" xfId="0" applyFont="1" applyBorder="1"/>
    <xf numFmtId="0" fontId="0" fillId="0" borderId="13" xfId="0" applyBorder="1"/>
    <xf numFmtId="0" fontId="0" fillId="0" borderId="16" xfId="0" applyBorder="1"/>
    <xf numFmtId="0" fontId="21" fillId="6" borderId="0" xfId="0" applyFont="1" applyFill="1"/>
    <xf numFmtId="0" fontId="20" fillId="6" borderId="0" xfId="0" applyFont="1" applyFill="1"/>
    <xf numFmtId="0" fontId="0" fillId="7" borderId="0" xfId="0" applyFill="1"/>
    <xf numFmtId="0" fontId="22" fillId="0" borderId="0" xfId="0" applyFont="1"/>
    <xf numFmtId="0" fontId="2" fillId="8" borderId="0" xfId="0" applyFont="1" applyFill="1"/>
    <xf numFmtId="0" fontId="24" fillId="8" borderId="0" xfId="0" applyFont="1" applyFill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0" fillId="9" borderId="0" xfId="0" applyFill="1" applyAlignment="1">
      <alignment wrapText="1"/>
    </xf>
    <xf numFmtId="2" fontId="0" fillId="5" borderId="0" xfId="0" applyNumberFormat="1" applyFill="1"/>
    <xf numFmtId="0" fontId="24" fillId="0" borderId="0" xfId="0" applyFont="1"/>
    <xf numFmtId="0" fontId="23" fillId="0" borderId="0" xfId="0" applyFont="1"/>
    <xf numFmtId="0" fontId="35" fillId="0" borderId="0" xfId="0" applyFont="1"/>
    <xf numFmtId="0" fontId="0" fillId="9" borderId="0" xfId="0" applyFill="1"/>
    <xf numFmtId="0" fontId="0" fillId="0" borderId="17" xfId="0" applyBorder="1"/>
    <xf numFmtId="0" fontId="1" fillId="9" borderId="8" xfId="0" applyFont="1" applyFill="1" applyBorder="1"/>
    <xf numFmtId="0" fontId="0" fillId="9" borderId="9" xfId="0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12" xfId="0" applyFill="1" applyBorder="1"/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0" fillId="0" borderId="15" xfId="0" applyBorder="1"/>
    <xf numFmtId="0" fontId="2" fillId="10" borderId="0" xfId="0" applyFont="1" applyFill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4" borderId="11" xfId="0" applyFill="1" applyBorder="1"/>
    <xf numFmtId="0" fontId="0" fillId="4" borderId="12" xfId="0" applyFill="1" applyBorder="1"/>
    <xf numFmtId="0" fontId="0" fillId="5" borderId="11" xfId="0" applyFill="1" applyBorder="1" applyAlignment="1">
      <alignment wrapText="1"/>
    </xf>
    <xf numFmtId="0" fontId="1" fillId="0" borderId="8" xfId="0" applyFont="1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22" fillId="0" borderId="9" xfId="0" applyFont="1" applyBorder="1"/>
    <xf numFmtId="0" fontId="0" fillId="9" borderId="11" xfId="0" applyFill="1" applyBorder="1" applyAlignment="1">
      <alignment wrapText="1"/>
    </xf>
    <xf numFmtId="0" fontId="0" fillId="4" borderId="11" xfId="0" applyFill="1" applyBorder="1" applyAlignment="1">
      <alignment wrapText="1"/>
    </xf>
    <xf numFmtId="165" fontId="0" fillId="5" borderId="0" xfId="0" applyNumberFormat="1" applyFill="1"/>
    <xf numFmtId="166" fontId="0" fillId="5" borderId="0" xfId="0" applyNumberFormat="1" applyFill="1"/>
    <xf numFmtId="0" fontId="24" fillId="10" borderId="0" xfId="0" applyFont="1" applyFill="1"/>
    <xf numFmtId="0" fontId="49" fillId="0" borderId="9" xfId="0" applyFont="1" applyBorder="1"/>
    <xf numFmtId="0" fontId="2" fillId="12" borderId="0" xfId="0" applyFont="1" applyFill="1"/>
    <xf numFmtId="0" fontId="24" fillId="12" borderId="0" xfId="0" applyFont="1" applyFill="1"/>
    <xf numFmtId="0" fontId="25" fillId="0" borderId="0" xfId="0" applyFont="1"/>
    <xf numFmtId="0" fontId="2" fillId="12" borderId="0" xfId="0" applyFont="1" applyFill="1" applyAlignment="1">
      <alignment wrapText="1"/>
    </xf>
    <xf numFmtId="0" fontId="48" fillId="11" borderId="0" xfId="1" applyBorder="1" applyAlignment="1">
      <alignment wrapText="1"/>
    </xf>
    <xf numFmtId="0" fontId="0" fillId="13" borderId="0" xfId="0" applyFill="1" applyAlignment="1">
      <alignment wrapText="1"/>
    </xf>
    <xf numFmtId="0" fontId="0" fillId="13" borderId="0" xfId="0" applyFill="1" applyAlignment="1">
      <alignment vertical="center" wrapText="1"/>
    </xf>
    <xf numFmtId="0" fontId="0" fillId="13" borderId="0" xfId="0" applyFill="1" applyAlignment="1">
      <alignment vertical="top" wrapText="1"/>
    </xf>
    <xf numFmtId="0" fontId="24" fillId="13" borderId="0" xfId="0" applyFont="1" applyFill="1" applyAlignment="1">
      <alignment vertical="center" wrapText="1"/>
    </xf>
    <xf numFmtId="167" fontId="24" fillId="13" borderId="0" xfId="0" applyNumberFormat="1" applyFont="1" applyFill="1" applyAlignment="1">
      <alignment vertical="center" wrapText="1"/>
    </xf>
    <xf numFmtId="0" fontId="0" fillId="14" borderId="0" xfId="0" applyFill="1" applyAlignment="1">
      <alignment wrapText="1"/>
    </xf>
    <xf numFmtId="0" fontId="0" fillId="14" borderId="0" xfId="0" applyFill="1" applyAlignment="1">
      <alignment vertical="center" wrapText="1"/>
    </xf>
    <xf numFmtId="0" fontId="0" fillId="14" borderId="0" xfId="0" applyFill="1" applyAlignment="1">
      <alignment vertical="top" wrapText="1"/>
    </xf>
    <xf numFmtId="0" fontId="0" fillId="7" borderId="0" xfId="0" applyFill="1" applyAlignment="1">
      <alignment wrapText="1"/>
    </xf>
    <xf numFmtId="0" fontId="0" fillId="7" borderId="0" xfId="0" applyFill="1" applyAlignment="1">
      <alignment vertical="top" wrapText="1"/>
    </xf>
    <xf numFmtId="0" fontId="0" fillId="15" borderId="0" xfId="0" applyFill="1" applyAlignment="1">
      <alignment wrapText="1"/>
    </xf>
    <xf numFmtId="0" fontId="0" fillId="15" borderId="0" xfId="0" applyFill="1" applyAlignment="1">
      <alignment vertical="center" wrapText="1"/>
    </xf>
    <xf numFmtId="0" fontId="0" fillId="15" borderId="0" xfId="0" applyFill="1" applyAlignment="1">
      <alignment vertical="top" wrapText="1"/>
    </xf>
    <xf numFmtId="0" fontId="0" fillId="16" borderId="0" xfId="0" applyFill="1" applyAlignment="1">
      <alignment wrapText="1"/>
    </xf>
    <xf numFmtId="0" fontId="0" fillId="16" borderId="0" xfId="0" applyFill="1" applyAlignment="1">
      <alignment vertical="center" wrapText="1"/>
    </xf>
    <xf numFmtId="0" fontId="0" fillId="16" borderId="0" xfId="0" applyFill="1" applyAlignment="1">
      <alignment vertical="top" wrapText="1"/>
    </xf>
    <xf numFmtId="0" fontId="0" fillId="17" borderId="0" xfId="0" applyFill="1" applyAlignment="1">
      <alignment wrapText="1"/>
    </xf>
    <xf numFmtId="0" fontId="0" fillId="18" borderId="0" xfId="0" applyFill="1" applyAlignment="1">
      <alignment wrapText="1"/>
    </xf>
    <xf numFmtId="0" fontId="0" fillId="18" borderId="0" xfId="0" applyFill="1" applyAlignment="1">
      <alignment vertical="center" wrapText="1"/>
    </xf>
    <xf numFmtId="0" fontId="0" fillId="18" borderId="0" xfId="0" applyFill="1" applyAlignment="1">
      <alignment vertical="top" wrapText="1"/>
    </xf>
    <xf numFmtId="0" fontId="1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48" fillId="11" borderId="11" xfId="1" applyBorder="1" applyAlignment="1">
      <alignment wrapText="1"/>
    </xf>
    <xf numFmtId="0" fontId="48" fillId="11" borderId="12" xfId="1" applyBorder="1" applyAlignment="1">
      <alignment wrapText="1"/>
    </xf>
    <xf numFmtId="0" fontId="50" fillId="0" borderId="12" xfId="0" applyFont="1" applyBorder="1" applyAlignment="1">
      <alignment wrapText="1"/>
    </xf>
    <xf numFmtId="0" fontId="25" fillId="0" borderId="11" xfId="0" applyFont="1" applyBorder="1" applyAlignment="1">
      <alignment wrapText="1"/>
    </xf>
    <xf numFmtId="0" fontId="50" fillId="13" borderId="12" xfId="0" applyFont="1" applyFill="1" applyBorder="1" applyAlignment="1">
      <alignment wrapText="1"/>
    </xf>
    <xf numFmtId="0" fontId="47" fillId="0" borderId="11" xfId="0" applyFont="1" applyBorder="1" applyAlignment="1">
      <alignment wrapText="1"/>
    </xf>
    <xf numFmtId="0" fontId="50" fillId="14" borderId="12" xfId="0" applyFont="1" applyFill="1" applyBorder="1" applyAlignment="1">
      <alignment wrapText="1"/>
    </xf>
    <xf numFmtId="0" fontId="50" fillId="7" borderId="12" xfId="0" applyFont="1" applyFill="1" applyBorder="1" applyAlignment="1">
      <alignment wrapText="1"/>
    </xf>
    <xf numFmtId="0" fontId="16" fillId="15" borderId="12" xfId="0" applyFont="1" applyFill="1" applyBorder="1" applyAlignment="1">
      <alignment vertical="top" wrapText="1"/>
    </xf>
    <xf numFmtId="0" fontId="0" fillId="15" borderId="12" xfId="0" applyFill="1" applyBorder="1" applyAlignment="1">
      <alignment wrapText="1"/>
    </xf>
    <xf numFmtId="0" fontId="50" fillId="16" borderId="12" xfId="0" applyFont="1" applyFill="1" applyBorder="1" applyAlignment="1">
      <alignment wrapText="1"/>
    </xf>
    <xf numFmtId="0" fontId="16" fillId="17" borderId="12" xfId="0" applyFont="1" applyFill="1" applyBorder="1" applyAlignment="1">
      <alignment wrapText="1"/>
    </xf>
    <xf numFmtId="0" fontId="50" fillId="18" borderId="12" xfId="0" applyFont="1" applyFill="1" applyBorder="1" applyAlignment="1">
      <alignment wrapText="1"/>
    </xf>
    <xf numFmtId="0" fontId="16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25" fillId="0" borderId="13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51" fillId="0" borderId="0" xfId="0" quotePrefix="1" applyFont="1"/>
    <xf numFmtId="0" fontId="51" fillId="0" borderId="0" xfId="0" applyFont="1"/>
    <xf numFmtId="0" fontId="2" fillId="19" borderId="0" xfId="0" applyFont="1" applyFill="1"/>
    <xf numFmtId="0" fontId="24" fillId="19" borderId="0" xfId="0" applyFont="1" applyFill="1"/>
    <xf numFmtId="0" fontId="2" fillId="19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55" fillId="0" borderId="0" xfId="0" applyFont="1"/>
    <xf numFmtId="0" fontId="56" fillId="0" borderId="0" xfId="0" applyFont="1"/>
    <xf numFmtId="0" fontId="0" fillId="6" borderId="11" xfId="0" applyFill="1" applyBorder="1" applyAlignment="1">
      <alignment wrapText="1"/>
    </xf>
    <xf numFmtId="0" fontId="0" fillId="6" borderId="12" xfId="0" applyFill="1" applyBorder="1" applyAlignment="1">
      <alignment wrapText="1"/>
    </xf>
    <xf numFmtId="0" fontId="0" fillId="6" borderId="13" xfId="0" applyFill="1" applyBorder="1" applyAlignment="1">
      <alignment wrapText="1"/>
    </xf>
    <xf numFmtId="0" fontId="0" fillId="6" borderId="15" xfId="0" applyFill="1" applyBorder="1" applyAlignment="1">
      <alignment wrapText="1"/>
    </xf>
    <xf numFmtId="0" fontId="58" fillId="12" borderId="0" xfId="0" applyFont="1" applyFill="1"/>
    <xf numFmtId="0" fontId="24" fillId="0" borderId="0" xfId="2" applyFont="1" applyProtection="1">
      <protection locked="0"/>
    </xf>
    <xf numFmtId="0" fontId="1" fillId="0" borderId="0" xfId="0" applyFont="1" applyAlignment="1">
      <alignment wrapText="1"/>
    </xf>
    <xf numFmtId="0" fontId="0" fillId="9" borderId="8" xfId="0" applyFill="1" applyBorder="1"/>
    <xf numFmtId="0" fontId="1" fillId="9" borderId="10" xfId="0" applyFont="1" applyFill="1" applyBorder="1" applyAlignment="1">
      <alignment wrapText="1"/>
    </xf>
    <xf numFmtId="0" fontId="4" fillId="9" borderId="12" xfId="0" applyFont="1" applyFill="1" applyBorder="1"/>
    <xf numFmtId="0" fontId="2" fillId="20" borderId="0" xfId="0" applyFont="1" applyFill="1"/>
    <xf numFmtId="0" fontId="2" fillId="20" borderId="0" xfId="0" applyFont="1" applyFill="1" applyAlignment="1">
      <alignment wrapText="1"/>
    </xf>
    <xf numFmtId="0" fontId="24" fillId="20" borderId="0" xfId="0" applyFont="1" applyFill="1"/>
    <xf numFmtId="0" fontId="9" fillId="0" borderId="0" xfId="0" applyFont="1"/>
    <xf numFmtId="0" fontId="60" fillId="0" borderId="0" xfId="0" applyFont="1"/>
    <xf numFmtId="0" fontId="0" fillId="21" borderId="11" xfId="0" applyFill="1" applyBorder="1"/>
    <xf numFmtId="0" fontId="0" fillId="21" borderId="0" xfId="0" applyFill="1"/>
    <xf numFmtId="0" fontId="0" fillId="21" borderId="12" xfId="0" applyFill="1" applyBorder="1"/>
    <xf numFmtId="0" fontId="0" fillId="21" borderId="13" xfId="0" applyFill="1" applyBorder="1"/>
    <xf numFmtId="0" fontId="0" fillId="21" borderId="14" xfId="0" applyFill="1" applyBorder="1"/>
    <xf numFmtId="0" fontId="0" fillId="21" borderId="15" xfId="0" applyFill="1" applyBorder="1"/>
    <xf numFmtId="0" fontId="21" fillId="21" borderId="0" xfId="0" applyFont="1" applyFill="1"/>
    <xf numFmtId="0" fontId="0" fillId="21" borderId="0" xfId="0" applyFill="1" applyAlignment="1">
      <alignment wrapText="1"/>
    </xf>
    <xf numFmtId="2" fontId="0" fillId="21" borderId="0" xfId="0" applyNumberFormat="1" applyFill="1"/>
    <xf numFmtId="0" fontId="0" fillId="21" borderId="11" xfId="0" applyFill="1" applyBorder="1" applyAlignment="1">
      <alignment wrapText="1"/>
    </xf>
    <xf numFmtId="0" fontId="0" fillId="21" borderId="11" xfId="0" applyFill="1" applyBorder="1" applyAlignment="1">
      <alignment horizontal="left" wrapText="1"/>
    </xf>
    <xf numFmtId="0" fontId="0" fillId="21" borderId="13" xfId="0" applyFill="1" applyBorder="1" applyAlignment="1">
      <alignment wrapText="1"/>
    </xf>
    <xf numFmtId="166" fontId="0" fillId="21" borderId="14" xfId="0" applyNumberFormat="1" applyFill="1" applyBorder="1"/>
    <xf numFmtId="165" fontId="0" fillId="21" borderId="14" xfId="0" applyNumberFormat="1" applyFill="1" applyBorder="1"/>
    <xf numFmtId="166" fontId="0" fillId="21" borderId="0" xfId="0" applyNumberFormat="1" applyFill="1"/>
    <xf numFmtId="165" fontId="0" fillId="21" borderId="0" xfId="0" applyNumberFormat="1" applyFill="1"/>
    <xf numFmtId="0" fontId="0" fillId="21" borderId="12" xfId="0" applyFill="1" applyBorder="1" applyAlignment="1">
      <alignment wrapText="1"/>
    </xf>
    <xf numFmtId="0" fontId="2" fillId="22" borderId="0" xfId="0" applyFont="1" applyFill="1"/>
    <xf numFmtId="0" fontId="2" fillId="22" borderId="0" xfId="0" applyFont="1" applyFill="1" applyAlignment="1">
      <alignment wrapText="1"/>
    </xf>
    <xf numFmtId="0" fontId="24" fillId="22" borderId="0" xfId="0" applyFont="1" applyFill="1"/>
    <xf numFmtId="0" fontId="62" fillId="21" borderId="0" xfId="0" applyFont="1" applyFill="1"/>
    <xf numFmtId="0" fontId="62" fillId="5" borderId="0" xfId="0" applyFont="1" applyFill="1"/>
    <xf numFmtId="0" fontId="0" fillId="0" borderId="4" xfId="0" applyBorder="1" applyAlignment="1">
      <alignment wrapText="1"/>
    </xf>
    <xf numFmtId="0" fontId="1" fillId="23" borderId="0" xfId="0" applyFont="1" applyFill="1"/>
    <xf numFmtId="0" fontId="0" fillId="23" borderId="0" xfId="0" applyFill="1"/>
    <xf numFmtId="0" fontId="67" fillId="0" borderId="0" xfId="0" applyFont="1"/>
    <xf numFmtId="0" fontId="3" fillId="23" borderId="11" xfId="0" applyFont="1" applyFill="1" applyBorder="1"/>
    <xf numFmtId="0" fontId="3" fillId="23" borderId="0" xfId="0" applyFont="1" applyFill="1"/>
    <xf numFmtId="0" fontId="3" fillId="23" borderId="12" xfId="0" applyFont="1" applyFill="1" applyBorder="1"/>
    <xf numFmtId="164" fontId="0" fillId="21" borderId="0" xfId="0" applyNumberFormat="1" applyFill="1"/>
    <xf numFmtId="164" fontId="0" fillId="21" borderId="12" xfId="0" applyNumberFormat="1" applyFill="1" applyBorder="1"/>
    <xf numFmtId="164" fontId="0" fillId="5" borderId="0" xfId="0" applyNumberFormat="1" applyFill="1"/>
    <xf numFmtId="164" fontId="0" fillId="5" borderId="12" xfId="0" applyNumberFormat="1" applyFill="1" applyBorder="1"/>
    <xf numFmtId="0" fontId="62" fillId="21" borderId="11" xfId="0" applyFont="1" applyFill="1" applyBorder="1"/>
    <xf numFmtId="2" fontId="0" fillId="21" borderId="14" xfId="0" applyNumberFormat="1" applyFill="1" applyBorder="1"/>
    <xf numFmtId="164" fontId="0" fillId="21" borderId="14" xfId="0" applyNumberFormat="1" applyFill="1" applyBorder="1"/>
    <xf numFmtId="164" fontId="0" fillId="21" borderId="15" xfId="0" applyNumberFormat="1" applyFill="1" applyBorder="1"/>
    <xf numFmtId="0" fontId="2" fillId="24" borderId="0" xfId="0" applyFont="1" applyFill="1"/>
    <xf numFmtId="0" fontId="2" fillId="24" borderId="0" xfId="0" applyFont="1" applyFill="1" applyAlignment="1">
      <alignment wrapText="1"/>
    </xf>
    <xf numFmtId="0" fontId="24" fillId="24" borderId="0" xfId="0" applyFont="1" applyFill="1"/>
    <xf numFmtId="0" fontId="68" fillId="0" borderId="0" xfId="0" applyFont="1"/>
    <xf numFmtId="0" fontId="1" fillId="9" borderId="0" xfId="0" applyFont="1" applyFill="1"/>
    <xf numFmtId="0" fontId="25" fillId="23" borderId="8" xfId="0" applyFont="1" applyFill="1" applyBorder="1"/>
    <xf numFmtId="0" fontId="1" fillId="9" borderId="11" xfId="0" applyFont="1" applyFill="1" applyBorder="1"/>
    <xf numFmtId="0" fontId="3" fillId="4" borderId="12" xfId="0" applyFont="1" applyFill="1" applyBorder="1"/>
    <xf numFmtId="0" fontId="59" fillId="0" borderId="0" xfId="0" applyFont="1"/>
    <xf numFmtId="0" fontId="2" fillId="25" borderId="0" xfId="0" applyFont="1" applyFill="1"/>
    <xf numFmtId="0" fontId="2" fillId="25" borderId="0" xfId="0" applyFont="1" applyFill="1" applyAlignment="1">
      <alignment wrapText="1"/>
    </xf>
    <xf numFmtId="0" fontId="24" fillId="25" borderId="0" xfId="0" applyFont="1" applyFill="1"/>
    <xf numFmtId="0" fontId="0" fillId="23" borderId="9" xfId="0" applyFill="1" applyBorder="1"/>
    <xf numFmtId="0" fontId="0" fillId="21" borderId="0" xfId="0" applyFill="1" applyAlignment="1">
      <alignment horizontal="right"/>
    </xf>
    <xf numFmtId="0" fontId="21" fillId="6" borderId="0" xfId="0" applyFont="1" applyFill="1" applyAlignment="1">
      <alignment horizontal="right"/>
    </xf>
    <xf numFmtId="0" fontId="71" fillId="2" borderId="0" xfId="0" applyFont="1" applyFill="1"/>
    <xf numFmtId="0" fontId="7" fillId="18" borderId="0" xfId="0" applyFont="1" applyFill="1"/>
    <xf numFmtId="0" fontId="0" fillId="28" borderId="0" xfId="0" applyFill="1" applyAlignment="1">
      <alignment vertical="top"/>
    </xf>
    <xf numFmtId="0" fontId="0" fillId="0" borderId="0" xfId="0" applyAlignment="1">
      <alignment vertical="top"/>
    </xf>
    <xf numFmtId="14" fontId="75" fillId="0" borderId="0" xfId="0" applyNumberFormat="1" applyFont="1" applyAlignment="1">
      <alignment horizontal="left" vertical="top"/>
    </xf>
    <xf numFmtId="0" fontId="0" fillId="22" borderId="0" xfId="0" applyFill="1" applyAlignment="1">
      <alignment vertical="top"/>
    </xf>
    <xf numFmtId="1" fontId="75" fillId="0" borderId="21" xfId="0" applyNumberFormat="1" applyFont="1" applyBorder="1" applyAlignment="1">
      <alignment horizontal="right" vertical="top"/>
    </xf>
    <xf numFmtId="2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vertical="top"/>
    </xf>
    <xf numFmtId="0" fontId="0" fillId="28" borderId="0" xfId="0" applyFill="1"/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77" fillId="0" borderId="23" xfId="0" applyFont="1" applyBorder="1" applyAlignment="1">
      <alignment horizontal="right" vertical="top" wrapText="1" readingOrder="1"/>
    </xf>
    <xf numFmtId="2" fontId="0" fillId="0" borderId="24" xfId="0" applyNumberFormat="1" applyBorder="1"/>
    <xf numFmtId="0" fontId="78" fillId="29" borderId="0" xfId="0" applyFont="1" applyFill="1"/>
    <xf numFmtId="0" fontId="1" fillId="30" borderId="0" xfId="0" applyFont="1" applyFill="1"/>
    <xf numFmtId="0" fontId="0" fillId="31" borderId="0" xfId="0" applyFill="1"/>
    <xf numFmtId="0" fontId="79" fillId="0" borderId="0" xfId="0" applyFont="1" applyAlignment="1">
      <alignment horizontal="left" vertical="top" wrapText="1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6" fillId="14" borderId="25" xfId="0" applyFont="1" applyFill="1" applyBorder="1"/>
    <xf numFmtId="0" fontId="23" fillId="14" borderId="26" xfId="0" applyFont="1" applyFill="1" applyBorder="1"/>
    <xf numFmtId="0" fontId="23" fillId="14" borderId="28" xfId="0" applyFont="1" applyFill="1" applyBorder="1"/>
    <xf numFmtId="43" fontId="80" fillId="14" borderId="27" xfId="0" applyNumberFormat="1" applyFont="1" applyFill="1" applyBorder="1"/>
    <xf numFmtId="0" fontId="81" fillId="0" borderId="0" xfId="0" applyFont="1"/>
    <xf numFmtId="0" fontId="83" fillId="18" borderId="0" xfId="0" applyFont="1" applyFill="1" applyAlignment="1">
      <alignment horizontal="right"/>
    </xf>
    <xf numFmtId="0" fontId="25" fillId="30" borderId="0" xfId="0" applyFont="1" applyFill="1"/>
    <xf numFmtId="0" fontId="24" fillId="31" borderId="0" xfId="0" applyFont="1" applyFill="1"/>
    <xf numFmtId="0" fontId="25" fillId="30" borderId="0" xfId="0" applyFont="1" applyFill="1" applyAlignment="1">
      <alignment wrapText="1"/>
    </xf>
    <xf numFmtId="0" fontId="0" fillId="30" borderId="0" xfId="0" applyFill="1"/>
    <xf numFmtId="0" fontId="0" fillId="31" borderId="0" xfId="0" applyFill="1" applyAlignment="1">
      <alignment wrapText="1"/>
    </xf>
    <xf numFmtId="0" fontId="72" fillId="2" borderId="0" xfId="0" applyFont="1" applyFill="1"/>
    <xf numFmtId="0" fontId="73" fillId="28" borderId="0" xfId="0" applyFont="1" applyFill="1"/>
    <xf numFmtId="0" fontId="86" fillId="28" borderId="0" xfId="0" applyFont="1" applyFill="1"/>
    <xf numFmtId="0" fontId="59" fillId="0" borderId="0" xfId="2"/>
    <xf numFmtId="0" fontId="0" fillId="0" borderId="0" xfId="0" applyAlignment="1">
      <alignment horizontal="left" vertical="center"/>
    </xf>
    <xf numFmtId="0" fontId="0" fillId="32" borderId="0" xfId="0" applyFill="1"/>
    <xf numFmtId="0" fontId="0" fillId="32" borderId="0" xfId="0" applyFill="1" applyAlignment="1">
      <alignment wrapText="1"/>
    </xf>
    <xf numFmtId="0" fontId="25" fillId="31" borderId="0" xfId="0" applyFont="1" applyFill="1"/>
    <xf numFmtId="0" fontId="4" fillId="31" borderId="0" xfId="0" applyFont="1" applyFill="1"/>
    <xf numFmtId="166" fontId="0" fillId="0" borderId="0" xfId="0" applyNumberFormat="1"/>
    <xf numFmtId="0" fontId="82" fillId="21" borderId="0" xfId="0" applyFont="1" applyFill="1"/>
    <xf numFmtId="2" fontId="82" fillId="0" borderId="0" xfId="0" applyNumberFormat="1" applyFont="1"/>
    <xf numFmtId="0" fontId="82" fillId="0" borderId="0" xfId="0" applyFont="1"/>
    <xf numFmtId="0" fontId="82" fillId="5" borderId="0" xfId="0" applyFont="1" applyFill="1"/>
    <xf numFmtId="0" fontId="1" fillId="33" borderId="0" xfId="0" applyFont="1" applyFill="1"/>
    <xf numFmtId="0" fontId="0" fillId="33" borderId="0" xfId="0" applyFill="1"/>
    <xf numFmtId="0" fontId="0" fillId="4" borderId="12" xfId="0" applyFill="1" applyBorder="1" applyAlignment="1">
      <alignment wrapText="1"/>
    </xf>
    <xf numFmtId="2" fontId="0" fillId="0" borderId="0" xfId="0" applyNumberFormat="1" applyAlignment="1">
      <alignment horizontal="left" indent="9"/>
    </xf>
    <xf numFmtId="0" fontId="53" fillId="0" borderId="0" xfId="0" applyFont="1"/>
    <xf numFmtId="2" fontId="7" fillId="0" borderId="22" xfId="5" applyNumberFormat="1" applyFont="1"/>
    <xf numFmtId="0" fontId="1" fillId="32" borderId="0" xfId="0" applyFont="1" applyFill="1"/>
    <xf numFmtId="0" fontId="0" fillId="5" borderId="0" xfId="0" applyFill="1" applyAlignment="1">
      <alignment wrapText="1"/>
    </xf>
    <xf numFmtId="0" fontId="89" fillId="0" borderId="0" xfId="0" applyFont="1"/>
    <xf numFmtId="2" fontId="90" fillId="0" borderId="29" xfId="9" applyNumberFormat="1" applyFont="1"/>
    <xf numFmtId="0" fontId="90" fillId="0" borderId="29" xfId="9" applyFont="1"/>
    <xf numFmtId="1" fontId="0" fillId="5" borderId="0" xfId="0" applyNumberFormat="1" applyFill="1"/>
    <xf numFmtId="9" fontId="0" fillId="5" borderId="0" xfId="7" applyFont="1" applyFill="1"/>
    <xf numFmtId="170" fontId="0" fillId="0" borderId="0" xfId="6" applyNumberFormat="1" applyFont="1"/>
    <xf numFmtId="170" fontId="90" fillId="0" borderId="29" xfId="9" applyNumberFormat="1" applyFont="1"/>
    <xf numFmtId="0" fontId="0" fillId="30" borderId="11" xfId="0" applyFill="1" applyBorder="1"/>
    <xf numFmtId="0" fontId="0" fillId="30" borderId="13" xfId="0" applyFill="1" applyBorder="1"/>
    <xf numFmtId="0" fontId="75" fillId="0" borderId="0" xfId="0" applyFont="1" applyAlignment="1">
      <alignment horizontal="left" vertical="top"/>
    </xf>
    <xf numFmtId="0" fontId="74" fillId="0" borderId="0" xfId="0" applyFont="1" applyAlignment="1">
      <alignment horizontal="left" vertical="top" wrapText="1" readingOrder="1"/>
    </xf>
    <xf numFmtId="0" fontId="74" fillId="0" borderId="0" xfId="0" applyFont="1" applyAlignment="1">
      <alignment horizontal="right" vertical="top" wrapText="1" readingOrder="1"/>
    </xf>
    <xf numFmtId="0" fontId="82" fillId="3" borderId="0" xfId="0" applyFont="1" applyFill="1"/>
    <xf numFmtId="0" fontId="75" fillId="0" borderId="0" xfId="0" applyFont="1" applyAlignment="1">
      <alignment vertical="top"/>
    </xf>
    <xf numFmtId="0" fontId="74" fillId="0" borderId="0" xfId="0" applyFont="1" applyAlignment="1">
      <alignment vertical="top" wrapText="1" readingOrder="1"/>
    </xf>
    <xf numFmtId="0" fontId="0" fillId="3" borderId="0" xfId="0" applyFill="1" applyAlignment="1">
      <alignment vertical="top"/>
    </xf>
    <xf numFmtId="0" fontId="59" fillId="3" borderId="0" xfId="2" applyFill="1"/>
    <xf numFmtId="0" fontId="0" fillId="31" borderId="0" xfId="0" applyFill="1" applyAlignment="1">
      <alignment vertical="top"/>
    </xf>
    <xf numFmtId="0" fontId="0" fillId="5" borderId="0" xfId="0" applyFill="1" applyAlignment="1">
      <alignment vertical="top"/>
    </xf>
    <xf numFmtId="0" fontId="91" fillId="0" borderId="30" xfId="10" applyAlignment="1">
      <alignment vertical="top"/>
    </xf>
    <xf numFmtId="0" fontId="20" fillId="0" borderId="0" xfId="0" applyFont="1" applyAlignment="1">
      <alignment vertical="top"/>
    </xf>
    <xf numFmtId="2" fontId="75" fillId="0" borderId="21" xfId="0" applyNumberFormat="1" applyFont="1" applyBorder="1" applyAlignment="1">
      <alignment horizontal="right" vertical="top"/>
    </xf>
    <xf numFmtId="0" fontId="20" fillId="0" borderId="0" xfId="4" applyFont="1" applyFill="1" applyAlignment="1">
      <alignment vertical="top"/>
    </xf>
    <xf numFmtId="2" fontId="20" fillId="0" borderId="21" xfId="4" applyNumberFormat="1" applyFont="1" applyFill="1" applyBorder="1" applyAlignment="1">
      <alignment horizontal="right" vertical="top"/>
    </xf>
    <xf numFmtId="0" fontId="20" fillId="0" borderId="0" xfId="3" applyFont="1" applyFill="1" applyAlignment="1">
      <alignment vertical="top"/>
    </xf>
    <xf numFmtId="2" fontId="20" fillId="0" borderId="21" xfId="3" applyNumberFormat="1" applyFont="1" applyFill="1" applyBorder="1" applyAlignment="1">
      <alignment horizontal="right" vertical="top"/>
    </xf>
    <xf numFmtId="0" fontId="74" fillId="0" borderId="20" xfId="0" applyFont="1" applyBorder="1" applyAlignment="1">
      <alignment vertical="top" wrapText="1" readingOrder="1"/>
    </xf>
    <xf numFmtId="14" fontId="75" fillId="5" borderId="0" xfId="0" applyNumberFormat="1" applyFont="1" applyFill="1" applyAlignment="1">
      <alignment horizontal="left" vertical="top"/>
    </xf>
    <xf numFmtId="0" fontId="75" fillId="5" borderId="0" xfId="0" applyFont="1" applyFill="1" applyAlignment="1">
      <alignment horizontal="left" vertical="top"/>
    </xf>
    <xf numFmtId="0" fontId="75" fillId="5" borderId="0" xfId="0" applyFont="1" applyFill="1" applyAlignment="1">
      <alignment vertical="top"/>
    </xf>
    <xf numFmtId="4" fontId="75" fillId="5" borderId="0" xfId="0" applyNumberFormat="1" applyFont="1" applyFill="1" applyAlignment="1">
      <alignment horizontal="right" vertical="top"/>
    </xf>
    <xf numFmtId="1" fontId="75" fillId="5" borderId="0" xfId="0" applyNumberFormat="1" applyFont="1" applyFill="1" applyAlignment="1">
      <alignment horizontal="right" vertical="top"/>
    </xf>
    <xf numFmtId="1" fontId="75" fillId="5" borderId="0" xfId="0" applyNumberFormat="1" applyFont="1" applyFill="1" applyAlignment="1">
      <alignment vertical="top"/>
    </xf>
    <xf numFmtId="168" fontId="75" fillId="5" borderId="0" xfId="0" applyNumberFormat="1" applyFont="1" applyFill="1" applyAlignment="1">
      <alignment horizontal="left" vertical="top"/>
    </xf>
    <xf numFmtId="0" fontId="20" fillId="5" borderId="0" xfId="0" applyFont="1" applyFill="1"/>
    <xf numFmtId="168" fontId="20" fillId="5" borderId="0" xfId="4" applyNumberFormat="1" applyFont="1" applyFill="1" applyAlignment="1">
      <alignment horizontal="left" vertical="top"/>
    </xf>
    <xf numFmtId="0" fontId="20" fillId="5" borderId="0" xfId="4" applyFont="1" applyFill="1" applyAlignment="1">
      <alignment horizontal="left" vertical="top"/>
    </xf>
    <xf numFmtId="0" fontId="20" fillId="5" borderId="0" xfId="4" applyFont="1" applyFill="1" applyAlignment="1">
      <alignment vertical="top"/>
    </xf>
    <xf numFmtId="4" fontId="20" fillId="5" borderId="0" xfId="4" applyNumberFormat="1" applyFont="1" applyFill="1" applyAlignment="1">
      <alignment horizontal="right" vertical="top"/>
    </xf>
    <xf numFmtId="1" fontId="20" fillId="5" borderId="0" xfId="4" applyNumberFormat="1" applyFont="1" applyFill="1" applyAlignment="1">
      <alignment horizontal="right" vertical="top"/>
    </xf>
    <xf numFmtId="1" fontId="20" fillId="5" borderId="0" xfId="4" applyNumberFormat="1" applyFont="1" applyFill="1" applyAlignment="1">
      <alignment vertical="top"/>
    </xf>
    <xf numFmtId="168" fontId="20" fillId="5" borderId="0" xfId="3" applyNumberFormat="1" applyFont="1" applyFill="1" applyAlignment="1">
      <alignment horizontal="left" vertical="top"/>
    </xf>
    <xf numFmtId="0" fontId="20" fillId="5" borderId="0" xfId="3" applyFont="1" applyFill="1" applyAlignment="1">
      <alignment horizontal="left" vertical="top"/>
    </xf>
    <xf numFmtId="0" fontId="20" fillId="5" borderId="0" xfId="3" applyFont="1" applyFill="1" applyAlignment="1">
      <alignment vertical="top"/>
    </xf>
    <xf numFmtId="4" fontId="20" fillId="5" borderId="0" xfId="3" applyNumberFormat="1" applyFont="1" applyFill="1" applyAlignment="1">
      <alignment horizontal="right" vertical="top"/>
    </xf>
    <xf numFmtId="1" fontId="20" fillId="5" borderId="0" xfId="3" applyNumberFormat="1" applyFont="1" applyFill="1" applyAlignment="1">
      <alignment horizontal="right" vertical="top"/>
    </xf>
    <xf numFmtId="1" fontId="20" fillId="5" borderId="0" xfId="3" applyNumberFormat="1" applyFont="1" applyFill="1" applyAlignment="1">
      <alignment vertical="top"/>
    </xf>
    <xf numFmtId="0" fontId="0" fillId="34" borderId="0" xfId="0" applyFill="1"/>
    <xf numFmtId="0" fontId="0" fillId="22" borderId="0" xfId="0" applyFill="1"/>
    <xf numFmtId="0" fontId="1" fillId="22" borderId="0" xfId="0" applyFont="1" applyFill="1"/>
    <xf numFmtId="0" fontId="44" fillId="22" borderId="0" xfId="0" applyFont="1" applyFill="1"/>
    <xf numFmtId="1" fontId="0" fillId="21" borderId="0" xfId="0" applyNumberFormat="1" applyFill="1"/>
    <xf numFmtId="0" fontId="27" fillId="21" borderId="0" xfId="0" applyFont="1" applyFill="1"/>
    <xf numFmtId="2" fontId="27" fillId="21" borderId="0" xfId="0" applyNumberFormat="1" applyFont="1" applyFill="1"/>
    <xf numFmtId="10" fontId="27" fillId="21" borderId="0" xfId="7" applyNumberFormat="1" applyFont="1" applyFill="1"/>
    <xf numFmtId="0" fontId="27" fillId="21" borderId="0" xfId="0" applyFont="1" applyFill="1" applyAlignment="1">
      <alignment wrapText="1"/>
    </xf>
    <xf numFmtId="2" fontId="27" fillId="21" borderId="0" xfId="0" applyNumberFormat="1" applyFont="1" applyFill="1" applyAlignment="1">
      <alignment wrapText="1"/>
    </xf>
    <xf numFmtId="0" fontId="84" fillId="21" borderId="0" xfId="0" applyFont="1" applyFill="1"/>
    <xf numFmtId="2" fontId="84" fillId="21" borderId="0" xfId="0" applyNumberFormat="1" applyFont="1" applyFill="1"/>
    <xf numFmtId="10" fontId="84" fillId="21" borderId="0" xfId="7" applyNumberFormat="1" applyFont="1" applyFill="1"/>
    <xf numFmtId="0" fontId="85" fillId="21" borderId="0" xfId="0" applyFont="1" applyFill="1"/>
    <xf numFmtId="2" fontId="85" fillId="21" borderId="0" xfId="0" applyNumberFormat="1" applyFont="1" applyFill="1"/>
    <xf numFmtId="10" fontId="85" fillId="21" borderId="0" xfId="7" applyNumberFormat="1" applyFont="1" applyFill="1"/>
    <xf numFmtId="0" fontId="85" fillId="21" borderId="0" xfId="0" applyFont="1" applyFill="1" applyAlignment="1">
      <alignment wrapText="1"/>
    </xf>
    <xf numFmtId="10" fontId="27" fillId="21" borderId="0" xfId="0" applyNumberFormat="1" applyFont="1" applyFill="1"/>
    <xf numFmtId="10" fontId="84" fillId="21" borderId="0" xfId="0" applyNumberFormat="1" applyFont="1" applyFill="1"/>
    <xf numFmtId="10" fontId="85" fillId="21" borderId="0" xfId="0" applyNumberFormat="1" applyFont="1" applyFill="1"/>
    <xf numFmtId="0" fontId="24" fillId="21" borderId="0" xfId="0" applyFont="1" applyFill="1"/>
    <xf numFmtId="2" fontId="25" fillId="21" borderId="22" xfId="5" applyNumberFormat="1" applyFont="1" applyFill="1"/>
    <xf numFmtId="9" fontId="25" fillId="21" borderId="22" xfId="5" applyNumberFormat="1" applyFont="1" applyFill="1"/>
    <xf numFmtId="2" fontId="0" fillId="21" borderId="0" xfId="0" applyNumberFormat="1" applyFill="1" applyAlignment="1">
      <alignment horizontal="right"/>
    </xf>
    <xf numFmtId="0" fontId="25" fillId="21" borderId="0" xfId="0" applyFont="1" applyFill="1"/>
    <xf numFmtId="0" fontId="76" fillId="0" borderId="0" xfId="0" applyFont="1" applyAlignment="1">
      <alignment vertical="top" wrapText="1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21" borderId="32" xfId="0" applyFill="1" applyBorder="1"/>
    <xf numFmtId="0" fontId="0" fillId="21" borderId="33" xfId="0" applyFill="1" applyBorder="1"/>
    <xf numFmtId="167" fontId="0" fillId="6" borderId="0" xfId="0" applyNumberFormat="1" applyFill="1"/>
    <xf numFmtId="167" fontId="0" fillId="6" borderId="12" xfId="0" applyNumberFormat="1" applyFill="1" applyBorder="1"/>
    <xf numFmtId="0" fontId="0" fillId="6" borderId="11" xfId="0" applyFill="1" applyBorder="1"/>
    <xf numFmtId="164" fontId="0" fillId="6" borderId="0" xfId="0" applyNumberFormat="1" applyFill="1"/>
    <xf numFmtId="0" fontId="0" fillId="6" borderId="13" xfId="0" applyFill="1" applyBorder="1"/>
    <xf numFmtId="0" fontId="0" fillId="6" borderId="14" xfId="0" applyFill="1" applyBorder="1"/>
    <xf numFmtId="164" fontId="0" fillId="6" borderId="14" xfId="0" applyNumberFormat="1" applyFill="1" applyBorder="1"/>
    <xf numFmtId="0" fontId="0" fillId="6" borderId="15" xfId="0" applyFill="1" applyBorder="1"/>
    <xf numFmtId="0" fontId="92" fillId="0" borderId="0" xfId="0" applyFont="1" applyAlignment="1">
      <alignment vertical="center"/>
    </xf>
    <xf numFmtId="166" fontId="0" fillId="0" borderId="12" xfId="0" applyNumberFormat="1" applyBorder="1"/>
    <xf numFmtId="0" fontId="0" fillId="0" borderId="34" xfId="0" applyBorder="1"/>
    <xf numFmtId="0" fontId="0" fillId="9" borderId="35" xfId="0" applyFill="1" applyBorder="1"/>
    <xf numFmtId="0" fontId="0" fillId="4" borderId="35" xfId="0" applyFill="1" applyBorder="1"/>
    <xf numFmtId="166" fontId="0" fillId="0" borderId="35" xfId="0" applyNumberFormat="1" applyBorder="1"/>
    <xf numFmtId="166" fontId="0" fillId="5" borderId="35" xfId="0" applyNumberFormat="1" applyFill="1" applyBorder="1"/>
    <xf numFmtId="166" fontId="0" fillId="0" borderId="36" xfId="0" applyNumberFormat="1" applyBorder="1"/>
    <xf numFmtId="0" fontId="0" fillId="0" borderId="37" xfId="0" applyBorder="1"/>
    <xf numFmtId="0" fontId="0" fillId="0" borderId="8" xfId="0" applyBorder="1"/>
    <xf numFmtId="0" fontId="1" fillId="21" borderId="8" xfId="0" applyFont="1" applyFill="1" applyBorder="1"/>
    <xf numFmtId="0" fontId="0" fillId="21" borderId="9" xfId="0" applyFill="1" applyBorder="1"/>
    <xf numFmtId="0" fontId="0" fillId="21" borderId="10" xfId="0" applyFill="1" applyBorder="1"/>
    <xf numFmtId="0" fontId="0" fillId="21" borderId="8" xfId="0" applyFill="1" applyBorder="1"/>
    <xf numFmtId="0" fontId="67" fillId="32" borderId="0" xfId="0" applyFont="1" applyFill="1"/>
    <xf numFmtId="0" fontId="3" fillId="4" borderId="11" xfId="0" applyFont="1" applyFill="1" applyBorder="1"/>
    <xf numFmtId="166" fontId="0" fillId="30" borderId="11" xfId="0" applyNumberFormat="1" applyFill="1" applyBorder="1"/>
    <xf numFmtId="166" fontId="0" fillId="0" borderId="11" xfId="0" applyNumberFormat="1" applyBorder="1"/>
    <xf numFmtId="166" fontId="0" fillId="30" borderId="12" xfId="0" applyNumberFormat="1" applyFill="1" applyBorder="1"/>
    <xf numFmtId="166" fontId="0" fillId="30" borderId="13" xfId="0" applyNumberFormat="1" applyFill="1" applyBorder="1"/>
    <xf numFmtId="166" fontId="0" fillId="30" borderId="15" xfId="0" applyNumberFormat="1" applyFill="1" applyBorder="1"/>
    <xf numFmtId="0" fontId="1" fillId="9" borderId="12" xfId="0" applyFont="1" applyFill="1" applyBorder="1"/>
    <xf numFmtId="0" fontId="1" fillId="0" borderId="9" xfId="0" applyFont="1" applyBorder="1"/>
    <xf numFmtId="0" fontId="1" fillId="9" borderId="35" xfId="0" applyFont="1" applyFill="1" applyBorder="1"/>
    <xf numFmtId="0" fontId="3" fillId="4" borderId="35" xfId="0" applyFont="1" applyFill="1" applyBorder="1"/>
    <xf numFmtId="0" fontId="0" fillId="0" borderId="35" xfId="0" applyBorder="1"/>
    <xf numFmtId="0" fontId="0" fillId="0" borderId="36" xfId="0" applyBorder="1"/>
    <xf numFmtId="0" fontId="6" fillId="21" borderId="0" xfId="0" applyFont="1" applyFill="1"/>
    <xf numFmtId="0" fontId="0" fillId="3" borderId="41" xfId="0" applyFill="1" applyBorder="1"/>
    <xf numFmtId="0" fontId="0" fillId="3" borderId="42" xfId="0" applyFill="1" applyBorder="1"/>
    <xf numFmtId="0" fontId="87" fillId="21" borderId="38" xfId="0" applyFont="1" applyFill="1" applyBorder="1"/>
    <xf numFmtId="0" fontId="0" fillId="21" borderId="39" xfId="0" applyFill="1" applyBorder="1"/>
    <xf numFmtId="0" fontId="0" fillId="21" borderId="40" xfId="0" applyFill="1" applyBorder="1"/>
    <xf numFmtId="0" fontId="0" fillId="21" borderId="41" xfId="0" applyFill="1" applyBorder="1"/>
    <xf numFmtId="0" fontId="0" fillId="21" borderId="42" xfId="0" applyFill="1" applyBorder="1"/>
    <xf numFmtId="0" fontId="0" fillId="21" borderId="43" xfId="0" applyFill="1" applyBorder="1"/>
    <xf numFmtId="0" fontId="0" fillId="21" borderId="44" xfId="0" applyFill="1" applyBorder="1"/>
    <xf numFmtId="0" fontId="0" fillId="21" borderId="45" xfId="0" applyFill="1" applyBorder="1"/>
    <xf numFmtId="0" fontId="93" fillId="0" borderId="0" xfId="0" applyFont="1"/>
    <xf numFmtId="2" fontId="48" fillId="0" borderId="0" xfId="0" applyNumberFormat="1" applyFont="1"/>
    <xf numFmtId="0" fontId="48" fillId="0" borderId="0" xfId="0" applyFont="1"/>
    <xf numFmtId="0" fontId="83" fillId="18" borderId="0" xfId="0" applyFont="1" applyFill="1"/>
    <xf numFmtId="0" fontId="0" fillId="5" borderId="46" xfId="0" applyFill="1" applyBorder="1"/>
    <xf numFmtId="0" fontId="20" fillId="5" borderId="47" xfId="8" applyFont="1" applyFill="1" applyBorder="1"/>
    <xf numFmtId="169" fontId="0" fillId="5" borderId="47" xfId="6" applyNumberFormat="1" applyFont="1" applyFill="1" applyBorder="1"/>
    <xf numFmtId="0" fontId="0" fillId="5" borderId="48" xfId="0" applyFill="1" applyBorder="1"/>
    <xf numFmtId="43" fontId="27" fillId="21" borderId="0" xfId="6" applyFont="1" applyFill="1"/>
    <xf numFmtId="43" fontId="84" fillId="21" borderId="0" xfId="6" applyFont="1" applyFill="1"/>
    <xf numFmtId="43" fontId="85" fillId="21" borderId="0" xfId="6" applyFont="1" applyFill="1"/>
    <xf numFmtId="0" fontId="87" fillId="21" borderId="0" xfId="0" applyFont="1" applyFill="1"/>
    <xf numFmtId="0" fontId="20" fillId="3" borderId="0" xfId="0" applyFont="1" applyFill="1"/>
    <xf numFmtId="0" fontId="0" fillId="21" borderId="11" xfId="0" applyFill="1" applyBorder="1" applyAlignment="1">
      <alignment horizontal="center" vertical="center" wrapText="1"/>
    </xf>
    <xf numFmtId="0" fontId="0" fillId="13" borderId="0" xfId="0" applyFill="1" applyAlignment="1">
      <alignment horizontal="left" vertical="center" wrapText="1"/>
    </xf>
    <xf numFmtId="0" fontId="0" fillId="14" borderId="0" xfId="0" applyFill="1" applyAlignment="1">
      <alignment horizontal="left" vertical="center" wrapText="1"/>
    </xf>
    <xf numFmtId="0" fontId="0" fillId="5" borderId="0" xfId="0" applyFill="1" applyAlignment="1">
      <alignment horizontal="left"/>
    </xf>
    <xf numFmtId="0" fontId="3" fillId="0" borderId="0" xfId="0" applyFont="1"/>
    <xf numFmtId="0" fontId="1" fillId="21" borderId="0" xfId="0" applyFont="1" applyFill="1"/>
    <xf numFmtId="0" fontId="25" fillId="0" borderId="8" xfId="0" applyFont="1" applyBorder="1" applyAlignment="1">
      <alignment wrapText="1"/>
    </xf>
    <xf numFmtId="0" fontId="0" fillId="3" borderId="0" xfId="0" applyFill="1" applyAlignment="1"/>
    <xf numFmtId="0" fontId="0" fillId="21" borderId="15" xfId="0" applyFill="1" applyBorder="1" applyAlignment="1">
      <alignment wrapText="1"/>
    </xf>
    <xf numFmtId="0" fontId="5" fillId="0" borderId="8" xfId="0" applyFont="1" applyBorder="1"/>
    <xf numFmtId="0" fontId="20" fillId="0" borderId="10" xfId="0" applyFont="1" applyBorder="1" applyAlignment="1">
      <alignment wrapText="1"/>
    </xf>
    <xf numFmtId="0" fontId="20" fillId="32" borderId="13" xfId="0" applyFont="1" applyFill="1" applyBorder="1" applyAlignment="1">
      <alignment wrapText="1"/>
    </xf>
    <xf numFmtId="0" fontId="20" fillId="32" borderId="15" xfId="0" applyFont="1" applyFill="1" applyBorder="1" applyAlignment="1">
      <alignment wrapText="1"/>
    </xf>
    <xf numFmtId="171" fontId="0" fillId="0" borderId="15" xfId="0" applyNumberFormat="1" applyBorder="1"/>
    <xf numFmtId="0" fontId="1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21" borderId="11" xfId="0" applyFill="1" applyBorder="1" applyAlignment="1">
      <alignment horizontal="center" vertical="center" wrapText="1"/>
    </xf>
    <xf numFmtId="0" fontId="0" fillId="21" borderId="13" xfId="0" applyFill="1" applyBorder="1" applyAlignment="1">
      <alignment horizontal="center" vertical="center" wrapText="1"/>
    </xf>
    <xf numFmtId="0" fontId="0" fillId="21" borderId="0" xfId="0" applyFill="1" applyAlignment="1">
      <alignment horizontal="center" vertical="center"/>
    </xf>
    <xf numFmtId="0" fontId="0" fillId="21" borderId="14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1" fillId="9" borderId="0" xfId="0" applyFont="1" applyFill="1" applyAlignment="1">
      <alignment horizontal="center"/>
    </xf>
    <xf numFmtId="0" fontId="1" fillId="9" borderId="12" xfId="0" applyFont="1" applyFill="1" applyBorder="1" applyAlignment="1">
      <alignment horizontal="center"/>
    </xf>
  </cellXfs>
  <cellStyles count="11">
    <cellStyle name="Accent5" xfId="1" builtinId="45"/>
    <cellStyle name="Bad" xfId="3" builtinId="27"/>
    <cellStyle name="Comma" xfId="6" builtinId="3"/>
    <cellStyle name="Heading 3" xfId="10" builtinId="18"/>
    <cellStyle name="Linked Cell" xfId="9" builtinId="24"/>
    <cellStyle name="Neutral" xfId="4" builtinId="28"/>
    <cellStyle name="Normal" xfId="0" builtinId="0"/>
    <cellStyle name="Normal 3" xfId="2" xr:uid="{A22BCA14-BF5E-4A07-9208-2979DF53C939}"/>
    <cellStyle name="Percent" xfId="7" builtinId="5"/>
    <cellStyle name="Total" xfId="5" builtinId="25"/>
    <cellStyle name="Warning Text" xfId="8" builtinId="11"/>
  </cellStyles>
  <dxfs count="0"/>
  <tableStyles count="0" defaultTableStyle="TableStyleMedium2" defaultPivotStyle="PivotStyleLight16"/>
  <colors>
    <mruColors>
      <color rgb="FFFFFFCC"/>
      <color rgb="FFFF8B8B"/>
      <color rgb="FFFF6699"/>
      <color rgb="FFF8F8F8"/>
      <color rgb="FFCCFF33"/>
      <color rgb="FFFFCCCC"/>
      <color rgb="FFFF9999"/>
      <color rgb="FFFFFF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26" Type="http://schemas.openxmlformats.org/officeDocument/2006/relationships/worksheet" Target="worksheets/sheet25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21" Type="http://schemas.openxmlformats.org/officeDocument/2006/relationships/worksheet" Target="worksheets/sheet20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33" Type="http://schemas.openxmlformats.org/officeDocument/2006/relationships/worksheet" Target="worksheets/sheet32.xml"/><Relationship Id="rId38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29" Type="http://schemas.openxmlformats.org/officeDocument/2006/relationships/worksheet" Target="worksheets/sheet28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24" Type="http://schemas.openxmlformats.org/officeDocument/2006/relationships/worksheet" Target="worksheets/sheet23.xml"/><Relationship Id="rId32" Type="http://schemas.openxmlformats.org/officeDocument/2006/relationships/worksheet" Target="worksheets/sheet31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23" Type="http://schemas.openxmlformats.org/officeDocument/2006/relationships/worksheet" Target="worksheets/sheet22.xml"/><Relationship Id="rId28" Type="http://schemas.openxmlformats.org/officeDocument/2006/relationships/worksheet" Target="worksheets/sheet27.xml"/><Relationship Id="rId36" Type="http://schemas.openxmlformats.org/officeDocument/2006/relationships/styles" Target="styles.xml"/><Relationship Id="rId10" Type="http://schemas.openxmlformats.org/officeDocument/2006/relationships/worksheet" Target="worksheets/sheet9.xml"/><Relationship Id="rId19" Type="http://schemas.openxmlformats.org/officeDocument/2006/relationships/worksheet" Target="worksheets/sheet18.xml"/><Relationship Id="rId31" Type="http://schemas.openxmlformats.org/officeDocument/2006/relationships/worksheet" Target="worksheets/sheet30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Relationship Id="rId27" Type="http://schemas.openxmlformats.org/officeDocument/2006/relationships/worksheet" Target="worksheets/sheet26.xml"/><Relationship Id="rId30" Type="http://schemas.openxmlformats.org/officeDocument/2006/relationships/worksheet" Target="worksheets/sheet29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Hiilijalanjälki - Scopes</a:t>
            </a:r>
          </a:p>
        </c:rich>
      </c:tx>
      <c:layout>
        <c:manualLayout>
          <c:xMode val="edge"/>
          <c:yMode val="edge"/>
          <c:x val="0.34218758469144844"/>
          <c:y val="1.93918073449561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10-432F-B83D-8FEDD411255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10-432F-B83D-8FEDD411255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10-432F-B83D-8FEDD411255F}"/>
              </c:ext>
            </c:extLst>
          </c:dPt>
          <c:cat>
            <c:strRef>
              <c:f>YHTEENVETO!$F$26:$F$28</c:f>
              <c:strCache>
                <c:ptCount val="3"/>
                <c:pt idx="0">
                  <c:v>Scope 1</c:v>
                </c:pt>
                <c:pt idx="1">
                  <c:v>Scope 2</c:v>
                </c:pt>
                <c:pt idx="2">
                  <c:v>Scope 3</c:v>
                </c:pt>
              </c:strCache>
            </c:strRef>
          </c:cat>
          <c:val>
            <c:numRef>
              <c:f>YHTEENVETO!$I$26:$I$28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3-43D6-89A0-9E96FCCCC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963363629991359"/>
          <c:y val="0.1803054659747573"/>
          <c:w val="0.16849692749830608"/>
          <c:h val="0.603656424443826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800" b="1"/>
              <a:t>Hiilijalanjälki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B0-41F3-A76E-7957155FBA5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B0-41F3-A76E-7957155FBA5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B0-41F3-A76E-7957155FBA5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B0-41F3-A76E-7957155FBA5B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EB0-41F3-A76E-7957155FBA5B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EB0-41F3-A76E-7957155FBA5B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EB0-41F3-A76E-7957155FBA5B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EB0-41F3-A76E-7957155FBA5B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EB0-41F3-A76E-7957155FBA5B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EB0-41F3-A76E-7957155FBA5B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EB0-41F3-A76E-7957155FBA5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249-441A-BA32-E4BDC80519BA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6BF-440C-8640-CD9D2A6B0378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7FF3-4A91-BEB1-23608F14F47F}"/>
              </c:ext>
            </c:extLst>
          </c:dPt>
          <c:dLbls>
            <c:spPr>
              <a:solidFill>
                <a:schemeClr val="bg2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overflow" horzOverflow="overflow" vert="horz" wrap="non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bestFit"/>
            <c:showLegendKey val="1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YHTEENVETO!$G$10:$G$23</c:f>
              <c:strCache>
                <c:ptCount val="14"/>
                <c:pt idx="0">
                  <c:v>Oma autokanta</c:v>
                </c:pt>
                <c:pt idx="1">
                  <c:v>Oma lastinkäsittely</c:v>
                </c:pt>
                <c:pt idx="2">
                  <c:v>Omat satama-alukset</c:v>
                </c:pt>
                <c:pt idx="3">
                  <c:v>Omat kiinteät energialähteet</c:v>
                </c:pt>
                <c:pt idx="4">
                  <c:v>Energiankulutus</c:v>
                </c:pt>
                <c:pt idx="5">
                  <c:v>Valtamerialukset</c:v>
                </c:pt>
                <c:pt idx="6">
                  <c:v>Satama-alukset</c:v>
                </c:pt>
                <c:pt idx="7">
                  <c:v>Lastinkäsittely</c:v>
                </c:pt>
                <c:pt idx="8">
                  <c:v>Rautatiekuljetukset</c:v>
                </c:pt>
                <c:pt idx="9">
                  <c:v>Rakennuskalusto</c:v>
                </c:pt>
                <c:pt idx="10">
                  <c:v>Raskaat ajoneuvot/Kuorma-autot</c:v>
                </c:pt>
                <c:pt idx="11">
                  <c:v>Satamaoperaattorien energiankulutus</c:v>
                </c:pt>
                <c:pt idx="12">
                  <c:v>Kiinteät energialähteet</c:v>
                </c:pt>
                <c:pt idx="13">
                  <c:v>Työntekijöiden työmatkaliikenne</c:v>
                </c:pt>
              </c:strCache>
            </c:strRef>
          </c:cat>
          <c:val>
            <c:numRef>
              <c:f>YHTEENVETO!$I$10:$I$23</c:f>
              <c:numCache>
                <c:formatCode>0.00%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EB0-41F3-A76E-7957155FBA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316302961502421E-2"/>
          <c:y val="0.84949508599083978"/>
          <c:w val="0.96663635282558458"/>
          <c:h val="0.13796292013827796"/>
        </c:manualLayout>
      </c:layout>
      <c:overlay val="0"/>
      <c:spPr>
        <a:solidFill>
          <a:schemeClr val="bg2">
            <a:alpha val="7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2000" b="1"/>
              <a:t>Hiilijalanjälki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3B-4AE6-B3E6-41572C6F137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3B-4AE6-B3E6-41572C6F137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3B-4AE6-B3E6-41572C6F137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3B-4AE6-B3E6-41572C6F137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3B-4AE6-B3E6-41572C6F137E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3B-4AE6-B3E6-41572C6F137E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3B-4AE6-B3E6-41572C6F137E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3B-4AE6-B3E6-41572C6F137E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D3B-4AE6-B3E6-41572C6F137E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D3B-4AE6-B3E6-41572C6F137E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D3B-4AE6-B3E6-41572C6F137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D3B-4AE6-B3E6-41572C6F137E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D3B-4AE6-B3E6-41572C6F137E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D3B-4AE6-B3E6-41572C6F137E}"/>
              </c:ext>
            </c:extLst>
          </c:dPt>
          <c:dLbls>
            <c:spPr>
              <a:solidFill>
                <a:schemeClr val="bg2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overflow" horzOverflow="overflow" vert="horz" wrap="non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bestFit"/>
            <c:showLegendKey val="1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YHTEENVETO!$G$10:$G$23</c:f>
              <c:strCache>
                <c:ptCount val="14"/>
                <c:pt idx="0">
                  <c:v>Oma autokanta</c:v>
                </c:pt>
                <c:pt idx="1">
                  <c:v>Oma lastinkäsittely</c:v>
                </c:pt>
                <c:pt idx="2">
                  <c:v>Omat satama-alukset</c:v>
                </c:pt>
                <c:pt idx="3">
                  <c:v>Omat kiinteät energialähteet</c:v>
                </c:pt>
                <c:pt idx="4">
                  <c:v>Energiankulutus</c:v>
                </c:pt>
                <c:pt idx="5">
                  <c:v>Valtamerialukset</c:v>
                </c:pt>
                <c:pt idx="6">
                  <c:v>Satama-alukset</c:v>
                </c:pt>
                <c:pt idx="7">
                  <c:v>Lastinkäsittely</c:v>
                </c:pt>
                <c:pt idx="8">
                  <c:v>Rautatiekuljetukset</c:v>
                </c:pt>
                <c:pt idx="9">
                  <c:v>Rakennuskalusto</c:v>
                </c:pt>
                <c:pt idx="10">
                  <c:v>Raskaat ajoneuvot/Kuorma-autot</c:v>
                </c:pt>
                <c:pt idx="11">
                  <c:v>Satamaoperaattorien energiankulutus</c:v>
                </c:pt>
                <c:pt idx="12">
                  <c:v>Kiinteät energialähteet</c:v>
                </c:pt>
                <c:pt idx="13">
                  <c:v>Työntekijöiden työmatkaliikenne</c:v>
                </c:pt>
              </c:strCache>
            </c:strRef>
          </c:cat>
          <c:val>
            <c:numRef>
              <c:f>YHTEENVETO!$I$10:$I$23</c:f>
              <c:numCache>
                <c:formatCode>0.00%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D3B-4AE6-B3E6-41572C6F13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316302961502421E-2"/>
          <c:y val="0.84949508599083978"/>
          <c:w val="0.96663635282558458"/>
          <c:h val="0.13796292013827796"/>
        </c:manualLayout>
      </c:layout>
      <c:overlay val="0"/>
      <c:spPr>
        <a:solidFill>
          <a:schemeClr val="bg2">
            <a:alpha val="7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2000" b="1"/>
              <a:t>Sataman hiilijalanjälki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Kaavioita!$B$50</c:f>
              <c:strCache>
                <c:ptCount val="1"/>
                <c:pt idx="0">
                  <c:v>Yksinkertaistetut päästöluokat</c:v>
                </c:pt>
              </c:strCache>
            </c:strRef>
          </c:tx>
          <c:dPt>
            <c:idx val="0"/>
            <c:bubble3D val="0"/>
            <c:explosion val="3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3D-4C7E-AF17-1F9625E933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3D-4C7E-AF17-1F9625E933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3D-4C7E-AF17-1F9625E933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3D-4C7E-AF17-1F9625E933B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3D-4C7E-AF17-1F9625E933BB}"/>
              </c:ext>
            </c:extLst>
          </c:dPt>
          <c:dLbls>
            <c:dLbl>
              <c:idx val="0"/>
              <c:layout>
                <c:manualLayout>
                  <c:x val="6.7969419826590563E-2"/>
                  <c:y val="5.301914580265095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Alukset
</a:t>
                    </a:r>
                    <a:fld id="{4A4F6782-36C3-4633-8636-50146AD43AD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E3D-4C7E-AF17-1F9625E933BB}"/>
                </c:ext>
              </c:extLst>
            </c:dLbl>
            <c:dLbl>
              <c:idx val="1"/>
              <c:layout>
                <c:manualLayout>
                  <c:x val="-8.200854216996363E-2"/>
                  <c:y val="8.24742268041237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Raskas koneisto
</a:t>
                    </a:r>
                    <a:fld id="{58310CD1-6BBF-467E-9E8E-80B3735E58F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E3D-4C7E-AF17-1F9625E933BB}"/>
                </c:ext>
              </c:extLst>
            </c:dLbl>
            <c:dLbl>
              <c:idx val="2"/>
              <c:layout>
                <c:manualLayout>
                  <c:x val="-0.16571776785570311"/>
                  <c:y val="1.9636720667647063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Liikenne
</a:t>
                    </a:r>
                    <a:fld id="{29C6237E-BCA6-426D-A094-68F165AB682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E3D-4C7E-AF17-1F9625E933BB}"/>
                </c:ext>
              </c:extLst>
            </c:dLbl>
            <c:dLbl>
              <c:idx val="3"/>
              <c:layout>
                <c:manualLayout>
                  <c:x val="-8.4961774783238242E-2"/>
                  <c:y val="-9.0328915071183152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Sataman oma
</a:t>
                    </a:r>
                    <a:fld id="{25105A45-505F-4ABD-9F26-1BBFF5794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E3D-4C7E-AF17-1F9625E933BB}"/>
                </c:ext>
              </c:extLst>
            </c:dLbl>
            <c:dLbl>
              <c:idx val="4"/>
              <c:layout>
                <c:manualLayout>
                  <c:x val="3.3984709913295282E-2"/>
                  <c:y val="-8.24742268041237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Satama-alue
</a:t>
                    </a:r>
                    <a:fld id="{D4AC0E98-38A5-4A91-986E-28CB2AD336F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E3D-4C7E-AF17-1F9625E933B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[1]SUMMARY!$H$42:$L$42</c:f>
              <c:strCache>
                <c:ptCount val="5"/>
                <c:pt idx="0">
                  <c:v>Vessels</c:v>
                </c:pt>
                <c:pt idx="1">
                  <c:v>Heavy machinery</c:v>
                </c:pt>
                <c:pt idx="2">
                  <c:v>Traffic</c:v>
                </c:pt>
                <c:pt idx="3">
                  <c:v>Port's own</c:v>
                </c:pt>
                <c:pt idx="4">
                  <c:v>Harbour area</c:v>
                </c:pt>
              </c:strCache>
            </c:strRef>
          </c:cat>
          <c:val>
            <c:numRef>
              <c:f>Kaavioita!$B$59:$F$59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3D-4C7E-AF17-1F9625E933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4817D2C-A0C9-4AC8-8D7A-F74F32BFBAD5}">
  <sheetPr>
    <tabColor rgb="FFC00000"/>
  </sheetPr>
  <sheetViews>
    <sheetView zoomScale="14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RL!A1"/><Relationship Id="rId13" Type="http://schemas.openxmlformats.org/officeDocument/2006/relationships/image" Target="../media/image1.png"/><Relationship Id="rId3" Type="http://schemas.openxmlformats.org/officeDocument/2006/relationships/hyperlink" Target="#LKL!A1"/><Relationship Id="rId7" Type="http://schemas.openxmlformats.org/officeDocument/2006/relationships/hyperlink" Target="#Rautatie!A1"/><Relationship Id="rId12" Type="http://schemas.openxmlformats.org/officeDocument/2006/relationships/hyperlink" Target="#Kaavioita!A98"/><Relationship Id="rId2" Type="http://schemas.openxmlformats.org/officeDocument/2006/relationships/hyperlink" Target="#Henkil&#246;autot!A1"/><Relationship Id="rId1" Type="http://schemas.openxmlformats.org/officeDocument/2006/relationships/chart" Target="../charts/chart1.xml"/><Relationship Id="rId6" Type="http://schemas.openxmlformats.org/officeDocument/2006/relationships/hyperlink" Target="#'Satama-alukset'!A1"/><Relationship Id="rId11" Type="http://schemas.openxmlformats.org/officeDocument/2006/relationships/hyperlink" Target="#Kaavioita!A1"/><Relationship Id="rId5" Type="http://schemas.openxmlformats.org/officeDocument/2006/relationships/hyperlink" Target="#Alukset!A1"/><Relationship Id="rId10" Type="http://schemas.openxmlformats.org/officeDocument/2006/relationships/hyperlink" Target="#KEL!A1"/><Relationship Id="rId4" Type="http://schemas.openxmlformats.org/officeDocument/2006/relationships/hyperlink" Target="#Energia!A1"/><Relationship Id="rId9" Type="http://schemas.openxmlformats.org/officeDocument/2006/relationships/hyperlink" Target="#Ti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hyperlink" Target="#YHTEENVETO!A1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YHTEENVET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YHTEENVET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GV!A1"/><Relationship Id="rId1" Type="http://schemas.openxmlformats.org/officeDocument/2006/relationships/hyperlink" Target="#SUMMARY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Alukset!A1"/><Relationship Id="rId1" Type="http://schemas.openxmlformats.org/officeDocument/2006/relationships/hyperlink" Target="#YHTEENVETO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GV!A1"/><Relationship Id="rId1" Type="http://schemas.openxmlformats.org/officeDocument/2006/relationships/hyperlink" Target="#SUMMARY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Alukset!A1"/><Relationship Id="rId1" Type="http://schemas.openxmlformats.org/officeDocument/2006/relationships/hyperlink" Target="#YHTEENVET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YHTEENVETO!A1"/><Relationship Id="rId2" Type="http://schemas.openxmlformats.org/officeDocument/2006/relationships/hyperlink" Target="#Alukset_K&#228;ynnit!A1"/><Relationship Id="rId1" Type="http://schemas.openxmlformats.org/officeDocument/2006/relationships/hyperlink" Target="#Alukset_P&#228;&#228;st&#246;t!A1"/><Relationship Id="rId4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YHTEENVETO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YHTEENVETO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YHTEENVETO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YHTEENVETO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YHTEENVETO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YHTEENVETO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YHTEENVETO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YHTEENVETO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YHTEENVETO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YHTEENVETO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YHTEENVETO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YHTEENVETO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YHTEENVETO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YHTEENVET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12701</xdr:colOff>
      <xdr:row>31</xdr:row>
      <xdr:rowOff>11641</xdr:rowOff>
    </xdr:from>
    <xdr:to>
      <xdr:col>8</xdr:col>
      <xdr:colOff>9526</xdr:colOff>
      <xdr:row>55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039F0D-A923-4CC1-BBC5-BE2FB24191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</xdr:colOff>
      <xdr:row>7</xdr:row>
      <xdr:rowOff>0</xdr:rowOff>
    </xdr:from>
    <xdr:to>
      <xdr:col>1</xdr:col>
      <xdr:colOff>1724</xdr:colOff>
      <xdr:row>8</xdr:row>
      <xdr:rowOff>238425</xdr:rowOff>
    </xdr:to>
    <xdr:sp macro="" textlink="">
      <xdr:nvSpPr>
        <xdr:cNvPr id="2" name="Rectangle: Rounded Corner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DBBC16C-30E3-417F-8B87-00DBD0AEE37E}"/>
            </a:ext>
          </a:extLst>
        </xdr:cNvPr>
        <xdr:cNvSpPr/>
      </xdr:nvSpPr>
      <xdr:spPr>
        <a:xfrm>
          <a:off x="47624" y="1638300"/>
          <a:ext cx="1440000" cy="648000"/>
        </a:xfrm>
        <a:prstGeom prst="roundRect">
          <a:avLst/>
        </a:prstGeom>
        <a:solidFill>
          <a:schemeClr val="accent2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/>
            <a:t>Oma</a:t>
          </a:r>
          <a:r>
            <a:rPr lang="fi-FI" sz="1100" b="1" baseline="0"/>
            <a:t> autokanta</a:t>
          </a:r>
          <a:endParaRPr lang="fi-FI" sz="1100" b="1"/>
        </a:p>
      </xdr:txBody>
    </xdr:sp>
    <xdr:clientData/>
  </xdr:twoCellAnchor>
  <xdr:twoCellAnchor>
    <xdr:from>
      <xdr:col>1</xdr:col>
      <xdr:colOff>323849</xdr:colOff>
      <xdr:row>7</xdr:row>
      <xdr:rowOff>0</xdr:rowOff>
    </xdr:from>
    <xdr:to>
      <xdr:col>1</xdr:col>
      <xdr:colOff>1763849</xdr:colOff>
      <xdr:row>8</xdr:row>
      <xdr:rowOff>238425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FF70BC1-A2D5-46A5-9B83-2F3B22DA4F9E}"/>
            </a:ext>
          </a:extLst>
        </xdr:cNvPr>
        <xdr:cNvSpPr/>
      </xdr:nvSpPr>
      <xdr:spPr>
        <a:xfrm>
          <a:off x="1809749" y="1638300"/>
          <a:ext cx="1440000" cy="648000"/>
        </a:xfrm>
        <a:prstGeom prst="roundRect">
          <a:avLst/>
        </a:prstGeom>
        <a:solidFill>
          <a:schemeClr val="accent2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050" b="1"/>
            <a:t>Oma lastinkäsittely</a:t>
          </a:r>
        </a:p>
      </xdr:txBody>
    </xdr:sp>
    <xdr:clientData/>
  </xdr:twoCellAnchor>
  <xdr:twoCellAnchor>
    <xdr:from>
      <xdr:col>0</xdr:col>
      <xdr:colOff>47624</xdr:colOff>
      <xdr:row>10</xdr:row>
      <xdr:rowOff>9525</xdr:rowOff>
    </xdr:from>
    <xdr:to>
      <xdr:col>1</xdr:col>
      <xdr:colOff>1724</xdr:colOff>
      <xdr:row>13</xdr:row>
      <xdr:rowOff>19350</xdr:rowOff>
    </xdr:to>
    <xdr:sp macro="" textlink="">
      <xdr:nvSpPr>
        <xdr:cNvPr id="5" name="Rectangle: Rounded Corner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2967D66-1760-46C1-BF31-BF45226424A3}"/>
            </a:ext>
          </a:extLst>
        </xdr:cNvPr>
        <xdr:cNvSpPr/>
      </xdr:nvSpPr>
      <xdr:spPr>
        <a:xfrm>
          <a:off x="47624" y="2505075"/>
          <a:ext cx="1440000" cy="648000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/>
            <a:t>Energiankulutus</a:t>
          </a:r>
        </a:p>
      </xdr:txBody>
    </xdr:sp>
    <xdr:clientData/>
  </xdr:twoCellAnchor>
  <xdr:twoCellAnchor>
    <xdr:from>
      <xdr:col>0</xdr:col>
      <xdr:colOff>47625</xdr:colOff>
      <xdr:row>14</xdr:row>
      <xdr:rowOff>47624</xdr:rowOff>
    </xdr:from>
    <xdr:to>
      <xdr:col>1</xdr:col>
      <xdr:colOff>1725</xdr:colOff>
      <xdr:row>17</xdr:row>
      <xdr:rowOff>95549</xdr:rowOff>
    </xdr:to>
    <xdr:sp macro="" textlink="">
      <xdr:nvSpPr>
        <xdr:cNvPr id="6" name="Rectangle: Rounded Corner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6BC4C2B-0DFC-4579-9B31-D02594D39815}"/>
            </a:ext>
          </a:extLst>
        </xdr:cNvPr>
        <xdr:cNvSpPr/>
      </xdr:nvSpPr>
      <xdr:spPr>
        <a:xfrm>
          <a:off x="47625" y="3381374"/>
          <a:ext cx="1440000" cy="648000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/>
            <a:t>Valtamerialukset</a:t>
          </a:r>
        </a:p>
      </xdr:txBody>
    </xdr:sp>
    <xdr:clientData/>
  </xdr:twoCellAnchor>
  <xdr:twoCellAnchor>
    <xdr:from>
      <xdr:col>1</xdr:col>
      <xdr:colOff>323850</xdr:colOff>
      <xdr:row>14</xdr:row>
      <xdr:rowOff>47624</xdr:rowOff>
    </xdr:from>
    <xdr:to>
      <xdr:col>1</xdr:col>
      <xdr:colOff>1763850</xdr:colOff>
      <xdr:row>17</xdr:row>
      <xdr:rowOff>95549</xdr:rowOff>
    </xdr:to>
    <xdr:sp macro="" textlink="">
      <xdr:nvSpPr>
        <xdr:cNvPr id="7" name="Rectangle: Rounded Corner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1252C9D-0A5F-43B1-B42F-953D27152F57}"/>
            </a:ext>
          </a:extLst>
        </xdr:cNvPr>
        <xdr:cNvSpPr/>
      </xdr:nvSpPr>
      <xdr:spPr>
        <a:xfrm>
          <a:off x="1809750" y="3381374"/>
          <a:ext cx="1440000" cy="648000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/>
            <a:t>Satama</a:t>
          </a:r>
          <a:r>
            <a:rPr lang="fi-FI" sz="1100" b="1" baseline="0"/>
            <a:t>-alukset</a:t>
          </a:r>
          <a:endParaRPr lang="fi-FI" sz="1100" b="1"/>
        </a:p>
      </xdr:txBody>
    </xdr:sp>
    <xdr:clientData/>
  </xdr:twoCellAnchor>
  <xdr:twoCellAnchor>
    <xdr:from>
      <xdr:col>2</xdr:col>
      <xdr:colOff>9524</xdr:colOff>
      <xdr:row>14</xdr:row>
      <xdr:rowOff>47624</xdr:rowOff>
    </xdr:from>
    <xdr:to>
      <xdr:col>2</xdr:col>
      <xdr:colOff>1449524</xdr:colOff>
      <xdr:row>17</xdr:row>
      <xdr:rowOff>95549</xdr:rowOff>
    </xdr:to>
    <xdr:sp macro="" textlink="">
      <xdr:nvSpPr>
        <xdr:cNvPr id="8" name="Rectangle: Rounded Corner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D023FC1-50F9-4240-9C2A-30D8750FE69E}"/>
            </a:ext>
          </a:extLst>
        </xdr:cNvPr>
        <xdr:cNvSpPr/>
      </xdr:nvSpPr>
      <xdr:spPr>
        <a:xfrm>
          <a:off x="3552824" y="3381374"/>
          <a:ext cx="1440000" cy="648000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000" b="1"/>
            <a:t>Lastinkäsittely</a:t>
          </a:r>
        </a:p>
      </xdr:txBody>
    </xdr:sp>
    <xdr:clientData/>
  </xdr:twoCellAnchor>
  <xdr:twoCellAnchor>
    <xdr:from>
      <xdr:col>0</xdr:col>
      <xdr:colOff>47625</xdr:colOff>
      <xdr:row>18</xdr:row>
      <xdr:rowOff>171450</xdr:rowOff>
    </xdr:from>
    <xdr:to>
      <xdr:col>1</xdr:col>
      <xdr:colOff>1725</xdr:colOff>
      <xdr:row>20</xdr:row>
      <xdr:rowOff>133650</xdr:rowOff>
    </xdr:to>
    <xdr:sp macro="" textlink="">
      <xdr:nvSpPr>
        <xdr:cNvPr id="9" name="Rectangle: Rounded Corner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62D10E5-3CB8-4816-87B1-2E97A4ABFD21}"/>
            </a:ext>
          </a:extLst>
        </xdr:cNvPr>
        <xdr:cNvSpPr/>
      </xdr:nvSpPr>
      <xdr:spPr>
        <a:xfrm>
          <a:off x="47625" y="4305300"/>
          <a:ext cx="1440000" cy="648000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/>
            <a:t>Rautatiekuljetukset</a:t>
          </a:r>
        </a:p>
      </xdr:txBody>
    </xdr:sp>
    <xdr:clientData/>
  </xdr:twoCellAnchor>
  <xdr:twoCellAnchor>
    <xdr:from>
      <xdr:col>1</xdr:col>
      <xdr:colOff>323850</xdr:colOff>
      <xdr:row>18</xdr:row>
      <xdr:rowOff>180975</xdr:rowOff>
    </xdr:from>
    <xdr:to>
      <xdr:col>1</xdr:col>
      <xdr:colOff>1763850</xdr:colOff>
      <xdr:row>20</xdr:row>
      <xdr:rowOff>143175</xdr:rowOff>
    </xdr:to>
    <xdr:sp macro="" textlink="">
      <xdr:nvSpPr>
        <xdr:cNvPr id="10" name="Rectangle: Rounded Corners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1134F3C-41CA-4B41-869E-6C5559A0CB1A}"/>
            </a:ext>
          </a:extLst>
        </xdr:cNvPr>
        <xdr:cNvSpPr/>
      </xdr:nvSpPr>
      <xdr:spPr>
        <a:xfrm>
          <a:off x="1809750" y="4314825"/>
          <a:ext cx="1440000" cy="648000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/>
            <a:t>Rakennuskalusto</a:t>
          </a:r>
        </a:p>
      </xdr:txBody>
    </xdr:sp>
    <xdr:clientData/>
  </xdr:twoCellAnchor>
  <xdr:twoCellAnchor>
    <xdr:from>
      <xdr:col>2</xdr:col>
      <xdr:colOff>9524</xdr:colOff>
      <xdr:row>18</xdr:row>
      <xdr:rowOff>180975</xdr:rowOff>
    </xdr:from>
    <xdr:to>
      <xdr:col>2</xdr:col>
      <xdr:colOff>1449524</xdr:colOff>
      <xdr:row>20</xdr:row>
      <xdr:rowOff>143175</xdr:rowOff>
    </xdr:to>
    <xdr:sp macro="" textlink="">
      <xdr:nvSpPr>
        <xdr:cNvPr id="11" name="Rectangle: Rounded Corners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138C256-856F-4997-9C70-A359D5304649}"/>
            </a:ext>
          </a:extLst>
        </xdr:cNvPr>
        <xdr:cNvSpPr/>
      </xdr:nvSpPr>
      <xdr:spPr>
        <a:xfrm>
          <a:off x="3552824" y="4314825"/>
          <a:ext cx="1440000" cy="648000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/>
            <a:t>Raskas</a:t>
          </a:r>
          <a:r>
            <a:rPr lang="fi-FI" sz="1100" b="1" baseline="0"/>
            <a:t> tieliikenne</a:t>
          </a:r>
          <a:endParaRPr lang="fi-FI" sz="1100" b="1"/>
        </a:p>
      </xdr:txBody>
    </xdr:sp>
    <xdr:clientData/>
  </xdr:twoCellAnchor>
  <xdr:twoCellAnchor>
    <xdr:from>
      <xdr:col>0</xdr:col>
      <xdr:colOff>47625</xdr:colOff>
      <xdr:row>21</xdr:row>
      <xdr:rowOff>180974</xdr:rowOff>
    </xdr:from>
    <xdr:to>
      <xdr:col>1</xdr:col>
      <xdr:colOff>1725</xdr:colOff>
      <xdr:row>24</xdr:row>
      <xdr:rowOff>38399</xdr:rowOff>
    </xdr:to>
    <xdr:sp macro="" textlink="">
      <xdr:nvSpPr>
        <xdr:cNvPr id="12" name="Rectangle: Rounded Corners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E0B2378-967A-406F-9B2E-A53A2BFA606A}"/>
            </a:ext>
          </a:extLst>
        </xdr:cNvPr>
        <xdr:cNvSpPr/>
      </xdr:nvSpPr>
      <xdr:spPr>
        <a:xfrm>
          <a:off x="47625" y="5257799"/>
          <a:ext cx="1440000" cy="648000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050" b="1"/>
            <a:t>Satamaoperaattorien</a:t>
          </a:r>
          <a:r>
            <a:rPr lang="fi-FI" sz="1050" b="1" baseline="0"/>
            <a:t>energiakulutus</a:t>
          </a:r>
          <a:endParaRPr lang="fi-FI" sz="1050" b="1"/>
        </a:p>
      </xdr:txBody>
    </xdr:sp>
    <xdr:clientData/>
  </xdr:twoCellAnchor>
  <xdr:twoCellAnchor>
    <xdr:from>
      <xdr:col>1</xdr:col>
      <xdr:colOff>323850</xdr:colOff>
      <xdr:row>21</xdr:row>
      <xdr:rowOff>190500</xdr:rowOff>
    </xdr:from>
    <xdr:to>
      <xdr:col>1</xdr:col>
      <xdr:colOff>1763850</xdr:colOff>
      <xdr:row>24</xdr:row>
      <xdr:rowOff>47925</xdr:rowOff>
    </xdr:to>
    <xdr:sp macro="" textlink="">
      <xdr:nvSpPr>
        <xdr:cNvPr id="13" name="Rectangle: Rounded Corners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9CBC65D-B191-4DB8-9F68-9221C3CE8F07}"/>
            </a:ext>
          </a:extLst>
        </xdr:cNvPr>
        <xdr:cNvSpPr/>
      </xdr:nvSpPr>
      <xdr:spPr>
        <a:xfrm>
          <a:off x="1809750" y="5267325"/>
          <a:ext cx="1440000" cy="648000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/>
            <a:t>Kiinteät energialähteet</a:t>
          </a:r>
        </a:p>
      </xdr:txBody>
    </xdr:sp>
    <xdr:clientData/>
  </xdr:twoCellAnchor>
  <xdr:twoCellAnchor>
    <xdr:from>
      <xdr:col>2</xdr:col>
      <xdr:colOff>9524</xdr:colOff>
      <xdr:row>21</xdr:row>
      <xdr:rowOff>200024</xdr:rowOff>
    </xdr:from>
    <xdr:to>
      <xdr:col>2</xdr:col>
      <xdr:colOff>1449524</xdr:colOff>
      <xdr:row>24</xdr:row>
      <xdr:rowOff>57449</xdr:rowOff>
    </xdr:to>
    <xdr:sp macro="" textlink="">
      <xdr:nvSpPr>
        <xdr:cNvPr id="14" name="Rectangle: Rounded Corners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7FB09E-F65E-47CD-8BE9-9F9CFCAD72B5}"/>
            </a:ext>
          </a:extLst>
        </xdr:cNvPr>
        <xdr:cNvSpPr/>
      </xdr:nvSpPr>
      <xdr:spPr>
        <a:xfrm>
          <a:off x="3552824" y="5276849"/>
          <a:ext cx="1440000" cy="648000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/>
            <a:t>Työntekijöiden matkustaminen</a:t>
          </a:r>
          <a:endParaRPr lang="fi-FI" sz="1100" b="1" baseline="0"/>
        </a:p>
      </xdr:txBody>
    </xdr:sp>
    <xdr:clientData/>
  </xdr:twoCellAnchor>
  <xdr:twoCellAnchor>
    <xdr:from>
      <xdr:col>2</xdr:col>
      <xdr:colOff>11644</xdr:colOff>
      <xdr:row>7</xdr:row>
      <xdr:rowOff>13757</xdr:rowOff>
    </xdr:from>
    <xdr:to>
      <xdr:col>2</xdr:col>
      <xdr:colOff>1451644</xdr:colOff>
      <xdr:row>9</xdr:row>
      <xdr:rowOff>4532</xdr:rowOff>
    </xdr:to>
    <xdr:sp macro="" textlink="">
      <xdr:nvSpPr>
        <xdr:cNvPr id="15" name="Rectangle: Rounded Corners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B5832B8-6A9D-4884-B05B-20993C7C3EAF}"/>
            </a:ext>
          </a:extLst>
        </xdr:cNvPr>
        <xdr:cNvSpPr/>
      </xdr:nvSpPr>
      <xdr:spPr>
        <a:xfrm>
          <a:off x="3554944" y="1652057"/>
          <a:ext cx="1440000" cy="648000"/>
        </a:xfrm>
        <a:prstGeom prst="roundRect">
          <a:avLst/>
        </a:prstGeom>
        <a:solidFill>
          <a:schemeClr val="accent2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/>
            <a:t>Omat</a:t>
          </a:r>
          <a:r>
            <a:rPr lang="fi-FI" sz="1100" b="1" baseline="0"/>
            <a:t> </a:t>
          </a:r>
        </a:p>
        <a:p>
          <a:pPr algn="ctr"/>
          <a:r>
            <a:rPr lang="fi-FI" sz="1100" b="1" baseline="0"/>
            <a:t>satama-alukset</a:t>
          </a:r>
          <a:endParaRPr lang="fi-FI" sz="1100" b="1"/>
        </a:p>
      </xdr:txBody>
    </xdr:sp>
    <xdr:clientData/>
  </xdr:twoCellAnchor>
  <xdr:twoCellAnchor>
    <xdr:from>
      <xdr:col>0</xdr:col>
      <xdr:colOff>95250</xdr:colOff>
      <xdr:row>26</xdr:row>
      <xdr:rowOff>28575</xdr:rowOff>
    </xdr:from>
    <xdr:to>
      <xdr:col>1</xdr:col>
      <xdr:colOff>400050</xdr:colOff>
      <xdr:row>31</xdr:row>
      <xdr:rowOff>28576</xdr:rowOff>
    </xdr:to>
    <xdr:sp macro="" textlink="">
      <xdr:nvSpPr>
        <xdr:cNvPr id="16" name="Rectangle: Rounded Corners 1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5A268F1-7C46-4D1E-A13C-20DE2A7E7599}"/>
            </a:ext>
          </a:extLst>
        </xdr:cNvPr>
        <xdr:cNvSpPr/>
      </xdr:nvSpPr>
      <xdr:spPr>
        <a:xfrm>
          <a:off x="95250" y="6343650"/>
          <a:ext cx="1790700" cy="100012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600" b="1" baseline="0"/>
            <a:t>Ympyräkaavio -</a:t>
          </a:r>
        </a:p>
        <a:p>
          <a:pPr algn="ctr"/>
          <a:r>
            <a:rPr lang="fi-FI" sz="1600" b="1" u="sng" baseline="0"/>
            <a:t>laajennettu</a:t>
          </a:r>
          <a:r>
            <a:rPr lang="fi-FI" sz="1600" b="1" baseline="0"/>
            <a:t> versio</a:t>
          </a:r>
          <a:endParaRPr lang="fi-FI" sz="1600" b="1"/>
        </a:p>
      </xdr:txBody>
    </xdr:sp>
    <xdr:clientData/>
  </xdr:twoCellAnchor>
  <xdr:twoCellAnchor>
    <xdr:from>
      <xdr:col>1</xdr:col>
      <xdr:colOff>676275</xdr:colOff>
      <xdr:row>26</xdr:row>
      <xdr:rowOff>38100</xdr:rowOff>
    </xdr:from>
    <xdr:to>
      <xdr:col>2</xdr:col>
      <xdr:colOff>409575</xdr:colOff>
      <xdr:row>31</xdr:row>
      <xdr:rowOff>38100</xdr:rowOff>
    </xdr:to>
    <xdr:sp macro="" textlink="">
      <xdr:nvSpPr>
        <xdr:cNvPr id="17" name="Rectangle: Rounded Corners 1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A2CAA5D-133C-414E-9591-2A174B78653E}"/>
            </a:ext>
          </a:extLst>
        </xdr:cNvPr>
        <xdr:cNvSpPr/>
      </xdr:nvSpPr>
      <xdr:spPr>
        <a:xfrm>
          <a:off x="2162175" y="6353175"/>
          <a:ext cx="1790700" cy="1000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600" b="1"/>
            <a:t>Ympyräkaavio - </a:t>
          </a:r>
          <a:endParaRPr lang="fi-FI" sz="1600" b="1" baseline="0"/>
        </a:p>
        <a:p>
          <a:pPr algn="ctr"/>
          <a:r>
            <a:rPr lang="fi-FI" sz="1600" b="1" u="sng" baseline="0"/>
            <a:t>yksinkertaistettu </a:t>
          </a:r>
          <a:r>
            <a:rPr lang="fi-FI" sz="1600" b="1" baseline="0"/>
            <a:t> versio</a:t>
          </a:r>
          <a:endParaRPr lang="fi-FI" sz="1600" b="1"/>
        </a:p>
      </xdr:txBody>
    </xdr:sp>
    <xdr:clientData/>
  </xdr:twoCellAnchor>
  <xdr:twoCellAnchor>
    <xdr:from>
      <xdr:col>2</xdr:col>
      <xdr:colOff>11644</xdr:colOff>
      <xdr:row>10</xdr:row>
      <xdr:rowOff>13757</xdr:rowOff>
    </xdr:from>
    <xdr:to>
      <xdr:col>2</xdr:col>
      <xdr:colOff>1451644</xdr:colOff>
      <xdr:row>13</xdr:row>
      <xdr:rowOff>23582</xdr:rowOff>
    </xdr:to>
    <xdr:sp macro="" textlink="">
      <xdr:nvSpPr>
        <xdr:cNvPr id="18" name="Rectangle: Rounded Corners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066A44C-9C6F-45DC-858C-5FBD449EB5D3}"/>
            </a:ext>
          </a:extLst>
        </xdr:cNvPr>
        <xdr:cNvSpPr/>
      </xdr:nvSpPr>
      <xdr:spPr>
        <a:xfrm>
          <a:off x="3554944" y="2518832"/>
          <a:ext cx="1440000" cy="648000"/>
        </a:xfrm>
        <a:prstGeom prst="roundRect">
          <a:avLst/>
        </a:prstGeom>
        <a:solidFill>
          <a:schemeClr val="accent2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/>
            <a:t>Omat</a:t>
          </a:r>
          <a:r>
            <a:rPr lang="fi-FI" sz="1100" b="1" baseline="0"/>
            <a:t> kiinteät energialähteet</a:t>
          </a:r>
          <a:endParaRPr lang="fi-FI" sz="1100" b="1"/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1276350</xdr:colOff>
      <xdr:row>0</xdr:row>
      <xdr:rowOff>1619804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A6DBCFC-A04E-406B-937E-AFFE2F13C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7625" y="0"/>
          <a:ext cx="4772025" cy="1619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482" cy="607558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B65198-58F3-4B29-95AB-1FED2ED633B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1563350" cy="8239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5D1FB6-AC5F-4519-A1F2-79267E4E10F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0</xdr:colOff>
      <xdr:row>0</xdr:row>
      <xdr:rowOff>9525</xdr:rowOff>
    </xdr:from>
    <xdr:to>
      <xdr:col>1</xdr:col>
      <xdr:colOff>685800</xdr:colOff>
      <xdr:row>3</xdr:row>
      <xdr:rowOff>122025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66BABA-5C98-468B-8615-127BD7A7A6B6}"/>
            </a:ext>
          </a:extLst>
        </xdr:cNvPr>
        <xdr:cNvSpPr/>
      </xdr:nvSpPr>
      <xdr:spPr>
        <a:xfrm>
          <a:off x="0" y="9525"/>
          <a:ext cx="1295400" cy="6840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/>
            <a:t>Takaisin yhteenvetosivulle</a:t>
          </a:r>
        </a:p>
      </xdr:txBody>
    </xdr:sp>
    <xdr:clientData/>
  </xdr:twoCellAnchor>
  <xdr:twoCellAnchor>
    <xdr:from>
      <xdr:col>0</xdr:col>
      <xdr:colOff>9525</xdr:colOff>
      <xdr:row>45</xdr:row>
      <xdr:rowOff>9525</xdr:rowOff>
    </xdr:from>
    <xdr:to>
      <xdr:col>1</xdr:col>
      <xdr:colOff>695925</xdr:colOff>
      <xdr:row>48</xdr:row>
      <xdr:rowOff>122025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BC74B30-EBF5-4121-AD8D-A7749D8DC5D5}"/>
            </a:ext>
          </a:extLst>
        </xdr:cNvPr>
        <xdr:cNvSpPr/>
      </xdr:nvSpPr>
      <xdr:spPr>
        <a:xfrm>
          <a:off x="9525" y="8582025"/>
          <a:ext cx="1296000" cy="6840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/>
            <a:t>Takaisin yhteenvetosivulle</a:t>
          </a:r>
        </a:p>
      </xdr:txBody>
    </xdr:sp>
    <xdr:clientData/>
  </xdr:twoCellAnchor>
  <xdr:twoCellAnchor>
    <xdr:from>
      <xdr:col>0</xdr:col>
      <xdr:colOff>0</xdr:colOff>
      <xdr:row>59</xdr:row>
      <xdr:rowOff>19050</xdr:rowOff>
    </xdr:from>
    <xdr:to>
      <xdr:col>8</xdr:col>
      <xdr:colOff>419099</xdr:colOff>
      <xdr:row>93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251B392-70E6-460B-BBF2-6CAB3A7B2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3</xdr:col>
      <xdr:colOff>266700</xdr:colOff>
      <xdr:row>0</xdr:row>
      <xdr:rowOff>1619804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20CC62-0AE6-4027-99A3-CA03B3675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4772025" cy="16198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990600</xdr:colOff>
      <xdr:row>1</xdr:row>
      <xdr:rowOff>57150</xdr:rowOff>
    </xdr:from>
    <xdr:to>
      <xdr:col>10</xdr:col>
      <xdr:colOff>57150</xdr:colOff>
      <xdr:row>2</xdr:row>
      <xdr:rowOff>293475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BCD5B6-DA41-428A-8EB3-631A76D027F8}"/>
            </a:ext>
          </a:extLst>
        </xdr:cNvPr>
        <xdr:cNvSpPr/>
      </xdr:nvSpPr>
      <xdr:spPr>
        <a:xfrm>
          <a:off x="12392025" y="57150"/>
          <a:ext cx="1076325" cy="6840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/>
            <a:t>Takaisin yhteenvetosivulle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1295400</xdr:colOff>
      <xdr:row>0</xdr:row>
      <xdr:rowOff>1619804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2F2CF9-367D-4E9C-A024-3EDBA9E1E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0"/>
          <a:ext cx="4772025" cy="16198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1</xdr:row>
      <xdr:rowOff>57150</xdr:rowOff>
    </xdr:from>
    <xdr:to>
      <xdr:col>8</xdr:col>
      <xdr:colOff>381000</xdr:colOff>
      <xdr:row>2</xdr:row>
      <xdr:rowOff>293475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EB602B-DAC4-40C7-B325-A2ABC932861B}"/>
            </a:ext>
          </a:extLst>
        </xdr:cNvPr>
        <xdr:cNvSpPr/>
      </xdr:nvSpPr>
      <xdr:spPr>
        <a:xfrm>
          <a:off x="10639425" y="57150"/>
          <a:ext cx="1314450" cy="6840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Takaisin yhteenvetosivulle</a:t>
          </a:r>
          <a:endParaRPr lang="fi-FI">
            <a:effectLst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1295400</xdr:colOff>
      <xdr:row>0</xdr:row>
      <xdr:rowOff>1619804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A0360C-07B8-4168-A445-FA52DC02A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0"/>
          <a:ext cx="4772025" cy="16198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66</xdr:row>
      <xdr:rowOff>9525</xdr:rowOff>
    </xdr:from>
    <xdr:to>
      <xdr:col>18</xdr:col>
      <xdr:colOff>28575</xdr:colOff>
      <xdr:row>88</xdr:row>
      <xdr:rowOff>85725</xdr:rowOff>
    </xdr:to>
    <xdr:pic>
      <xdr:nvPicPr>
        <xdr:cNvPr id="2" name="Picture 1" descr="6,471 Container Ship Illustrations &amp;amp; Clip Art - iStock">
          <a:extLst>
            <a:ext uri="{FF2B5EF4-FFF2-40B4-BE49-F238E27FC236}">
              <a16:creationId xmlns:a16="http://schemas.microsoft.com/office/drawing/2014/main" id="{11D96D3D-0CF0-4F5B-80FC-EFB9D1A38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13430250"/>
          <a:ext cx="5829300" cy="469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52915</xdr:colOff>
      <xdr:row>0</xdr:row>
      <xdr:rowOff>0</xdr:rowOff>
    </xdr:from>
    <xdr:to>
      <xdr:col>2</xdr:col>
      <xdr:colOff>898523</xdr:colOff>
      <xdr:row>0</xdr:row>
      <xdr:rowOff>1619804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85F434-D6FF-4E23-A03C-F961F09B6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15" y="0"/>
          <a:ext cx="4772025" cy="16198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1181100</xdr:colOff>
      <xdr:row>1</xdr:row>
      <xdr:rowOff>38100</xdr:rowOff>
    </xdr:from>
    <xdr:to>
      <xdr:col>6</xdr:col>
      <xdr:colOff>438150</xdr:colOff>
      <xdr:row>2</xdr:row>
      <xdr:rowOff>274425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CDFDFE-15A3-42B6-8E41-076B44F022B0}"/>
            </a:ext>
          </a:extLst>
        </xdr:cNvPr>
        <xdr:cNvSpPr/>
      </xdr:nvSpPr>
      <xdr:spPr>
        <a:xfrm>
          <a:off x="5562600" y="38100"/>
          <a:ext cx="1371600" cy="6840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Takaisin</a:t>
          </a:r>
          <a:r>
            <a:rPr lang="fi-FI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yhteenvetosivulle</a:t>
          </a:r>
          <a:endParaRPr lang="fi-FI">
            <a:effectLst/>
          </a:endParaRPr>
        </a:p>
      </xdr:txBody>
    </xdr:sp>
    <xdr:clientData/>
  </xdr:twoCellAnchor>
  <xdr:twoCellAnchor>
    <xdr:from>
      <xdr:col>6</xdr:col>
      <xdr:colOff>581025</xdr:colOff>
      <xdr:row>1</xdr:row>
      <xdr:rowOff>38101</xdr:rowOff>
    </xdr:from>
    <xdr:to>
      <xdr:col>8</xdr:col>
      <xdr:colOff>295275</xdr:colOff>
      <xdr:row>2</xdr:row>
      <xdr:rowOff>276226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A52A83-76A0-4000-AEA0-241A33529198}"/>
            </a:ext>
          </a:extLst>
        </xdr:cNvPr>
        <xdr:cNvSpPr/>
      </xdr:nvSpPr>
      <xdr:spPr>
        <a:xfrm>
          <a:off x="7077075" y="38101"/>
          <a:ext cx="1333500" cy="6858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Takaisin laskentatavan valintaan</a:t>
          </a:r>
          <a:endParaRPr lang="fi-FI">
            <a:effectLst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4</xdr:col>
      <xdr:colOff>438150</xdr:colOff>
      <xdr:row>0</xdr:row>
      <xdr:rowOff>1619804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8BB289F-315D-4537-96B2-A716CB713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0"/>
          <a:ext cx="4772025" cy="16198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1181100</xdr:colOff>
      <xdr:row>1</xdr:row>
      <xdr:rowOff>38100</xdr:rowOff>
    </xdr:from>
    <xdr:to>
      <xdr:col>6</xdr:col>
      <xdr:colOff>438150</xdr:colOff>
      <xdr:row>2</xdr:row>
      <xdr:rowOff>274425</xdr:rowOff>
    </xdr:to>
    <xdr:sp macro="" textlink="">
      <xdr:nvSpPr>
        <xdr:cNvPr id="4" name="Rectangle: Rounded Corner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5C230D-CFEC-4171-B304-CB096186CFDE}"/>
            </a:ext>
          </a:extLst>
        </xdr:cNvPr>
        <xdr:cNvSpPr/>
      </xdr:nvSpPr>
      <xdr:spPr>
        <a:xfrm>
          <a:off x="6934200" y="38100"/>
          <a:ext cx="1076325" cy="6840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Takaisin</a:t>
          </a:r>
          <a:r>
            <a:rPr lang="fi-FI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yhteenvetosivulle</a:t>
          </a:r>
          <a:endParaRPr lang="fi-FI">
            <a:effectLst/>
          </a:endParaRPr>
        </a:p>
      </xdr:txBody>
    </xdr:sp>
    <xdr:clientData/>
  </xdr:twoCellAnchor>
  <xdr:twoCellAnchor>
    <xdr:from>
      <xdr:col>6</xdr:col>
      <xdr:colOff>581025</xdr:colOff>
      <xdr:row>1</xdr:row>
      <xdr:rowOff>38100</xdr:rowOff>
    </xdr:from>
    <xdr:to>
      <xdr:col>8</xdr:col>
      <xdr:colOff>38100</xdr:colOff>
      <xdr:row>2</xdr:row>
      <xdr:rowOff>285750</xdr:rowOff>
    </xdr:to>
    <xdr:sp macro="" textlink="">
      <xdr:nvSpPr>
        <xdr:cNvPr id="5" name="Rectangle: Rounded Corner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20A13D-6A4C-4DF5-A926-50F0488223A0}"/>
            </a:ext>
          </a:extLst>
        </xdr:cNvPr>
        <xdr:cNvSpPr/>
      </xdr:nvSpPr>
      <xdr:spPr>
        <a:xfrm>
          <a:off x="7153275" y="38100"/>
          <a:ext cx="1952625" cy="695325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Takaisin laskentatavan valintaan</a:t>
          </a:r>
          <a:endParaRPr lang="fi-FI">
            <a:effectLst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4</xdr:col>
      <xdr:colOff>361950</xdr:colOff>
      <xdr:row>0</xdr:row>
      <xdr:rowOff>1619804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D5EC728-24A9-4DC4-9693-BA73915E1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0"/>
          <a:ext cx="4772025" cy="16198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1181100</xdr:colOff>
      <xdr:row>1</xdr:row>
      <xdr:rowOff>38100</xdr:rowOff>
    </xdr:from>
    <xdr:to>
      <xdr:col>9</xdr:col>
      <xdr:colOff>438150</xdr:colOff>
      <xdr:row>2</xdr:row>
      <xdr:rowOff>274425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8095A0-81D9-4568-B54D-C9E9332FB4CC}"/>
            </a:ext>
          </a:extLst>
        </xdr:cNvPr>
        <xdr:cNvSpPr/>
      </xdr:nvSpPr>
      <xdr:spPr>
        <a:xfrm>
          <a:off x="9553575" y="38100"/>
          <a:ext cx="1076325" cy="6840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/>
            <a:t>Takaisin</a:t>
          </a:r>
          <a:r>
            <a:rPr lang="fi-FI" sz="1100" b="1" baseline="0"/>
            <a:t> yhteenvetosivulle</a:t>
          </a:r>
          <a:endParaRPr lang="fi-FI" sz="1100" b="1"/>
        </a:p>
      </xdr:txBody>
    </xdr:sp>
    <xdr:clientData/>
  </xdr:twoCellAnchor>
  <xdr:twoCellAnchor>
    <xdr:from>
      <xdr:col>10</xdr:col>
      <xdr:colOff>9525</xdr:colOff>
      <xdr:row>1</xdr:row>
      <xdr:rowOff>38099</xdr:rowOff>
    </xdr:from>
    <xdr:to>
      <xdr:col>11</xdr:col>
      <xdr:colOff>76200</xdr:colOff>
      <xdr:row>3</xdr:row>
      <xdr:rowOff>190499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E041B5-BC9C-4F34-84B7-6069AF1141AB}"/>
            </a:ext>
          </a:extLst>
        </xdr:cNvPr>
        <xdr:cNvSpPr/>
      </xdr:nvSpPr>
      <xdr:spPr>
        <a:xfrm>
          <a:off x="10810875" y="38099"/>
          <a:ext cx="1076325" cy="942975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/>
            <a:t>Takaisin laskentatavan valintaan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3</xdr:col>
      <xdr:colOff>1123950</xdr:colOff>
      <xdr:row>0</xdr:row>
      <xdr:rowOff>1619804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910CC3-99D5-4730-85D0-25E411FB1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0"/>
          <a:ext cx="4772025" cy="161980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962026</xdr:colOff>
      <xdr:row>1</xdr:row>
      <xdr:rowOff>38100</xdr:rowOff>
    </xdr:from>
    <xdr:to>
      <xdr:col>9</xdr:col>
      <xdr:colOff>438151</xdr:colOff>
      <xdr:row>2</xdr:row>
      <xdr:rowOff>274425</xdr:rowOff>
    </xdr:to>
    <xdr:sp macro="" textlink="">
      <xdr:nvSpPr>
        <xdr:cNvPr id="4" name="Rectangle: Rounded Corner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A9D3D7-B074-4D56-BAF7-B4D613384A92}"/>
            </a:ext>
          </a:extLst>
        </xdr:cNvPr>
        <xdr:cNvSpPr/>
      </xdr:nvSpPr>
      <xdr:spPr>
        <a:xfrm>
          <a:off x="9334501" y="38100"/>
          <a:ext cx="1295400" cy="6840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/>
            <a:t>Takaisin yhteenvetosivulle</a:t>
          </a:r>
        </a:p>
      </xdr:txBody>
    </xdr:sp>
    <xdr:clientData/>
  </xdr:twoCellAnchor>
  <xdr:twoCellAnchor>
    <xdr:from>
      <xdr:col>10</xdr:col>
      <xdr:colOff>9525</xdr:colOff>
      <xdr:row>1</xdr:row>
      <xdr:rowOff>38099</xdr:rowOff>
    </xdr:from>
    <xdr:to>
      <xdr:col>11</xdr:col>
      <xdr:colOff>104775</xdr:colOff>
      <xdr:row>3</xdr:row>
      <xdr:rowOff>190499</xdr:rowOff>
    </xdr:to>
    <xdr:sp macro="" textlink="">
      <xdr:nvSpPr>
        <xdr:cNvPr id="5" name="Rectangle: Rounded Corner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524982B-AD71-4694-81F3-84D9334B7F11}"/>
            </a:ext>
          </a:extLst>
        </xdr:cNvPr>
        <xdr:cNvSpPr/>
      </xdr:nvSpPr>
      <xdr:spPr>
        <a:xfrm>
          <a:off x="10810875" y="38099"/>
          <a:ext cx="1104900" cy="942975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/>
            <a:t>Takaisin</a:t>
          </a:r>
          <a:r>
            <a:rPr lang="fi-FI" sz="1100" b="1" baseline="0"/>
            <a:t> laskentatavan valintaan</a:t>
          </a:r>
          <a:endParaRPr lang="fi-FI" sz="1100" b="1"/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3</xdr:col>
      <xdr:colOff>1123950</xdr:colOff>
      <xdr:row>0</xdr:row>
      <xdr:rowOff>1619804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D1888E7-C03F-47C5-A2AA-88BCA05B7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0"/>
          <a:ext cx="4772025" cy="161980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8</xdr:row>
      <xdr:rowOff>9525</xdr:rowOff>
    </xdr:from>
    <xdr:to>
      <xdr:col>3</xdr:col>
      <xdr:colOff>600075</xdr:colOff>
      <xdr:row>12</xdr:row>
      <xdr:rowOff>147525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6D48B7-327C-4075-85CB-B3E5D79D8290}"/>
            </a:ext>
          </a:extLst>
        </xdr:cNvPr>
        <xdr:cNvSpPr/>
      </xdr:nvSpPr>
      <xdr:spPr>
        <a:xfrm>
          <a:off x="304800" y="1409700"/>
          <a:ext cx="3371850" cy="90000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i-FI" sz="1400" b="1"/>
            <a:t>Satama käyttää Satamatietoa</a:t>
          </a:r>
          <a:r>
            <a:rPr lang="fi-FI" sz="1400" b="1" baseline="0"/>
            <a:t> &amp; </a:t>
          </a:r>
          <a:r>
            <a:rPr lang="fi-FI" sz="1400" b="1"/>
            <a:t>Portensystä</a:t>
          </a:r>
          <a:r>
            <a:rPr lang="fi-FI" sz="1400" b="1" baseline="0"/>
            <a:t> </a:t>
          </a:r>
        </a:p>
        <a:p>
          <a:pPr algn="l"/>
          <a:r>
            <a:rPr lang="fi-FI" sz="1400" baseline="0"/>
            <a:t>[Alusten päästöt ovat tiedossa]</a:t>
          </a:r>
          <a:endParaRPr lang="fi-FI" sz="1400"/>
        </a:p>
      </xdr:txBody>
    </xdr:sp>
    <xdr:clientData/>
  </xdr:twoCellAnchor>
  <xdr:twoCellAnchor>
    <xdr:from>
      <xdr:col>4</xdr:col>
      <xdr:colOff>190499</xdr:colOff>
      <xdr:row>8</xdr:row>
      <xdr:rowOff>0</xdr:rowOff>
    </xdr:from>
    <xdr:to>
      <xdr:col>9</xdr:col>
      <xdr:colOff>590549</xdr:colOff>
      <xdr:row>12</xdr:row>
      <xdr:rowOff>138000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6BB99A-5FCF-4DA8-85D3-729A45525CED}"/>
            </a:ext>
          </a:extLst>
        </xdr:cNvPr>
        <xdr:cNvSpPr/>
      </xdr:nvSpPr>
      <xdr:spPr>
        <a:xfrm>
          <a:off x="3876674" y="1400175"/>
          <a:ext cx="4048125" cy="90000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i-FI" sz="1400" b="1"/>
            <a:t>Satama käyttää muita ohjelmistoja</a:t>
          </a:r>
          <a:r>
            <a:rPr lang="fi-FI" sz="1400" b="1" baseline="0"/>
            <a:t> </a:t>
          </a:r>
          <a:r>
            <a:rPr lang="fi-FI" sz="1400" baseline="0"/>
            <a:t>(esim. WD.net) </a:t>
          </a:r>
        </a:p>
        <a:p>
          <a:pPr algn="l"/>
          <a:r>
            <a:rPr lang="fi-FI" sz="1400" baseline="0"/>
            <a:t>[Alusten päästöt eivät ole tiedossa, mutta luettelo aluskäynneistä ja alusten tiedot ovat saatavilla]</a:t>
          </a:r>
          <a:endParaRPr lang="fi-FI" sz="1400"/>
        </a:p>
      </xdr:txBody>
    </xdr:sp>
    <xdr:clientData/>
  </xdr:twoCellAnchor>
  <xdr:twoCellAnchor>
    <xdr:from>
      <xdr:col>7</xdr:col>
      <xdr:colOff>895349</xdr:colOff>
      <xdr:row>1</xdr:row>
      <xdr:rowOff>38100</xdr:rowOff>
    </xdr:from>
    <xdr:to>
      <xdr:col>10</xdr:col>
      <xdr:colOff>85724</xdr:colOff>
      <xdr:row>2</xdr:row>
      <xdr:rowOff>274425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8717F0D-B21E-4CCD-807E-55246E7078BB}"/>
            </a:ext>
          </a:extLst>
        </xdr:cNvPr>
        <xdr:cNvSpPr/>
      </xdr:nvSpPr>
      <xdr:spPr>
        <a:xfrm>
          <a:off x="8086724" y="38100"/>
          <a:ext cx="1304925" cy="6840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/>
            <a:t>Takaisin yhteenvetosivulle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4</xdr:col>
      <xdr:colOff>542925</xdr:colOff>
      <xdr:row>0</xdr:row>
      <xdr:rowOff>1619804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95B72FF-F579-4469-A41C-07DA3B173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" y="0"/>
          <a:ext cx="4772025" cy="161980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39300</xdr:colOff>
      <xdr:row>0</xdr:row>
      <xdr:rowOff>1608732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BDBF0FF4-113B-4D4D-87B3-6E4E08771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78000" cy="161190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3</xdr:col>
      <xdr:colOff>114300</xdr:colOff>
      <xdr:row>0</xdr:row>
      <xdr:rowOff>1619804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446D55-06F1-4C26-AEF6-F685ABC04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0"/>
          <a:ext cx="4772025" cy="161980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</xdr:row>
      <xdr:rowOff>47625</xdr:rowOff>
    </xdr:from>
    <xdr:to>
      <xdr:col>8</xdr:col>
      <xdr:colOff>238125</xdr:colOff>
      <xdr:row>2</xdr:row>
      <xdr:rowOff>283950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B71FCB-2146-4687-9F13-87756959DA63}"/>
            </a:ext>
          </a:extLst>
        </xdr:cNvPr>
        <xdr:cNvSpPr/>
      </xdr:nvSpPr>
      <xdr:spPr>
        <a:xfrm>
          <a:off x="8810625" y="47625"/>
          <a:ext cx="1352550" cy="6840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Takaisin yhteenvetosivulle</a:t>
          </a:r>
          <a:endParaRPr lang="fi-FI">
            <a:effectLst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4</xdr:col>
      <xdr:colOff>66675</xdr:colOff>
      <xdr:row>0</xdr:row>
      <xdr:rowOff>1619804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CCCA13-10AE-497E-B410-A222749E4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0"/>
          <a:ext cx="4772025" cy="161980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</xdr:row>
      <xdr:rowOff>47625</xdr:rowOff>
    </xdr:from>
    <xdr:to>
      <xdr:col>8</xdr:col>
      <xdr:colOff>171450</xdr:colOff>
      <xdr:row>2</xdr:row>
      <xdr:rowOff>283950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CBBE83-3C3B-42BC-9DC8-763FE7DB7585}"/>
            </a:ext>
          </a:extLst>
        </xdr:cNvPr>
        <xdr:cNvSpPr/>
      </xdr:nvSpPr>
      <xdr:spPr>
        <a:xfrm>
          <a:off x="8924925" y="47625"/>
          <a:ext cx="1285875" cy="6840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Takaisin yhteenvetosivulle</a:t>
          </a:r>
          <a:endParaRPr lang="fi-FI">
            <a:effectLst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3</xdr:col>
      <xdr:colOff>828675</xdr:colOff>
      <xdr:row>0</xdr:row>
      <xdr:rowOff>1619804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BB13674-F836-49F8-99EF-99A116853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0"/>
          <a:ext cx="4772025" cy="161980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252660</xdr:colOff>
      <xdr:row>0</xdr:row>
      <xdr:rowOff>1611907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CFF4AEB4-A891-4DC1-9147-EA0B573BB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78000" cy="161190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4</xdr:col>
      <xdr:colOff>285750</xdr:colOff>
      <xdr:row>0</xdr:row>
      <xdr:rowOff>1619804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AED3AE-CEA7-4E32-9B60-33BA3F9B6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0"/>
          <a:ext cx="4772025" cy="161980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1</xdr:row>
      <xdr:rowOff>66675</xdr:rowOff>
    </xdr:from>
    <xdr:to>
      <xdr:col>4</xdr:col>
      <xdr:colOff>1695450</xdr:colOff>
      <xdr:row>2</xdr:row>
      <xdr:rowOff>303000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AF28C4-F370-46E7-A244-57B639DE8E4F}"/>
            </a:ext>
          </a:extLst>
        </xdr:cNvPr>
        <xdr:cNvSpPr/>
      </xdr:nvSpPr>
      <xdr:spPr>
        <a:xfrm>
          <a:off x="6781800" y="66675"/>
          <a:ext cx="1304925" cy="6840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Takaisin yhteenvetosivulle</a:t>
          </a:r>
          <a:endParaRPr lang="fi-FI">
            <a:effectLst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3</xdr:col>
      <xdr:colOff>266700</xdr:colOff>
      <xdr:row>0</xdr:row>
      <xdr:rowOff>1619804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28269F-CF12-4CC2-B773-5FC310732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0"/>
          <a:ext cx="4772025" cy="161980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1</xdr:row>
      <xdr:rowOff>66675</xdr:rowOff>
    </xdr:from>
    <xdr:to>
      <xdr:col>4</xdr:col>
      <xdr:colOff>1676400</xdr:colOff>
      <xdr:row>2</xdr:row>
      <xdr:rowOff>303000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51303-14B1-4D7B-BAB8-4FCA3431D086}"/>
            </a:ext>
          </a:extLst>
        </xdr:cNvPr>
        <xdr:cNvSpPr/>
      </xdr:nvSpPr>
      <xdr:spPr>
        <a:xfrm>
          <a:off x="6781800" y="66675"/>
          <a:ext cx="1285875" cy="6840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Takaisin yhteenvetosivulle</a:t>
          </a:r>
          <a:endParaRPr lang="fi-FI">
            <a:effectLst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3</xdr:col>
      <xdr:colOff>266700</xdr:colOff>
      <xdr:row>0</xdr:row>
      <xdr:rowOff>1619804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1C1E9E5-E053-4D23-8A35-E996711FC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0"/>
          <a:ext cx="4772025" cy="161980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824160</xdr:colOff>
      <xdr:row>0</xdr:row>
      <xdr:rowOff>1611907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F70B6758-2008-408F-8D74-54209D81D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78000" cy="161190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3</xdr:col>
      <xdr:colOff>876300</xdr:colOff>
      <xdr:row>0</xdr:row>
      <xdr:rowOff>1619804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A6E42E-5CE6-4A7F-B8D5-C23475BB3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0"/>
          <a:ext cx="4772025" cy="161980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</xdr:row>
      <xdr:rowOff>57150</xdr:rowOff>
    </xdr:from>
    <xdr:to>
      <xdr:col>6</xdr:col>
      <xdr:colOff>57150</xdr:colOff>
      <xdr:row>2</xdr:row>
      <xdr:rowOff>293475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210201-3F3C-43A8-893B-17905ECB498A}"/>
            </a:ext>
          </a:extLst>
        </xdr:cNvPr>
        <xdr:cNvSpPr/>
      </xdr:nvSpPr>
      <xdr:spPr>
        <a:xfrm>
          <a:off x="7829550" y="57150"/>
          <a:ext cx="1295400" cy="6840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Takaisin yhteenvetosivulle</a:t>
          </a:r>
          <a:endParaRPr lang="fi-FI">
            <a:effectLst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252660</xdr:colOff>
      <xdr:row>0</xdr:row>
      <xdr:rowOff>1611907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B05CE8BA-01A7-4DD4-AC87-ED20E1E39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70320" y="0"/>
          <a:ext cx="4878000" cy="1611907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0</xdr:row>
      <xdr:rowOff>0</xdr:rowOff>
    </xdr:from>
    <xdr:to>
      <xdr:col>7</xdr:col>
      <xdr:colOff>323850</xdr:colOff>
      <xdr:row>0</xdr:row>
      <xdr:rowOff>1619804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04DE8E-4DFD-42E1-BAB4-E76DEF077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38875" y="0"/>
          <a:ext cx="4772025" cy="161980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</xdr:row>
      <xdr:rowOff>57150</xdr:rowOff>
    </xdr:from>
    <xdr:to>
      <xdr:col>6</xdr:col>
      <xdr:colOff>95250</xdr:colOff>
      <xdr:row>2</xdr:row>
      <xdr:rowOff>293475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A5187A-ECA3-421B-869C-37BF4D66EC71}"/>
            </a:ext>
          </a:extLst>
        </xdr:cNvPr>
        <xdr:cNvSpPr/>
      </xdr:nvSpPr>
      <xdr:spPr>
        <a:xfrm>
          <a:off x="7829550" y="57150"/>
          <a:ext cx="1333500" cy="6840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Takaisin yhteenvetosivulle</a:t>
          </a:r>
          <a:endParaRPr lang="fi-FI">
            <a:effectLst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800100</xdr:colOff>
      <xdr:row>0</xdr:row>
      <xdr:rowOff>1619804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1DAEBD-53C1-430E-8A54-3A2B85701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0"/>
          <a:ext cx="4772025" cy="161980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770820</xdr:colOff>
      <xdr:row>0</xdr:row>
      <xdr:rowOff>1611907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3B51199A-FC41-4D0A-AA4A-1990EAC7F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78000" cy="161190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3</xdr:col>
      <xdr:colOff>828675</xdr:colOff>
      <xdr:row>0</xdr:row>
      <xdr:rowOff>1619804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41D8C4-D994-4B67-B95B-A79C6599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0"/>
          <a:ext cx="4772025" cy="161980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</xdr:row>
      <xdr:rowOff>57150</xdr:rowOff>
    </xdr:from>
    <xdr:to>
      <xdr:col>7</xdr:col>
      <xdr:colOff>76200</xdr:colOff>
      <xdr:row>2</xdr:row>
      <xdr:rowOff>293475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D07A49-85B4-4B68-AFDD-44AEA720F8ED}"/>
            </a:ext>
          </a:extLst>
        </xdr:cNvPr>
        <xdr:cNvSpPr/>
      </xdr:nvSpPr>
      <xdr:spPr>
        <a:xfrm>
          <a:off x="9915525" y="57150"/>
          <a:ext cx="1285875" cy="6840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Takaisin yhteenvetosivulle</a:t>
          </a:r>
          <a:endParaRPr lang="fi-FI">
            <a:effectLst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828675</xdr:colOff>
      <xdr:row>0</xdr:row>
      <xdr:rowOff>1619804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946F09-2764-42CF-BD90-3FA2C5DD5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0"/>
          <a:ext cx="4772025" cy="161980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</xdr:row>
      <xdr:rowOff>57150</xdr:rowOff>
    </xdr:from>
    <xdr:to>
      <xdr:col>7</xdr:col>
      <xdr:colOff>133350</xdr:colOff>
      <xdr:row>2</xdr:row>
      <xdr:rowOff>293475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93BC68-12A8-4275-8802-5305D2AA298E}"/>
            </a:ext>
          </a:extLst>
        </xdr:cNvPr>
        <xdr:cNvSpPr/>
      </xdr:nvSpPr>
      <xdr:spPr>
        <a:xfrm>
          <a:off x="9772650" y="57150"/>
          <a:ext cx="1343025" cy="6840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Takaisin yhteenvetosivulle</a:t>
          </a:r>
          <a:endParaRPr lang="fi-FI">
            <a:effectLst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971550</xdr:colOff>
      <xdr:row>0</xdr:row>
      <xdr:rowOff>1619804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4A1D71A-F5E9-488E-8788-6244F1095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0"/>
          <a:ext cx="4772025" cy="161980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420300</xdr:colOff>
      <xdr:row>0</xdr:row>
      <xdr:rowOff>1608732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29B78F14-8750-4830-A460-6202EFFB7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78000" cy="161190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482600</xdr:colOff>
      <xdr:row>0</xdr:row>
      <xdr:rowOff>1619804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3C3EE1-221D-4E70-BB22-263F69355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0"/>
          <a:ext cx="4772025" cy="161980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1</xdr:row>
      <xdr:rowOff>47625</xdr:rowOff>
    </xdr:from>
    <xdr:to>
      <xdr:col>6</xdr:col>
      <xdr:colOff>104775</xdr:colOff>
      <xdr:row>2</xdr:row>
      <xdr:rowOff>283950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77576B-58C3-4F2E-997B-971F223BA134}"/>
            </a:ext>
          </a:extLst>
        </xdr:cNvPr>
        <xdr:cNvSpPr/>
      </xdr:nvSpPr>
      <xdr:spPr>
        <a:xfrm>
          <a:off x="8534400" y="47625"/>
          <a:ext cx="1304925" cy="6840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Takaisin yhteenvetosivulle</a:t>
          </a:r>
          <a:endParaRPr lang="fi-FI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1969065</xdr:colOff>
      <xdr:row>0</xdr:row>
      <xdr:rowOff>1611907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EA1CF2D4-08EF-44DD-A8E4-AAD804B34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4878000" cy="161190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3</xdr:col>
      <xdr:colOff>47625</xdr:colOff>
      <xdr:row>0</xdr:row>
      <xdr:rowOff>1619804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7EC742-7EA2-401C-9E2A-DDE14E485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0"/>
          <a:ext cx="4772025" cy="161980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1</xdr:row>
      <xdr:rowOff>47625</xdr:rowOff>
    </xdr:from>
    <xdr:to>
      <xdr:col>6</xdr:col>
      <xdr:colOff>161925</xdr:colOff>
      <xdr:row>2</xdr:row>
      <xdr:rowOff>283950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FFF91F-3D41-4503-987F-52626D301DA1}"/>
            </a:ext>
          </a:extLst>
        </xdr:cNvPr>
        <xdr:cNvSpPr/>
      </xdr:nvSpPr>
      <xdr:spPr>
        <a:xfrm>
          <a:off x="8620125" y="47625"/>
          <a:ext cx="1362075" cy="6840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Takaisin yhteenvetosivulle</a:t>
          </a:r>
          <a:endParaRPr lang="fi-FI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1997640</xdr:colOff>
      <xdr:row>0</xdr:row>
      <xdr:rowOff>1611907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6332860D-8E67-4964-8351-275F74602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4878000" cy="161190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2019300</xdr:colOff>
      <xdr:row>0</xdr:row>
      <xdr:rowOff>1619804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89DA08-0FE9-4B98-BA89-023A9A777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0"/>
          <a:ext cx="4772025" cy="161980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443160</xdr:colOff>
      <xdr:row>0</xdr:row>
      <xdr:rowOff>1611907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1EF07AE7-4280-4822-82C5-9128C2182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78000" cy="161190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5</xdr:col>
      <xdr:colOff>485775</xdr:colOff>
      <xdr:row>0</xdr:row>
      <xdr:rowOff>1619804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E0B5D5-467D-4AD3-9DBC-0C07CD3BC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0"/>
          <a:ext cx="4772025" cy="161980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</xdr:row>
      <xdr:rowOff>66675</xdr:rowOff>
    </xdr:from>
    <xdr:to>
      <xdr:col>5</xdr:col>
      <xdr:colOff>1581150</xdr:colOff>
      <xdr:row>2</xdr:row>
      <xdr:rowOff>303000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E93AB4-1C9A-4AE6-9C6A-72E5F7B55B31}"/>
            </a:ext>
          </a:extLst>
        </xdr:cNvPr>
        <xdr:cNvSpPr/>
      </xdr:nvSpPr>
      <xdr:spPr>
        <a:xfrm>
          <a:off x="9610725" y="66675"/>
          <a:ext cx="1304925" cy="6840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Takaisin yhteenvetosivulle</a:t>
          </a:r>
          <a:endParaRPr lang="fi-FI">
            <a:effectLst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1</xdr:rowOff>
    </xdr:from>
    <xdr:to>
      <xdr:col>2</xdr:col>
      <xdr:colOff>457200</xdr:colOff>
      <xdr:row>0</xdr:row>
      <xdr:rowOff>1619805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474CBD-7851-49B0-A0B4-B37B9C17D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"/>
          <a:ext cx="4772025" cy="1619804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</xdr:row>
      <xdr:rowOff>66675</xdr:rowOff>
    </xdr:from>
    <xdr:to>
      <xdr:col>5</xdr:col>
      <xdr:colOff>1590675</xdr:colOff>
      <xdr:row>2</xdr:row>
      <xdr:rowOff>303000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A20DD0-4703-49C2-952F-5C744EED342E}"/>
            </a:ext>
          </a:extLst>
        </xdr:cNvPr>
        <xdr:cNvSpPr/>
      </xdr:nvSpPr>
      <xdr:spPr>
        <a:xfrm>
          <a:off x="9610725" y="66675"/>
          <a:ext cx="1314450" cy="6840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Takaisin yhteenvetosivulle</a:t>
          </a:r>
          <a:endParaRPr lang="fi-FI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392995</xdr:colOff>
      <xdr:row>0</xdr:row>
      <xdr:rowOff>1608732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5D45A955-2F0F-48B2-876C-465A035F7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4878000" cy="161190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457200</xdr:colOff>
      <xdr:row>0</xdr:row>
      <xdr:rowOff>1619804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DC42C2-0BEE-4276-BD0A-B0236CF2D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0"/>
          <a:ext cx="4772025" cy="1619804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176460</xdr:colOff>
      <xdr:row>0</xdr:row>
      <xdr:rowOff>1611907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140AC3C-7F8A-4118-9EFC-6AFF7ACA5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78000" cy="161190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3</xdr:col>
      <xdr:colOff>247650</xdr:colOff>
      <xdr:row>0</xdr:row>
      <xdr:rowOff>1619804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7B78EC-FAB2-4254-9836-9E5BC8F94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0"/>
          <a:ext cx="4772025" cy="161980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1</xdr:row>
      <xdr:rowOff>57150</xdr:rowOff>
    </xdr:from>
    <xdr:to>
      <xdr:col>5</xdr:col>
      <xdr:colOff>95250</xdr:colOff>
      <xdr:row>2</xdr:row>
      <xdr:rowOff>293475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D8E5C6-DFD4-4574-8EF4-34E81DF11D46}"/>
            </a:ext>
          </a:extLst>
        </xdr:cNvPr>
        <xdr:cNvSpPr/>
      </xdr:nvSpPr>
      <xdr:spPr>
        <a:xfrm>
          <a:off x="7124700" y="57150"/>
          <a:ext cx="1295400" cy="6840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Takaisin yhteenvetosivulle</a:t>
          </a:r>
          <a:endParaRPr lang="fi-FI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1113720</xdr:colOff>
      <xdr:row>0</xdr:row>
      <xdr:rowOff>1611907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9F994E2-578A-47C0-8CA1-607BE5238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4878000" cy="161190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2</xdr:col>
      <xdr:colOff>1171575</xdr:colOff>
      <xdr:row>0</xdr:row>
      <xdr:rowOff>1619804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8D5AD0-B1A4-470D-83B3-B9F3D3814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0"/>
          <a:ext cx="4772025" cy="161980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1</xdr:row>
      <xdr:rowOff>57150</xdr:rowOff>
    </xdr:from>
    <xdr:to>
      <xdr:col>5</xdr:col>
      <xdr:colOff>152400</xdr:colOff>
      <xdr:row>2</xdr:row>
      <xdr:rowOff>293475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A95B36-F7B5-4AF8-9BA5-5DFD15C42C80}"/>
            </a:ext>
          </a:extLst>
        </xdr:cNvPr>
        <xdr:cNvSpPr/>
      </xdr:nvSpPr>
      <xdr:spPr>
        <a:xfrm>
          <a:off x="7086600" y="57150"/>
          <a:ext cx="1352550" cy="68400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Takaisin yhteenvetosivulle</a:t>
          </a:r>
          <a:endParaRPr lang="fi-FI">
            <a:effectLst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1162050</xdr:colOff>
      <xdr:row>0</xdr:row>
      <xdr:rowOff>1619804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9AC2E0-1BA4-4FA2-872A-E26194684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0"/>
          <a:ext cx="4772025" cy="16198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kiehle19/My%20Documents/Oulun%20yliopisto/EVISA/CF%20tool/Tested/CF%20tool_Oul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hart"/>
      <sheetName val="Energy_fx"/>
      <sheetName val="Energy_Calc"/>
      <sheetName val="Energy"/>
      <sheetName val="OGV_fx"/>
      <sheetName val="OGV_Ship calls_Calc"/>
      <sheetName val="OGV_Ship calls"/>
      <sheetName val="OGV_Emissions_Calc"/>
      <sheetName val="OGV_Emissions"/>
      <sheetName val="OGV"/>
      <sheetName val="DV_fx"/>
      <sheetName val="DV_Calc"/>
      <sheetName val="DV"/>
      <sheetName val="CHE_fx"/>
      <sheetName val="CHE_Calc"/>
      <sheetName val="CHE"/>
      <sheetName val="Road_fx"/>
      <sheetName val="Road_Calc"/>
      <sheetName val="Road"/>
      <sheetName val="Rail_fx"/>
      <sheetName val="Rail_Calc"/>
      <sheetName val="Rail"/>
      <sheetName val="Stationary sources_fx"/>
      <sheetName val="Stationary sources_Calc"/>
      <sheetName val="Stationary sources"/>
      <sheetName val="Passenger vehicles_fx"/>
      <sheetName val="Passenger vehicles_Calc"/>
      <sheetName val="Passenger vehicles"/>
      <sheetName val="Const Equ_fx"/>
      <sheetName val="Const Equ_Calc"/>
      <sheetName val="Const Equ"/>
    </sheetNames>
    <sheetDataSet>
      <sheetData sheetId="0">
        <row r="42">
          <cell r="H42" t="str">
            <v>Vessels</v>
          </cell>
          <cell r="I42" t="str">
            <v>Heavy machinery</v>
          </cell>
          <cell r="J42" t="str">
            <v>Traffic</v>
          </cell>
          <cell r="K42" t="str">
            <v>Port's own</v>
          </cell>
          <cell r="L42" t="str">
            <v>Harbour area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2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2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24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29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30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31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E4C72-EE61-475A-B59E-3E63A43DB623}">
  <sheetPr>
    <tabColor rgb="FFC00000"/>
  </sheetPr>
  <dimension ref="A1:O32"/>
  <sheetViews>
    <sheetView showGridLines="0" zoomScaleNormal="100" workbookViewId="0">
      <pane ySplit="3" topLeftCell="A4" activePane="bottomLeft" state="frozen"/>
      <selection pane="bottomLeft" activeCell="M31" sqref="M31"/>
    </sheetView>
  </sheetViews>
  <sheetFormatPr defaultRowHeight="15" x14ac:dyDescent="0.25"/>
  <cols>
    <col min="1" max="1" width="22.28515625" customWidth="1"/>
    <col min="2" max="2" width="30.85546875" customWidth="1"/>
    <col min="3" max="3" width="27.5703125" customWidth="1"/>
    <col min="4" max="4" width="24.28515625" customWidth="1"/>
    <col min="6" max="6" width="21.7109375" customWidth="1"/>
    <col min="7" max="7" width="58" customWidth="1"/>
    <col min="8" max="8" width="22.7109375" customWidth="1"/>
    <col min="9" max="9" width="21.7109375" customWidth="1"/>
    <col min="11" max="11" width="11" customWidth="1"/>
    <col min="13" max="13" width="28.140625" customWidth="1"/>
    <col min="14" max="14" width="15.85546875" customWidth="1"/>
    <col min="15" max="15" width="14.5703125" customWidth="1"/>
  </cols>
  <sheetData>
    <row r="1" spans="1:15" s="148" customFormat="1" ht="129" customHeight="1" x14ac:dyDescent="0.25"/>
    <row r="2" spans="1:15" s="214" customFormat="1" ht="35.25" customHeight="1" x14ac:dyDescent="0.4">
      <c r="A2" s="214" t="s">
        <v>0</v>
      </c>
    </row>
    <row r="3" spans="1:15" s="200" customFormat="1" ht="27" customHeight="1" x14ac:dyDescent="0.35">
      <c r="A3" s="225" t="s">
        <v>1</v>
      </c>
      <c r="B3" s="380" t="s">
        <v>2</v>
      </c>
      <c r="D3" s="225">
        <v>2019</v>
      </c>
    </row>
    <row r="4" spans="1:15" ht="15.75" thickBot="1" x14ac:dyDescent="0.3"/>
    <row r="5" spans="1:15" ht="21" x14ac:dyDescent="0.35">
      <c r="A5" s="369" t="s">
        <v>3</v>
      </c>
      <c r="B5" s="370"/>
      <c r="C5" s="371"/>
      <c r="F5" s="388" t="s">
        <v>4</v>
      </c>
    </row>
    <row r="6" spans="1:15" x14ac:dyDescent="0.25">
      <c r="A6" s="367" t="s">
        <v>5</v>
      </c>
      <c r="B6" s="5"/>
      <c r="C6" s="368"/>
      <c r="F6" s="397" t="s">
        <v>849</v>
      </c>
      <c r="G6" s="5"/>
      <c r="H6" s="5"/>
      <c r="I6" s="5"/>
      <c r="J6" s="5"/>
      <c r="K6" s="5"/>
    </row>
    <row r="7" spans="1:15" ht="15.75" thickBot="1" x14ac:dyDescent="0.3">
      <c r="A7" s="372"/>
      <c r="B7" s="148"/>
      <c r="C7" s="373"/>
    </row>
    <row r="8" spans="1:15" ht="32.25" customHeight="1" x14ac:dyDescent="0.3">
      <c r="A8" s="372"/>
      <c r="B8" s="148"/>
      <c r="C8" s="373"/>
      <c r="F8" s="226" t="s">
        <v>6</v>
      </c>
      <c r="G8" s="226" t="s">
        <v>7</v>
      </c>
      <c r="H8" s="226" t="s">
        <v>8</v>
      </c>
      <c r="I8" s="228" t="s">
        <v>9</v>
      </c>
      <c r="M8" s="220" t="s">
        <v>10</v>
      </c>
      <c r="N8" s="221"/>
    </row>
    <row r="9" spans="1:15" ht="19.5" thickBot="1" x14ac:dyDescent="0.35">
      <c r="A9" s="372"/>
      <c r="B9" s="148"/>
      <c r="C9" s="373"/>
      <c r="F9" s="227"/>
      <c r="G9" s="227"/>
      <c r="H9" s="227" t="s">
        <v>11</v>
      </c>
      <c r="I9" s="227" t="s">
        <v>12</v>
      </c>
      <c r="M9" s="223">
        <f>SUM(H10:H23)</f>
        <v>0</v>
      </c>
      <c r="N9" s="222" t="s">
        <v>11</v>
      </c>
    </row>
    <row r="10" spans="1:15" ht="15.75" x14ac:dyDescent="0.25">
      <c r="A10" s="372"/>
      <c r="B10" s="148"/>
      <c r="C10" s="373"/>
      <c r="F10" s="305" t="s">
        <v>13</v>
      </c>
      <c r="G10" s="305" t="s">
        <v>14</v>
      </c>
      <c r="H10" s="306">
        <f>Henkilöautot_Lask!J35</f>
        <v>0</v>
      </c>
      <c r="I10" s="307" t="e">
        <f t="shared" ref="I10:I23" si="0">H10/$M$9</f>
        <v>#DIV/0!</v>
      </c>
    </row>
    <row r="11" spans="1:15" ht="18.75" customHeight="1" x14ac:dyDescent="0.25">
      <c r="A11" s="372"/>
      <c r="B11" s="148"/>
      <c r="C11" s="373"/>
      <c r="F11" s="305" t="s">
        <v>13</v>
      </c>
      <c r="G11" s="308" t="s">
        <v>866</v>
      </c>
      <c r="H11" s="309">
        <f>LKL_Lask!N27</f>
        <v>0</v>
      </c>
      <c r="I11" s="307" t="e">
        <f t="shared" si="0"/>
        <v>#DIV/0!</v>
      </c>
      <c r="M11" s="215" t="s">
        <v>15</v>
      </c>
      <c r="N11" s="229"/>
      <c r="O11" s="229"/>
    </row>
    <row r="12" spans="1:15" ht="15.75" x14ac:dyDescent="0.25">
      <c r="A12" s="372"/>
      <c r="B12" s="148"/>
      <c r="C12" s="373"/>
      <c r="F12" s="305" t="s">
        <v>13</v>
      </c>
      <c r="G12" s="305" t="s">
        <v>16</v>
      </c>
      <c r="H12" s="309">
        <f>'Satama-alukset_Lask'!T65</f>
        <v>0</v>
      </c>
      <c r="I12" s="307" t="e">
        <f t="shared" si="0"/>
        <v>#DIV/0!</v>
      </c>
      <c r="M12" s="216" t="s">
        <v>882</v>
      </c>
      <c r="N12" s="216" t="s">
        <v>17</v>
      </c>
      <c r="O12" s="381"/>
    </row>
    <row r="13" spans="1:15" ht="15.75" x14ac:dyDescent="0.25">
      <c r="A13" s="372"/>
      <c r="B13" s="148"/>
      <c r="C13" s="373"/>
      <c r="F13" s="305" t="s">
        <v>13</v>
      </c>
      <c r="G13" s="305" t="s">
        <v>18</v>
      </c>
      <c r="H13" s="309">
        <f>KEL_Lask!L20</f>
        <v>0</v>
      </c>
      <c r="I13" s="307" t="e">
        <f t="shared" si="0"/>
        <v>#DIV/0!</v>
      </c>
      <c r="M13" s="216" t="s">
        <v>880</v>
      </c>
      <c r="N13" s="216"/>
      <c r="O13" s="382"/>
    </row>
    <row r="14" spans="1:15" ht="15.75" x14ac:dyDescent="0.25">
      <c r="A14" s="372"/>
      <c r="B14" s="148"/>
      <c r="C14" s="373"/>
      <c r="F14" s="310" t="s">
        <v>19</v>
      </c>
      <c r="G14" s="310" t="s">
        <v>20</v>
      </c>
      <c r="H14" s="311">
        <f>Energia_Lask!I49</f>
        <v>0</v>
      </c>
      <c r="I14" s="312" t="e">
        <f t="shared" si="0"/>
        <v>#DIV/0!</v>
      </c>
      <c r="M14" s="216" t="s">
        <v>881</v>
      </c>
      <c r="N14" s="216" t="s">
        <v>21</v>
      </c>
      <c r="O14" s="383"/>
    </row>
    <row r="15" spans="1:15" ht="15.75" x14ac:dyDescent="0.25">
      <c r="A15" s="372"/>
      <c r="B15" s="148"/>
      <c r="C15" s="373"/>
      <c r="F15" s="313" t="s">
        <v>22</v>
      </c>
      <c r="G15" s="313" t="s">
        <v>23</v>
      </c>
      <c r="H15" s="314">
        <f>Alukset_Käynnit_Lask!AM7+Alukset_Päästöt_Lask!K14</f>
        <v>0</v>
      </c>
      <c r="I15" s="315" t="e">
        <f t="shared" si="0"/>
        <v>#DIV/0!</v>
      </c>
      <c r="M15" s="216" t="s">
        <v>24</v>
      </c>
      <c r="N15" s="216" t="s">
        <v>25</v>
      </c>
      <c r="O15" s="384"/>
    </row>
    <row r="16" spans="1:15" ht="15.75" x14ac:dyDescent="0.25">
      <c r="A16" s="372"/>
      <c r="B16" s="148"/>
      <c r="C16" s="373"/>
      <c r="F16" s="313" t="s">
        <v>22</v>
      </c>
      <c r="G16" s="313" t="s">
        <v>26</v>
      </c>
      <c r="H16" s="314">
        <f>'Satama-alukset_Lask'!T67</f>
        <v>0</v>
      </c>
      <c r="I16" s="315" t="e">
        <f t="shared" si="0"/>
        <v>#DIV/0!</v>
      </c>
    </row>
    <row r="17" spans="1:15" ht="15.75" x14ac:dyDescent="0.25">
      <c r="A17" s="372"/>
      <c r="B17" s="148"/>
      <c r="C17" s="373"/>
      <c r="F17" s="313" t="s">
        <v>22</v>
      </c>
      <c r="G17" s="313" t="s">
        <v>867</v>
      </c>
      <c r="H17" s="314">
        <f>LKL_Lask!N46</f>
        <v>0</v>
      </c>
      <c r="I17" s="315" t="e">
        <f t="shared" si="0"/>
        <v>#DIV/0!</v>
      </c>
    </row>
    <row r="18" spans="1:15" ht="15.75" x14ac:dyDescent="0.25">
      <c r="A18" s="372"/>
      <c r="B18" s="148"/>
      <c r="C18" s="373"/>
      <c r="F18" s="313" t="s">
        <v>22</v>
      </c>
      <c r="G18" s="313" t="s">
        <v>868</v>
      </c>
      <c r="H18" s="314">
        <f>Rautatie_Lask!K24</f>
        <v>0</v>
      </c>
      <c r="I18" s="315" t="e">
        <f t="shared" si="0"/>
        <v>#DIV/0!</v>
      </c>
      <c r="M18" s="215" t="s">
        <v>27</v>
      </c>
      <c r="N18" s="229"/>
      <c r="O18" s="229"/>
    </row>
    <row r="19" spans="1:15" ht="28.5" customHeight="1" x14ac:dyDescent="0.25">
      <c r="A19" s="372"/>
      <c r="B19" s="148"/>
      <c r="C19" s="373"/>
      <c r="F19" s="313" t="s">
        <v>22</v>
      </c>
      <c r="G19" s="313" t="s">
        <v>869</v>
      </c>
      <c r="H19" s="314">
        <f>RL_Lask!I31</f>
        <v>0</v>
      </c>
      <c r="I19" s="315" t="e">
        <f t="shared" si="0"/>
        <v>#DIV/0!</v>
      </c>
      <c r="M19" s="216" t="s">
        <v>882</v>
      </c>
      <c r="N19" s="230" t="s">
        <v>28</v>
      </c>
      <c r="O19" s="323" t="e">
        <f>$M$9/O12</f>
        <v>#DIV/0!</v>
      </c>
    </row>
    <row r="20" spans="1:15" ht="25.5" customHeight="1" x14ac:dyDescent="0.25">
      <c r="A20" s="372"/>
      <c r="B20" s="148"/>
      <c r="C20" s="373"/>
      <c r="F20" s="313" t="s">
        <v>22</v>
      </c>
      <c r="G20" s="313" t="s">
        <v>29</v>
      </c>
      <c r="H20" s="314">
        <f>Tie_Lask!L42</f>
        <v>0</v>
      </c>
      <c r="I20" s="315" t="e">
        <f t="shared" si="0"/>
        <v>#DIV/0!</v>
      </c>
      <c r="M20" s="216" t="s">
        <v>880</v>
      </c>
      <c r="N20" s="230" t="s">
        <v>30</v>
      </c>
      <c r="O20" s="323" t="e">
        <f>$M$9/O13</f>
        <v>#DIV/0!</v>
      </c>
    </row>
    <row r="21" spans="1:15" ht="20.25" customHeight="1" x14ac:dyDescent="0.25">
      <c r="A21" s="372"/>
      <c r="B21" s="148"/>
      <c r="C21" s="373"/>
      <c r="F21" s="313" t="s">
        <v>22</v>
      </c>
      <c r="G21" s="316" t="s">
        <v>870</v>
      </c>
      <c r="H21" s="314">
        <f>Energia_Lask!I93</f>
        <v>0</v>
      </c>
      <c r="I21" s="315" t="e">
        <f t="shared" si="0"/>
        <v>#DIV/0!</v>
      </c>
      <c r="M21" s="216" t="s">
        <v>881</v>
      </c>
      <c r="N21" s="230" t="s">
        <v>31</v>
      </c>
      <c r="O21" s="323" t="e">
        <f>$M$9/O14</f>
        <v>#DIV/0!</v>
      </c>
    </row>
    <row r="22" spans="1:15" ht="30.75" customHeight="1" x14ac:dyDescent="0.25">
      <c r="A22" s="372"/>
      <c r="B22" s="148"/>
      <c r="C22" s="373"/>
      <c r="F22" s="313" t="s">
        <v>22</v>
      </c>
      <c r="G22" s="313" t="s">
        <v>32</v>
      </c>
      <c r="H22" s="314">
        <f>KEL_Lask!L35</f>
        <v>0</v>
      </c>
      <c r="I22" s="315" t="e">
        <f t="shared" si="0"/>
        <v>#DIV/0!</v>
      </c>
      <c r="M22" s="216" t="s">
        <v>24</v>
      </c>
      <c r="N22" s="230" t="s">
        <v>33</v>
      </c>
      <c r="O22" s="323" t="e">
        <f>$M$9/O15</f>
        <v>#DIV/0!</v>
      </c>
    </row>
    <row r="23" spans="1:15" ht="15.75" x14ac:dyDescent="0.25">
      <c r="A23" s="372"/>
      <c r="B23" s="148"/>
      <c r="C23" s="373"/>
      <c r="F23" s="313" t="s">
        <v>22</v>
      </c>
      <c r="G23" s="313" t="s">
        <v>34</v>
      </c>
      <c r="H23" s="314">
        <f>Henkilöautot_Lask!M35</f>
        <v>0</v>
      </c>
      <c r="I23" s="315" t="e">
        <f t="shared" si="0"/>
        <v>#DIV/0!</v>
      </c>
    </row>
    <row r="24" spans="1:15" ht="15.75" x14ac:dyDescent="0.25">
      <c r="A24" s="372"/>
      <c r="B24" s="148"/>
      <c r="C24" s="373"/>
      <c r="F24" s="324"/>
      <c r="G24" s="324"/>
      <c r="H24" s="324"/>
      <c r="I24" s="324"/>
    </row>
    <row r="25" spans="1:15" ht="18.75" x14ac:dyDescent="0.3">
      <c r="A25" s="148"/>
      <c r="B25" s="148"/>
      <c r="C25" s="373"/>
      <c r="F25" s="366" t="s">
        <v>35</v>
      </c>
      <c r="G25" s="324"/>
      <c r="H25" s="324"/>
      <c r="I25" s="324"/>
    </row>
    <row r="26" spans="1:15" ht="15.75" x14ac:dyDescent="0.25">
      <c r="A26" s="148"/>
      <c r="B26" s="148"/>
      <c r="C26" s="373"/>
      <c r="F26" s="305" t="s">
        <v>13</v>
      </c>
      <c r="G26" s="305"/>
      <c r="H26" s="385">
        <f>H10+H11+H12+H13</f>
        <v>0</v>
      </c>
      <c r="I26" s="317" t="e">
        <f>I10+I11+I12+I13</f>
        <v>#DIV/0!</v>
      </c>
    </row>
    <row r="27" spans="1:15" ht="15.75" x14ac:dyDescent="0.25">
      <c r="A27" s="148"/>
      <c r="B27" s="148"/>
      <c r="C27" s="373"/>
      <c r="F27" s="310" t="s">
        <v>19</v>
      </c>
      <c r="G27" s="310"/>
      <c r="H27" s="386">
        <f>H14</f>
        <v>0</v>
      </c>
      <c r="I27" s="318" t="e">
        <f>I14</f>
        <v>#DIV/0!</v>
      </c>
    </row>
    <row r="28" spans="1:15" ht="15.75" x14ac:dyDescent="0.25">
      <c r="A28" s="148"/>
      <c r="B28" s="148"/>
      <c r="C28" s="373"/>
      <c r="F28" s="313" t="s">
        <v>22</v>
      </c>
      <c r="G28" s="313"/>
      <c r="H28" s="387">
        <f>SUM(H15:H23)</f>
        <v>0</v>
      </c>
      <c r="I28" s="319" t="e">
        <f>SUM(I15:I23)</f>
        <v>#DIV/0!</v>
      </c>
    </row>
    <row r="29" spans="1:15" ht="16.5" thickBot="1" x14ac:dyDescent="0.3">
      <c r="A29" s="148"/>
      <c r="B29" s="148"/>
      <c r="C29" s="373"/>
      <c r="F29" s="320"/>
      <c r="G29" s="320"/>
      <c r="H29" s="321">
        <f>SUM(H26:H28)</f>
        <v>0</v>
      </c>
      <c r="I29" s="322" t="e">
        <f>SUM(I26:I28)</f>
        <v>#DIV/0!</v>
      </c>
      <c r="L29" s="224"/>
      <c r="M29" s="224"/>
    </row>
    <row r="30" spans="1:15" ht="15.75" thickTop="1" x14ac:dyDescent="0.25">
      <c r="A30" s="148"/>
      <c r="B30" s="148"/>
      <c r="C30" s="373"/>
      <c r="F30" s="148"/>
      <c r="G30" s="148"/>
      <c r="H30" s="148"/>
      <c r="I30" s="148"/>
    </row>
    <row r="31" spans="1:15" x14ac:dyDescent="0.25">
      <c r="A31" s="148"/>
      <c r="B31" s="148"/>
      <c r="C31" s="373"/>
      <c r="F31" s="148"/>
      <c r="G31" s="148"/>
      <c r="H31" s="148"/>
      <c r="I31" s="148"/>
    </row>
    <row r="32" spans="1:15" ht="15.75" thickBot="1" x14ac:dyDescent="0.3">
      <c r="A32" s="374"/>
      <c r="B32" s="375"/>
      <c r="C32" s="376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5951C-D77C-444E-8BEB-D539C9812930}">
  <sheetPr>
    <tabColor rgb="FFC00000"/>
  </sheetPr>
  <dimension ref="B50:H59"/>
  <sheetViews>
    <sheetView showGridLines="0" showRowColHeaders="0" workbookViewId="0">
      <selection activeCell="I26" sqref="I26"/>
    </sheetView>
  </sheetViews>
  <sheetFormatPr defaultRowHeight="15" x14ac:dyDescent="0.25"/>
  <cols>
    <col min="2" max="2" width="23.140625" customWidth="1"/>
    <col min="3" max="3" width="24.42578125" customWidth="1"/>
    <col min="4" max="4" width="29" customWidth="1"/>
    <col min="5" max="5" width="30.140625" customWidth="1"/>
    <col min="6" max="6" width="32.5703125" customWidth="1"/>
  </cols>
  <sheetData>
    <row r="50" spans="2:8" ht="15.75" x14ac:dyDescent="0.25">
      <c r="B50" s="80" t="s">
        <v>36</v>
      </c>
    </row>
    <row r="52" spans="2:8" x14ac:dyDescent="0.25">
      <c r="B52" s="377" t="s">
        <v>37</v>
      </c>
      <c r="C52" s="377" t="s">
        <v>38</v>
      </c>
      <c r="D52" s="377" t="s">
        <v>39</v>
      </c>
      <c r="E52" s="377" t="s">
        <v>40</v>
      </c>
      <c r="F52" s="377" t="s">
        <v>41</v>
      </c>
    </row>
    <row r="53" spans="2:8" x14ac:dyDescent="0.25">
      <c r="B53" t="s">
        <v>23</v>
      </c>
      <c r="C53" t="s">
        <v>867</v>
      </c>
      <c r="D53" t="s">
        <v>868</v>
      </c>
      <c r="E53" t="s">
        <v>14</v>
      </c>
      <c r="F53" t="s">
        <v>869</v>
      </c>
    </row>
    <row r="54" spans="2:8" x14ac:dyDescent="0.25">
      <c r="D54" t="s">
        <v>42</v>
      </c>
      <c r="E54" t="s">
        <v>866</v>
      </c>
      <c r="F54" t="s">
        <v>43</v>
      </c>
    </row>
    <row r="55" spans="2:8" x14ac:dyDescent="0.25">
      <c r="D55" t="s">
        <v>44</v>
      </c>
      <c r="E55" t="s">
        <v>16</v>
      </c>
      <c r="F55" t="s">
        <v>870</v>
      </c>
    </row>
    <row r="56" spans="2:8" x14ac:dyDescent="0.25">
      <c r="D56" t="s">
        <v>26</v>
      </c>
      <c r="E56" t="s">
        <v>45</v>
      </c>
    </row>
    <row r="57" spans="2:8" x14ac:dyDescent="0.25">
      <c r="E57" t="s">
        <v>20</v>
      </c>
    </row>
    <row r="59" spans="2:8" x14ac:dyDescent="0.25">
      <c r="B59" s="378">
        <f>YHTEENVETO!H15</f>
        <v>0</v>
      </c>
      <c r="C59" s="378">
        <f>YHTEENVETO!H17</f>
        <v>0</v>
      </c>
      <c r="D59" s="378">
        <f>YHTEENVETO!H16+YHTEENVETO!H18+YHTEENVETO!H20+YHTEENVETO!H23</f>
        <v>0</v>
      </c>
      <c r="E59" s="378">
        <f>SUM(YHTEENVETO!H10:H14)</f>
        <v>0</v>
      </c>
      <c r="F59" s="378">
        <f>YHTEENVETO!H19+YHTEENVETO!H21+YHTEENVETO!H22</f>
        <v>0</v>
      </c>
      <c r="G59" s="379"/>
      <c r="H59" s="378">
        <f>SUM(B59:F59)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DA432-63E7-46C8-95FA-69C43B4DF7E6}">
  <sheetPr codeName="Sheet7">
    <tabColor theme="5" tint="0.39997558519241921"/>
  </sheetPr>
  <dimension ref="A1:T59"/>
  <sheetViews>
    <sheetView zoomScaleNormal="100" workbookViewId="0">
      <pane ySplit="2" topLeftCell="A22" activePane="bottomLeft" state="frozen"/>
      <selection activeCell="F29" sqref="F28:F29"/>
      <selection pane="bottomLeft" activeCell="F29" sqref="F28:F29"/>
    </sheetView>
  </sheetViews>
  <sheetFormatPr defaultRowHeight="15" x14ac:dyDescent="0.25"/>
  <cols>
    <col min="1" max="1" width="21.5703125" style="15" customWidth="1"/>
    <col min="2" max="2" width="20.28515625" style="15" customWidth="1"/>
    <col min="3" max="3" width="26.42578125" style="15" customWidth="1"/>
    <col min="4" max="4" width="21.28515625" style="15" customWidth="1"/>
    <col min="5" max="5" width="25.5703125" customWidth="1"/>
    <col min="6" max="6" width="18.42578125" customWidth="1"/>
    <col min="7" max="7" width="25.140625" customWidth="1"/>
    <col min="8" max="8" width="19.140625" customWidth="1"/>
    <col min="9" max="9" width="17.28515625" customWidth="1"/>
    <col min="10" max="11" width="25.28515625" style="15" customWidth="1"/>
    <col min="12" max="12" width="29.42578125" style="15" customWidth="1"/>
    <col min="13" max="13" width="25.28515625" style="15" customWidth="1"/>
  </cols>
  <sheetData>
    <row r="1" spans="1:20" s="148" customFormat="1" ht="129" customHeight="1" x14ac:dyDescent="0.25">
      <c r="A1" s="154"/>
      <c r="B1" s="154"/>
      <c r="C1" s="154"/>
      <c r="D1" s="154"/>
      <c r="J1" s="154"/>
      <c r="K1" s="154"/>
      <c r="L1" s="154"/>
      <c r="M1" s="154"/>
    </row>
    <row r="2" spans="1:20" s="126" customFormat="1" ht="35.25" customHeight="1" x14ac:dyDescent="0.4">
      <c r="A2" s="128" t="s">
        <v>46</v>
      </c>
      <c r="B2" s="128"/>
      <c r="C2" s="127" t="s">
        <v>47</v>
      </c>
      <c r="D2" s="128"/>
      <c r="J2" s="128"/>
      <c r="K2" s="128"/>
      <c r="L2" s="128"/>
      <c r="M2" s="128"/>
      <c r="O2" s="128"/>
      <c r="P2" s="128"/>
      <c r="Q2" s="128"/>
      <c r="R2" s="128"/>
      <c r="S2" s="128"/>
      <c r="T2" s="128"/>
    </row>
    <row r="4" spans="1:20" ht="21" x14ac:dyDescent="0.35">
      <c r="A4" s="6" t="s">
        <v>48</v>
      </c>
      <c r="B4"/>
      <c r="C4"/>
      <c r="D4"/>
      <c r="K4"/>
    </row>
    <row r="5" spans="1:20" x14ac:dyDescent="0.25">
      <c r="A5" s="5" t="s">
        <v>49</v>
      </c>
      <c r="B5" s="5"/>
      <c r="C5" s="5"/>
      <c r="D5" s="5"/>
      <c r="E5" s="5"/>
      <c r="K5"/>
    </row>
    <row r="6" spans="1:20" x14ac:dyDescent="0.25">
      <c r="A6" s="5" t="s">
        <v>917</v>
      </c>
      <c r="B6" s="5"/>
      <c r="C6" s="5"/>
      <c r="D6" s="5"/>
      <c r="E6" s="5"/>
    </row>
    <row r="7" spans="1:20" x14ac:dyDescent="0.25">
      <c r="J7"/>
    </row>
    <row r="8" spans="1:20" ht="15.75" x14ac:dyDescent="0.25">
      <c r="A8" s="47" t="s">
        <v>50</v>
      </c>
      <c r="J8"/>
    </row>
    <row r="9" spans="1:20" ht="15.75" thickBot="1" x14ac:dyDescent="0.3">
      <c r="J9"/>
    </row>
    <row r="10" spans="1:20" x14ac:dyDescent="0.25">
      <c r="A10"/>
      <c r="B10" s="67" t="s">
        <v>51</v>
      </c>
      <c r="C10" s="105"/>
      <c r="D10"/>
      <c r="E10" s="42" t="s">
        <v>52</v>
      </c>
      <c r="J10"/>
      <c r="K10"/>
      <c r="L10"/>
      <c r="M10"/>
    </row>
    <row r="11" spans="1:20" x14ac:dyDescent="0.25">
      <c r="B11" s="55" t="s">
        <v>53</v>
      </c>
      <c r="C11" s="56" t="s">
        <v>54</v>
      </c>
      <c r="E11" t="s">
        <v>55</v>
      </c>
      <c r="J11"/>
    </row>
    <row r="12" spans="1:20" x14ac:dyDescent="0.25">
      <c r="B12" s="132">
        <v>2018</v>
      </c>
      <c r="C12" s="133">
        <v>119</v>
      </c>
      <c r="E12" t="s">
        <v>56</v>
      </c>
      <c r="J12"/>
    </row>
    <row r="13" spans="1:20" x14ac:dyDescent="0.25">
      <c r="B13" s="156">
        <v>2019</v>
      </c>
      <c r="C13" s="163">
        <v>101</v>
      </c>
      <c r="E13" t="s">
        <v>57</v>
      </c>
      <c r="G13" s="15"/>
    </row>
    <row r="14" spans="1:20" x14ac:dyDescent="0.25">
      <c r="B14" s="132">
        <v>2020</v>
      </c>
      <c r="C14" s="133">
        <v>72</v>
      </c>
      <c r="E14" t="s">
        <v>860</v>
      </c>
    </row>
    <row r="15" spans="1:20" ht="15.75" thickBot="1" x14ac:dyDescent="0.3">
      <c r="B15" s="158">
        <v>2021</v>
      </c>
      <c r="C15" s="398">
        <v>91</v>
      </c>
    </row>
    <row r="16" spans="1:20" x14ac:dyDescent="0.25">
      <c r="B16" s="237" t="s">
        <v>58</v>
      </c>
      <c r="C16" s="237">
        <v>91</v>
      </c>
    </row>
    <row r="19" spans="1:12" ht="21" x14ac:dyDescent="0.35">
      <c r="A19" s="130" t="s">
        <v>59</v>
      </c>
      <c r="B19"/>
      <c r="C19"/>
      <c r="D19"/>
      <c r="I19" s="130" t="s">
        <v>860</v>
      </c>
    </row>
    <row r="20" spans="1:12" x14ac:dyDescent="0.25">
      <c r="A20" s="5" t="s">
        <v>60</v>
      </c>
      <c r="B20" s="5"/>
      <c r="C20" s="5"/>
      <c r="D20" s="5"/>
      <c r="I20" s="5" t="s">
        <v>861</v>
      </c>
      <c r="J20" s="129"/>
      <c r="K20" s="129"/>
      <c r="L20" s="129"/>
    </row>
    <row r="21" spans="1:12" ht="15.75" thickBot="1" x14ac:dyDescent="0.3">
      <c r="A21"/>
      <c r="B21"/>
      <c r="C21"/>
      <c r="D21"/>
    </row>
    <row r="22" spans="1:12" ht="60" x14ac:dyDescent="0.25">
      <c r="A22" s="47" t="s">
        <v>61</v>
      </c>
      <c r="I22" s="399" t="s">
        <v>73</v>
      </c>
      <c r="J22" s="400"/>
      <c r="L22" s="15" t="s">
        <v>876</v>
      </c>
    </row>
    <row r="23" spans="1:12" ht="15.75" thickBot="1" x14ac:dyDescent="0.3">
      <c r="A23" s="125" t="s">
        <v>62</v>
      </c>
      <c r="I23" s="401" t="s">
        <v>58</v>
      </c>
      <c r="J23" s="402">
        <v>0</v>
      </c>
    </row>
    <row r="24" spans="1:12" ht="15.75" thickBot="1" x14ac:dyDescent="0.3"/>
    <row r="25" spans="1:12" x14ac:dyDescent="0.25">
      <c r="B25" s="67" t="s">
        <v>51</v>
      </c>
      <c r="C25" s="105"/>
      <c r="E25" s="67" t="s">
        <v>63</v>
      </c>
      <c r="F25" s="23"/>
      <c r="G25" s="24"/>
    </row>
    <row r="26" spans="1:12" x14ac:dyDescent="0.25">
      <c r="B26" s="55" t="s">
        <v>53</v>
      </c>
      <c r="C26" s="56" t="s">
        <v>54</v>
      </c>
      <c r="E26" s="55" t="s">
        <v>64</v>
      </c>
      <c r="F26" s="50" t="s">
        <v>53</v>
      </c>
      <c r="G26" s="56" t="s">
        <v>54</v>
      </c>
    </row>
    <row r="27" spans="1:12" ht="15.75" thickBot="1" x14ac:dyDescent="0.3">
      <c r="B27" s="132">
        <v>2017</v>
      </c>
      <c r="C27" s="133">
        <v>195</v>
      </c>
      <c r="E27" s="68" t="s">
        <v>65</v>
      </c>
      <c r="F27" s="69">
        <v>2019</v>
      </c>
      <c r="G27" s="70">
        <v>219</v>
      </c>
    </row>
    <row r="28" spans="1:12" x14ac:dyDescent="0.25">
      <c r="B28" s="156">
        <v>2018</v>
      </c>
      <c r="C28" s="163">
        <v>194</v>
      </c>
    </row>
    <row r="29" spans="1:12" x14ac:dyDescent="0.25">
      <c r="B29" s="132">
        <v>2019</v>
      </c>
      <c r="C29" s="133">
        <v>181</v>
      </c>
    </row>
    <row r="30" spans="1:12" ht="15.75" thickBot="1" x14ac:dyDescent="0.3">
      <c r="B30" s="158">
        <v>2020</v>
      </c>
      <c r="C30" s="398">
        <v>155</v>
      </c>
    </row>
    <row r="31" spans="1:12" x14ac:dyDescent="0.25">
      <c r="B31" s="237" t="s">
        <v>58</v>
      </c>
      <c r="C31" s="237">
        <v>155</v>
      </c>
    </row>
    <row r="34" spans="1:5" ht="21" x14ac:dyDescent="0.35">
      <c r="A34" s="131" t="s">
        <v>66</v>
      </c>
    </row>
    <row r="35" spans="1:5" x14ac:dyDescent="0.25">
      <c r="A35" s="5" t="s">
        <v>67</v>
      </c>
      <c r="B35" s="129"/>
      <c r="C35" s="5"/>
    </row>
    <row r="36" spans="1:5" x14ac:dyDescent="0.25">
      <c r="A36" s="5" t="s">
        <v>68</v>
      </c>
      <c r="B36" s="129"/>
      <c r="C36" s="5"/>
    </row>
    <row r="37" spans="1:5" x14ac:dyDescent="0.25">
      <c r="A37" s="5" t="s">
        <v>69</v>
      </c>
      <c r="B37" s="129"/>
      <c r="C37" s="5"/>
    </row>
    <row r="39" spans="1:5" ht="15.75" x14ac:dyDescent="0.25">
      <c r="A39" s="47" t="s">
        <v>70</v>
      </c>
    </row>
    <row r="42" spans="1:5" ht="15.75" thickBot="1" x14ac:dyDescent="0.3">
      <c r="A42" s="138" t="s">
        <v>71</v>
      </c>
    </row>
    <row r="43" spans="1:5" x14ac:dyDescent="0.25">
      <c r="A43" s="15" t="s">
        <v>72</v>
      </c>
      <c r="B43" s="139"/>
      <c r="C43" s="140" t="s">
        <v>73</v>
      </c>
      <c r="E43" s="42" t="s">
        <v>74</v>
      </c>
    </row>
    <row r="44" spans="1:5" x14ac:dyDescent="0.25">
      <c r="B44" s="55"/>
      <c r="C44" s="141" t="s">
        <v>75</v>
      </c>
      <c r="E44" t="s">
        <v>76</v>
      </c>
    </row>
    <row r="45" spans="1:5" x14ac:dyDescent="0.25">
      <c r="A45"/>
      <c r="B45" s="147" t="s">
        <v>77</v>
      </c>
      <c r="C45" s="149">
        <v>7.2999999999999995E-2</v>
      </c>
      <c r="E45" t="s">
        <v>78</v>
      </c>
    </row>
    <row r="46" spans="1:5" x14ac:dyDescent="0.25">
      <c r="B46" s="27" t="s">
        <v>79</v>
      </c>
      <c r="C46" s="26">
        <v>0.59299999999999997</v>
      </c>
    </row>
    <row r="47" spans="1:5" ht="15.75" thickBot="1" x14ac:dyDescent="0.3">
      <c r="B47" s="150" t="s">
        <v>80</v>
      </c>
      <c r="C47" s="152">
        <v>0.68989999999999996</v>
      </c>
    </row>
    <row r="48" spans="1:5" x14ac:dyDescent="0.25">
      <c r="B48" s="237" t="s">
        <v>58</v>
      </c>
      <c r="C48" s="237"/>
    </row>
    <row r="50" spans="1:5" ht="15.75" x14ac:dyDescent="0.25">
      <c r="A50" s="138" t="s">
        <v>81</v>
      </c>
      <c r="D50" s="47"/>
      <c r="E50" s="137"/>
    </row>
    <row r="51" spans="1:5" ht="15.75" x14ac:dyDescent="0.25">
      <c r="A51" s="125" t="s">
        <v>82</v>
      </c>
      <c r="D51" s="47"/>
      <c r="E51" s="137"/>
    </row>
    <row r="52" spans="1:5" ht="15.75" thickBot="1" x14ac:dyDescent="0.3">
      <c r="D52"/>
    </row>
    <row r="53" spans="1:5" x14ac:dyDescent="0.25">
      <c r="A53" s="15" t="s">
        <v>83</v>
      </c>
      <c r="B53" s="67" t="s">
        <v>51</v>
      </c>
      <c r="C53" s="105"/>
    </row>
    <row r="54" spans="1:5" x14ac:dyDescent="0.25">
      <c r="B54" s="55" t="s">
        <v>53</v>
      </c>
      <c r="C54" s="56" t="s">
        <v>54</v>
      </c>
    </row>
    <row r="55" spans="1:5" x14ac:dyDescent="0.25">
      <c r="B55" s="132">
        <v>2017</v>
      </c>
      <c r="C55" s="133">
        <v>72</v>
      </c>
    </row>
    <row r="56" spans="1:5" x14ac:dyDescent="0.25">
      <c r="B56" s="156">
        <v>2018</v>
      </c>
      <c r="C56" s="163">
        <v>70</v>
      </c>
    </row>
    <row r="57" spans="1:5" x14ac:dyDescent="0.25">
      <c r="B57" s="132">
        <v>2019</v>
      </c>
      <c r="C57" s="133">
        <v>66</v>
      </c>
    </row>
    <row r="58" spans="1:5" ht="15.75" thickBot="1" x14ac:dyDescent="0.3">
      <c r="B58" s="158">
        <v>2020</v>
      </c>
      <c r="C58" s="398">
        <v>63</v>
      </c>
    </row>
    <row r="59" spans="1:5" x14ac:dyDescent="0.25">
      <c r="B59" s="237" t="s">
        <v>58</v>
      </c>
      <c r="C59" s="237">
        <v>63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9B491-CE1D-4898-BB9C-AEAB2E95B2BB}">
  <sheetPr>
    <tabColor theme="5" tint="0.39997558519241921"/>
  </sheetPr>
  <dimension ref="A1:U94"/>
  <sheetViews>
    <sheetView zoomScaleNormal="100" workbookViewId="0">
      <pane ySplit="3" topLeftCell="A67" activePane="bottomLeft" state="frozen"/>
      <selection activeCell="F29" sqref="F28:F29"/>
      <selection pane="bottomLeft" activeCell="F29" sqref="F28:F29"/>
    </sheetView>
  </sheetViews>
  <sheetFormatPr defaultRowHeight="15" x14ac:dyDescent="0.25"/>
  <cols>
    <col min="1" max="5" width="26.42578125" customWidth="1"/>
    <col min="6" max="6" width="20.5703125" customWidth="1"/>
    <col min="9" max="9" width="23.85546875" customWidth="1"/>
    <col min="10" max="10" width="15" customWidth="1"/>
    <col min="11" max="11" width="18" customWidth="1"/>
  </cols>
  <sheetData>
    <row r="1" spans="1:21" s="148" customFormat="1" ht="129" customHeight="1" x14ac:dyDescent="0.25"/>
    <row r="2" spans="1:21" s="126" customFormat="1" ht="35.25" customHeight="1" x14ac:dyDescent="0.4">
      <c r="A2" s="126" t="s">
        <v>46</v>
      </c>
      <c r="B2" s="127" t="s">
        <v>47</v>
      </c>
      <c r="K2" s="128"/>
      <c r="L2" s="128"/>
      <c r="M2" s="128"/>
      <c r="N2" s="128"/>
      <c r="P2" s="128"/>
      <c r="Q2" s="128"/>
      <c r="R2" s="128"/>
      <c r="S2" s="128"/>
      <c r="T2" s="128"/>
      <c r="U2" s="128"/>
    </row>
    <row r="3" spans="1:21" s="200" customFormat="1" ht="27" customHeight="1" x14ac:dyDescent="0.3">
      <c r="A3" s="200" t="s">
        <v>84</v>
      </c>
      <c r="B3" s="200">
        <f>YHTEENVETO!D3</f>
        <v>2019</v>
      </c>
    </row>
    <row r="5" spans="1:21" x14ac:dyDescent="0.25">
      <c r="A5" s="5" t="s">
        <v>85</v>
      </c>
      <c r="B5" s="5"/>
      <c r="C5" s="5"/>
      <c r="D5" s="5"/>
      <c r="E5" s="5"/>
      <c r="F5" s="5"/>
      <c r="G5" s="5"/>
      <c r="H5" s="5"/>
    </row>
    <row r="6" spans="1:21" x14ac:dyDescent="0.25">
      <c r="A6" s="5" t="s">
        <v>86</v>
      </c>
      <c r="B6" s="5"/>
      <c r="C6" s="5"/>
      <c r="D6" s="5"/>
      <c r="E6" s="5"/>
      <c r="F6" s="5"/>
      <c r="G6" s="5"/>
      <c r="H6" s="5"/>
    </row>
    <row r="9" spans="1:21" ht="15.75" x14ac:dyDescent="0.25">
      <c r="A9" s="238" t="s">
        <v>87</v>
      </c>
      <c r="B9" s="216"/>
      <c r="C9" s="216"/>
      <c r="D9" s="216"/>
    </row>
    <row r="10" spans="1:21" x14ac:dyDescent="0.25">
      <c r="A10" s="251" t="s">
        <v>88</v>
      </c>
      <c r="B10" s="236"/>
    </row>
    <row r="11" spans="1:21" ht="24" customHeight="1" x14ac:dyDescent="0.25">
      <c r="A11" s="217" t="s">
        <v>89</v>
      </c>
      <c r="B11" s="217" t="s">
        <v>90</v>
      </c>
      <c r="C11" s="217" t="s">
        <v>91</v>
      </c>
      <c r="E11" s="217" t="s">
        <v>92</v>
      </c>
      <c r="F11" s="217" t="s">
        <v>93</v>
      </c>
      <c r="G11" s="217"/>
      <c r="H11" s="217"/>
      <c r="I11" s="217"/>
    </row>
    <row r="12" spans="1:21" x14ac:dyDescent="0.25">
      <c r="A12" s="20">
        <f>Energia!A15</f>
        <v>0</v>
      </c>
      <c r="B12" s="20">
        <f>Energia!B15</f>
        <v>0</v>
      </c>
      <c r="C12" s="20">
        <f>Energia!C15</f>
        <v>0</v>
      </c>
      <c r="E12">
        <f>IF(C12=Energia_fx!$E$13,IF($B$3=2018,Energia_fx!$C$12,IF(Energia_Lask!$B$3=2019,Energia_fx!$C$13,IF($B$3=2020,Energia_fx!$C$14,IF($B$3=2021,Energia_fx!$C$15,Energia_fx!$C$16)))),0)</f>
        <v>0</v>
      </c>
      <c r="F12" s="206">
        <f>B12*E12/1000000</f>
        <v>0</v>
      </c>
    </row>
    <row r="13" spans="1:21" x14ac:dyDescent="0.25">
      <c r="A13" s="20">
        <f>Energia!A16</f>
        <v>0</v>
      </c>
      <c r="B13" s="20">
        <f>Energia!B16</f>
        <v>0</v>
      </c>
      <c r="C13" s="20">
        <f>Energia!C16</f>
        <v>0</v>
      </c>
      <c r="E13">
        <f>IF(C13=Energia_fx!$E$13,IF($B$3=2018,Energia_fx!$C$12,IF(Energia_Lask!$B$3=2019,Energia_fx!$C$13,IF($B$3=2020,Energia_fx!$C$14,IF($B$3=2021,Energia_fx!$C$15,Energia_fx!$C$16)))),0)</f>
        <v>0</v>
      </c>
      <c r="F13" s="206">
        <f t="shared" ref="F13:F21" si="0">B13*E13/1000000</f>
        <v>0</v>
      </c>
    </row>
    <row r="14" spans="1:21" x14ac:dyDescent="0.25">
      <c r="A14" s="20">
        <f>Energia!A17</f>
        <v>0</v>
      </c>
      <c r="B14" s="20">
        <f>Energia!B17</f>
        <v>0</v>
      </c>
      <c r="C14" s="20">
        <f>Energia!C17</f>
        <v>0</v>
      </c>
      <c r="E14">
        <f>IF(C14=Energia_fx!$E$13,IF($B$3=2018,Energia_fx!$C$12,IF(Energia_Lask!$B$3=2019,Energia_fx!$C$13,IF($B$3=2020,Energia_fx!$C$14,IF($B$3=2021,Energia_fx!$C$15,Energia_fx!$C$16)))),0)</f>
        <v>0</v>
      </c>
      <c r="F14" s="206">
        <f t="shared" si="0"/>
        <v>0</v>
      </c>
    </row>
    <row r="15" spans="1:21" x14ac:dyDescent="0.25">
      <c r="A15" s="20">
        <f>Energia!A18</f>
        <v>0</v>
      </c>
      <c r="B15" s="20">
        <f>Energia!B18</f>
        <v>0</v>
      </c>
      <c r="C15" s="20">
        <f>Energia!C18</f>
        <v>0</v>
      </c>
      <c r="E15">
        <f>IF(C15=Energia_fx!$E$13,IF($B$3=2018,Energia_fx!$C$12,IF(Energia_Lask!$B$3=2019,Energia_fx!$C$13,IF($B$3=2020,Energia_fx!$C$14,IF($B$3=2021,Energia_fx!$C$15,Energia_fx!$C$16)))),0)</f>
        <v>0</v>
      </c>
      <c r="F15" s="206">
        <f t="shared" si="0"/>
        <v>0</v>
      </c>
    </row>
    <row r="16" spans="1:21" x14ac:dyDescent="0.25">
      <c r="A16" s="20">
        <f>Energia!A19</f>
        <v>0</v>
      </c>
      <c r="B16" s="20">
        <f>Energia!B19</f>
        <v>0</v>
      </c>
      <c r="C16" s="20">
        <f>Energia!C19</f>
        <v>0</v>
      </c>
      <c r="E16">
        <f>IF(C16=Energia_fx!$E$13,IF($B$3=2018,Energia_fx!$C$12,IF(Energia_Lask!$B$3=2019,Energia_fx!$C$13,IF($B$3=2020,Energia_fx!$C$14,IF($B$3=2021,Energia_fx!$C$15,Energia_fx!$C$16)))),0)</f>
        <v>0</v>
      </c>
      <c r="F16" s="206">
        <f t="shared" si="0"/>
        <v>0</v>
      </c>
    </row>
    <row r="17" spans="1:6" x14ac:dyDescent="0.25">
      <c r="A17" s="20">
        <f>Energia!A20</f>
        <v>0</v>
      </c>
      <c r="B17" s="20">
        <f>Energia!B20</f>
        <v>0</v>
      </c>
      <c r="C17" s="20">
        <f>Energia!C20</f>
        <v>0</v>
      </c>
      <c r="E17">
        <f>IF(C17=Energia_fx!$E$13,IF($B$3=2018,Energia_fx!$C$12,IF(Energia_Lask!$B$3=2019,Energia_fx!$C$13,IF($B$3=2020,Energia_fx!$C$14,IF($B$3=2021,Energia_fx!$C$15,Energia_fx!$C$16)))),0)</f>
        <v>0</v>
      </c>
      <c r="F17" s="206">
        <f t="shared" si="0"/>
        <v>0</v>
      </c>
    </row>
    <row r="18" spans="1:6" x14ac:dyDescent="0.25">
      <c r="A18" s="20">
        <f>Energia!A21</f>
        <v>0</v>
      </c>
      <c r="B18" s="20">
        <f>Energia!B21</f>
        <v>0</v>
      </c>
      <c r="C18" s="20">
        <f>Energia!C21</f>
        <v>0</v>
      </c>
      <c r="E18">
        <f>IF(C18=Energia_fx!$E$13,IF($B$3=2018,Energia_fx!$C$12,IF(Energia_Lask!$B$3=2019,Energia_fx!$C$13,IF($B$3=2020,Energia_fx!$C$14,IF($B$3=2021,Energia_fx!$C$15,Energia_fx!$C$16)))),0)</f>
        <v>0</v>
      </c>
      <c r="F18" s="206">
        <f t="shared" si="0"/>
        <v>0</v>
      </c>
    </row>
    <row r="19" spans="1:6" x14ac:dyDescent="0.25">
      <c r="A19" s="20">
        <f>Energia!A22</f>
        <v>0</v>
      </c>
      <c r="B19" s="20">
        <f>Energia!B22</f>
        <v>0</v>
      </c>
      <c r="C19" s="20">
        <f>Energia!C22</f>
        <v>0</v>
      </c>
      <c r="E19">
        <f>IF(C19=Energia_fx!$E$13,IF($B$3=2018,Energia_fx!$C$12,IF(Energia_Lask!$B$3=2019,Energia_fx!$C$13,IF($B$3=2020,Energia_fx!$C$14,IF($B$3=2021,Energia_fx!$C$15,Energia_fx!$C$16)))),0)</f>
        <v>0</v>
      </c>
      <c r="F19" s="206">
        <f t="shared" si="0"/>
        <v>0</v>
      </c>
    </row>
    <row r="20" spans="1:6" x14ac:dyDescent="0.25">
      <c r="A20" s="20">
        <f>Energia!A23</f>
        <v>0</v>
      </c>
      <c r="B20" s="20">
        <f>Energia!B23</f>
        <v>0</v>
      </c>
      <c r="C20" s="20">
        <f>Energia!C23</f>
        <v>0</v>
      </c>
      <c r="E20">
        <f>IF(C20=Energia_fx!$E$13,IF($B$3=2018,Energia_fx!$C$12,IF(Energia_Lask!$B$3=2019,Energia_fx!$C$13,IF($B$3=2020,Energia_fx!$C$14,IF($B$3=2021,Energia_fx!$C$15,Energia_fx!$C$16)))),0)</f>
        <v>0</v>
      </c>
      <c r="F20" s="206">
        <f t="shared" si="0"/>
        <v>0</v>
      </c>
    </row>
    <row r="21" spans="1:6" x14ac:dyDescent="0.25">
      <c r="A21" s="20">
        <f>Energia!A24</f>
        <v>0</v>
      </c>
      <c r="B21" s="20">
        <f>Energia!B24</f>
        <v>0</v>
      </c>
      <c r="C21" s="20">
        <f>Energia!C24</f>
        <v>0</v>
      </c>
      <c r="E21">
        <f>IF(C21=Energia_fx!$E$13,IF($B$3=2018,Energia_fx!$C$12,IF(Energia_Lask!$B$3=2019,Energia_fx!$C$13,IF($B$3=2020,Energia_fx!$C$14,IF($B$3=2021,Energia_fx!$C$15,Energia_fx!$C$16)))),0)</f>
        <v>0</v>
      </c>
      <c r="F21" s="206">
        <f t="shared" si="0"/>
        <v>0</v>
      </c>
    </row>
    <row r="24" spans="1:6" x14ac:dyDescent="0.25">
      <c r="A24" s="251" t="s">
        <v>862</v>
      </c>
      <c r="B24" s="236"/>
    </row>
    <row r="25" spans="1:6" ht="20.25" customHeight="1" x14ac:dyDescent="0.25">
      <c r="A25" s="217" t="s">
        <v>89</v>
      </c>
      <c r="B25" s="217" t="s">
        <v>94</v>
      </c>
      <c r="C25" s="217" t="s">
        <v>52</v>
      </c>
      <c r="D25" s="217"/>
      <c r="E25" s="217" t="s">
        <v>92</v>
      </c>
      <c r="F25" s="217" t="s">
        <v>93</v>
      </c>
    </row>
    <row r="26" spans="1:6" x14ac:dyDescent="0.25">
      <c r="A26" s="20">
        <f>Energia!A29</f>
        <v>0</v>
      </c>
      <c r="B26" s="20">
        <f>Energia!B29</f>
        <v>0</v>
      </c>
      <c r="C26" s="20">
        <f>Energia!C29</f>
        <v>0</v>
      </c>
      <c r="E26">
        <f>IF(C26=Energia_fx!$E$13,IF($B$3=2017,Energia_fx!$C$27,IF(Energia_Lask!$B$3=2018,Energia_fx!$C$28,IF($B$3=2019,Energia_fx!$C$29,IF($B$3=2020,Energia_fx!$C$30,Energia_fx!$C$31)))),IF(C26="Kaukojäähdytys",Energia_fx!$J$23,0))</f>
        <v>0</v>
      </c>
      <c r="F26" s="206">
        <f>B26*E26/1000000</f>
        <v>0</v>
      </c>
    </row>
    <row r="27" spans="1:6" x14ac:dyDescent="0.25">
      <c r="A27" s="20">
        <f>Energia!A30</f>
        <v>0</v>
      </c>
      <c r="B27" s="20">
        <f>Energia!B30</f>
        <v>0</v>
      </c>
      <c r="C27" s="20">
        <f>Energia!C30</f>
        <v>0</v>
      </c>
      <c r="E27">
        <f>IF(C27=Energia_fx!$E$13,IF($B$3=2017,Energia_fx!$C$27,IF(Energia_Lask!$B$3=2018,Energia_fx!$C$28,IF($B$3=2019,Energia_fx!$C$29,IF($B$3=2020,Energia_fx!$C$30,Energia_fx!$C$31)))),IF(C27="Kaukojäähdytys",Energia_fx!$J$23,0))</f>
        <v>0</v>
      </c>
      <c r="F27" s="206">
        <f t="shared" ref="F27:F35" si="1">B27*E27/1000000</f>
        <v>0</v>
      </c>
    </row>
    <row r="28" spans="1:6" x14ac:dyDescent="0.25">
      <c r="A28" s="20">
        <f>Energia!A31</f>
        <v>0</v>
      </c>
      <c r="B28" s="20">
        <f>Energia!B31</f>
        <v>0</v>
      </c>
      <c r="C28" s="20">
        <f>Energia!C31</f>
        <v>0</v>
      </c>
      <c r="E28">
        <f>IF(C28=Energia_fx!$E$13,IF($B$3=2017,Energia_fx!$C$27,IF(Energia_Lask!$B$3=2018,Energia_fx!$C$28,IF($B$3=2019,Energia_fx!$C$29,IF($B$3=2020,Energia_fx!$C$30,Energia_fx!$C$31)))),IF(C28="Kaukojäähdytys",Energia_fx!$J$23,0))</f>
        <v>0</v>
      </c>
      <c r="F28" s="206">
        <f t="shared" si="1"/>
        <v>0</v>
      </c>
    </row>
    <row r="29" spans="1:6" x14ac:dyDescent="0.25">
      <c r="A29" s="20">
        <f>Energia!A32</f>
        <v>0</v>
      </c>
      <c r="B29" s="20">
        <f>Energia!B32</f>
        <v>0</v>
      </c>
      <c r="C29" s="20">
        <f>Energia!C32</f>
        <v>0</v>
      </c>
      <c r="E29">
        <f>IF(C29=Energia_fx!$E$13,IF($B$3=2017,Energia_fx!$C$27,IF(Energia_Lask!$B$3=2018,Energia_fx!$C$28,IF($B$3=2019,Energia_fx!$C$29,IF($B$3=2020,Energia_fx!$C$30,Energia_fx!$C$31)))),IF(C29="Kaukojäähdytys",Energia_fx!$J$23,0))</f>
        <v>0</v>
      </c>
      <c r="F29" s="206">
        <f t="shared" si="1"/>
        <v>0</v>
      </c>
    </row>
    <row r="30" spans="1:6" x14ac:dyDescent="0.25">
      <c r="A30" s="20">
        <f>Energia!A33</f>
        <v>0</v>
      </c>
      <c r="B30" s="20">
        <f>Energia!B33</f>
        <v>0</v>
      </c>
      <c r="C30" s="20">
        <f>Energia!C33</f>
        <v>0</v>
      </c>
      <c r="E30">
        <f>IF(C30=Energia_fx!$E$13,IF($B$3=2017,Energia_fx!$C$27,IF(Energia_Lask!$B$3=2018,Energia_fx!$C$28,IF($B$3=2019,Energia_fx!$C$29,IF($B$3=2020,Energia_fx!$C$30,Energia_fx!$C$31)))),IF(C30="Kaukojäähdytys",Energia_fx!$J$23,0))</f>
        <v>0</v>
      </c>
      <c r="F30" s="206">
        <f t="shared" si="1"/>
        <v>0</v>
      </c>
    </row>
    <row r="31" spans="1:6" x14ac:dyDescent="0.25">
      <c r="A31" s="20">
        <f>Energia!A34</f>
        <v>0</v>
      </c>
      <c r="B31" s="20">
        <f>Energia!B34</f>
        <v>0</v>
      </c>
      <c r="C31" s="20">
        <f>Energia!C34</f>
        <v>0</v>
      </c>
      <c r="E31">
        <f>IF(C31=Energia_fx!$E$13,IF($B$3=2017,Energia_fx!$C$27,IF(Energia_Lask!$B$3=2018,Energia_fx!$C$28,IF($B$3=2019,Energia_fx!$C$29,IF($B$3=2020,Energia_fx!$C$30,Energia_fx!$C$31)))),IF(C31="Kaukojäähdytys",Energia_fx!$J$23,0))</f>
        <v>0</v>
      </c>
      <c r="F31" s="206">
        <f t="shared" si="1"/>
        <v>0</v>
      </c>
    </row>
    <row r="32" spans="1:6" x14ac:dyDescent="0.25">
      <c r="A32" s="20">
        <f>Energia!A35</f>
        <v>0</v>
      </c>
      <c r="B32" s="20">
        <f>Energia!B35</f>
        <v>0</v>
      </c>
      <c r="C32" s="20">
        <f>Energia!C35</f>
        <v>0</v>
      </c>
      <c r="E32">
        <f>IF(C32=Energia_fx!$E$13,IF($B$3=2017,Energia_fx!$C$27,IF(Energia_Lask!$B$3=2018,Energia_fx!$C$28,IF($B$3=2019,Energia_fx!$C$29,IF($B$3=2020,Energia_fx!$C$30,Energia_fx!$C$31)))),IF(C32="Kaukojäähdytys",Energia_fx!$J$23,0))</f>
        <v>0</v>
      </c>
      <c r="F32" s="206">
        <f t="shared" si="1"/>
        <v>0</v>
      </c>
    </row>
    <row r="33" spans="1:9" x14ac:dyDescent="0.25">
      <c r="A33" s="20">
        <f>Energia!A36</f>
        <v>0</v>
      </c>
      <c r="B33" s="20">
        <f>Energia!B36</f>
        <v>0</v>
      </c>
      <c r="C33" s="20">
        <f>Energia!C36</f>
        <v>0</v>
      </c>
      <c r="E33">
        <f>IF(C33=Energia_fx!$E$13,IF($B$3=2017,Energia_fx!$C$27,IF(Energia_Lask!$B$3=2018,Energia_fx!$C$28,IF($B$3=2019,Energia_fx!$C$29,IF($B$3=2020,Energia_fx!$C$30,Energia_fx!$C$31)))),IF(C33="Kaukojäähdytys",Energia_fx!$J$23,0))</f>
        <v>0</v>
      </c>
      <c r="F33" s="206">
        <f t="shared" si="1"/>
        <v>0</v>
      </c>
    </row>
    <row r="34" spans="1:9" x14ac:dyDescent="0.25">
      <c r="A34" s="20">
        <f>Energia!A37</f>
        <v>0</v>
      </c>
      <c r="B34" s="20">
        <f>Energia!B37</f>
        <v>0</v>
      </c>
      <c r="C34" s="20">
        <f>Energia!C37</f>
        <v>0</v>
      </c>
      <c r="E34">
        <f>IF(C34=Energia_fx!$E$13,IF($B$3=2017,Energia_fx!$C$27,IF(Energia_Lask!$B$3=2018,Energia_fx!$C$28,IF($B$3=2019,Energia_fx!$C$29,IF($B$3=2020,Energia_fx!$C$30,Energia_fx!$C$31)))),IF(C34="Kaukojäähdytys",Energia_fx!$J$23,0))</f>
        <v>0</v>
      </c>
      <c r="F34" s="206">
        <f t="shared" si="1"/>
        <v>0</v>
      </c>
    </row>
    <row r="35" spans="1:9" x14ac:dyDescent="0.25">
      <c r="A35" s="20">
        <f>Energia!A38</f>
        <v>0</v>
      </c>
      <c r="B35" s="20">
        <f>Energia!B38</f>
        <v>0</v>
      </c>
      <c r="C35" s="20">
        <f>Energia!C38</f>
        <v>0</v>
      </c>
      <c r="E35">
        <f>IF(C35=Energia_fx!$E$13,IF($B$3=2017,Energia_fx!$C$27,IF(Energia_Lask!$B$3=2018,Energia_fx!$C$28,IF($B$3=2019,Energia_fx!$C$29,IF($B$3=2020,Energia_fx!$C$30,Energia_fx!$C$31)))),IF(C35="Kaukojäähdytys",Energia_fx!$J$23,0))</f>
        <v>0</v>
      </c>
      <c r="F35" s="206">
        <f t="shared" si="1"/>
        <v>0</v>
      </c>
    </row>
    <row r="38" spans="1:9" x14ac:dyDescent="0.25">
      <c r="A38" s="251" t="s">
        <v>95</v>
      </c>
      <c r="B38" s="236"/>
    </row>
    <row r="39" spans="1:9" ht="22.5" customHeight="1" x14ac:dyDescent="0.25">
      <c r="A39" s="217" t="s">
        <v>89</v>
      </c>
      <c r="B39" s="217" t="s">
        <v>74</v>
      </c>
      <c r="C39" s="217" t="s">
        <v>96</v>
      </c>
      <c r="E39" s="217" t="s">
        <v>97</v>
      </c>
      <c r="F39" s="217" t="s">
        <v>93</v>
      </c>
    </row>
    <row r="40" spans="1:9" x14ac:dyDescent="0.25">
      <c r="A40" s="20">
        <f>Energia!A43</f>
        <v>0</v>
      </c>
      <c r="B40" s="20">
        <f>Energia!B43</f>
        <v>0</v>
      </c>
      <c r="C40" s="20">
        <f>Energia!C43</f>
        <v>0</v>
      </c>
      <c r="E40" s="206">
        <f>IF(B40=Energia_fx!$E$44,Energia_fx!$C$45,IF(B40=Energia_fx!$E$45,Energia_fx!$C$46,0))</f>
        <v>0</v>
      </c>
      <c r="F40">
        <f>C40*E40/1000</f>
        <v>0</v>
      </c>
    </row>
    <row r="41" spans="1:9" x14ac:dyDescent="0.25">
      <c r="A41" s="20">
        <f>Energia!A44</f>
        <v>0</v>
      </c>
      <c r="B41" s="20">
        <f>Energia!B44</f>
        <v>0</v>
      </c>
      <c r="C41" s="20">
        <f>Energia!C44</f>
        <v>0</v>
      </c>
      <c r="E41" s="206">
        <f>IF(B41=Energia_fx!$E$44,Energia_fx!$C$45,IF(B41=Energia_fx!$E$45,Energia_fx!$C$46,0))</f>
        <v>0</v>
      </c>
      <c r="F41">
        <f t="shared" ref="F41:F49" si="2">C41*E41/1000</f>
        <v>0</v>
      </c>
    </row>
    <row r="42" spans="1:9" x14ac:dyDescent="0.25">
      <c r="A42" s="20">
        <f>Energia!A45</f>
        <v>0</v>
      </c>
      <c r="B42" s="20">
        <f>Energia!B45</f>
        <v>0</v>
      </c>
      <c r="C42" s="20">
        <f>Energia!C45</f>
        <v>0</v>
      </c>
      <c r="E42" s="206">
        <f>IF(B42=Energia_fx!$E$44,Energia_fx!$C$45,IF(B42=Energia_fx!$E$45,Energia_fx!$C$46,0))</f>
        <v>0</v>
      </c>
      <c r="F42">
        <f t="shared" si="2"/>
        <v>0</v>
      </c>
    </row>
    <row r="43" spans="1:9" x14ac:dyDescent="0.25">
      <c r="A43" s="20">
        <f>Energia!A46</f>
        <v>0</v>
      </c>
      <c r="B43" s="20">
        <f>Energia!B46</f>
        <v>0</v>
      </c>
      <c r="C43" s="20">
        <f>Energia!C46</f>
        <v>0</v>
      </c>
      <c r="E43" s="206">
        <f>IF(B43=Energia_fx!$E$44,Energia_fx!$C$45,IF(B43=Energia_fx!$E$45,Energia_fx!$C$46,0))</f>
        <v>0</v>
      </c>
      <c r="F43">
        <f t="shared" si="2"/>
        <v>0</v>
      </c>
    </row>
    <row r="44" spans="1:9" x14ac:dyDescent="0.25">
      <c r="A44" s="20">
        <f>Energia!A47</f>
        <v>0</v>
      </c>
      <c r="B44" s="20">
        <f>Energia!B47</f>
        <v>0</v>
      </c>
      <c r="C44" s="20">
        <f>Energia!C47</f>
        <v>0</v>
      </c>
      <c r="E44" s="206">
        <f>IF(B44=Energia_fx!$E$44,Energia_fx!$C$45,IF(B44=Energia_fx!$E$45,Energia_fx!$C$46,0))</f>
        <v>0</v>
      </c>
      <c r="F44">
        <f t="shared" si="2"/>
        <v>0</v>
      </c>
    </row>
    <row r="45" spans="1:9" x14ac:dyDescent="0.25">
      <c r="A45" s="20">
        <f>Energia!A48</f>
        <v>0</v>
      </c>
      <c r="B45" s="20">
        <f>Energia!B48</f>
        <v>0</v>
      </c>
      <c r="C45" s="20">
        <f>Energia!C48</f>
        <v>0</v>
      </c>
      <c r="E45" s="206">
        <f>IF(B45=Energia_fx!$E$44,Energia_fx!$C$45,IF(B45=Energia_fx!$E$45,Energia_fx!$C$46,0))</f>
        <v>0</v>
      </c>
      <c r="F45">
        <f t="shared" si="2"/>
        <v>0</v>
      </c>
    </row>
    <row r="46" spans="1:9" x14ac:dyDescent="0.25">
      <c r="A46" s="20">
        <f>Energia!A49</f>
        <v>0</v>
      </c>
      <c r="B46" s="20">
        <f>Energia!B49</f>
        <v>0</v>
      </c>
      <c r="C46" s="20">
        <f>Energia!C49</f>
        <v>0</v>
      </c>
      <c r="E46" s="206">
        <f>IF(B46=Energia_fx!$E$44,Energia_fx!$C$45,IF(B46=Energia_fx!$E$45,Energia_fx!$C$46,0))</f>
        <v>0</v>
      </c>
      <c r="F46">
        <f t="shared" si="2"/>
        <v>0</v>
      </c>
    </row>
    <row r="47" spans="1:9" x14ac:dyDescent="0.25">
      <c r="A47" s="20">
        <f>Energia!A50</f>
        <v>0</v>
      </c>
      <c r="B47" s="20">
        <f>Energia!B50</f>
        <v>0</v>
      </c>
      <c r="C47" s="20">
        <f>Energia!C50</f>
        <v>0</v>
      </c>
      <c r="E47" s="206">
        <f>IF(B47=Energia_fx!$E$44,Energia_fx!$C$45,IF(B47=Energia_fx!$E$45,Energia_fx!$C$46,0))</f>
        <v>0</v>
      </c>
      <c r="F47">
        <f t="shared" si="2"/>
        <v>0</v>
      </c>
    </row>
    <row r="48" spans="1:9" ht="15.75" x14ac:dyDescent="0.25">
      <c r="A48" s="20">
        <f>Energia!A51</f>
        <v>0</v>
      </c>
      <c r="B48" s="20">
        <f>Energia!B51</f>
        <v>0</v>
      </c>
      <c r="C48" s="20">
        <f>Energia!C51</f>
        <v>0</v>
      </c>
      <c r="E48" s="206">
        <f>IF(B48=Energia_fx!$E$44,Energia_fx!$C$45,IF(B48=Energia_fx!$E$45,Energia_fx!$C$46,0))</f>
        <v>0</v>
      </c>
      <c r="F48">
        <f t="shared" si="2"/>
        <v>0</v>
      </c>
      <c r="I48" s="253" t="s">
        <v>98</v>
      </c>
    </row>
    <row r="49" spans="1:9" ht="19.5" thickBot="1" x14ac:dyDescent="0.35">
      <c r="A49" s="20">
        <f>Energia!A52</f>
        <v>0</v>
      </c>
      <c r="B49" s="20">
        <f>Energia!B52</f>
        <v>0</v>
      </c>
      <c r="C49" s="20">
        <f>Energia!C52</f>
        <v>0</v>
      </c>
      <c r="E49" s="206">
        <f>IF(B49=Energia_fx!$E$44,Energia_fx!$C$45,IF(B49=Energia_fx!$E$45,Energia_fx!$C$46,0))</f>
        <v>0</v>
      </c>
      <c r="F49">
        <f t="shared" si="2"/>
        <v>0</v>
      </c>
      <c r="I49" s="254">
        <f>SUM(F12:F21,F26:F35,F40:F49)</f>
        <v>0</v>
      </c>
    </row>
    <row r="50" spans="1:9" ht="15.75" thickTop="1" x14ac:dyDescent="0.25"/>
    <row r="53" spans="1:9" ht="15.75" x14ac:dyDescent="0.25">
      <c r="A53" s="238" t="s">
        <v>871</v>
      </c>
      <c r="B53" s="216"/>
      <c r="C53" s="216"/>
      <c r="D53" s="216"/>
    </row>
    <row r="54" spans="1:9" x14ac:dyDescent="0.25">
      <c r="A54" s="251" t="s">
        <v>88</v>
      </c>
      <c r="B54" s="236"/>
    </row>
    <row r="55" spans="1:9" ht="18.75" customHeight="1" x14ac:dyDescent="0.25">
      <c r="A55" s="217" t="s">
        <v>89</v>
      </c>
      <c r="B55" s="217" t="s">
        <v>90</v>
      </c>
      <c r="C55" s="217" t="s">
        <v>91</v>
      </c>
      <c r="D55" s="217"/>
      <c r="E55" s="217" t="s">
        <v>92</v>
      </c>
      <c r="F55" s="217" t="s">
        <v>93</v>
      </c>
    </row>
    <row r="56" spans="1:9" x14ac:dyDescent="0.25">
      <c r="A56" s="20">
        <f>Energia!A59</f>
        <v>0</v>
      </c>
      <c r="B56" s="20">
        <f>Energia!B59</f>
        <v>0</v>
      </c>
      <c r="C56" s="20">
        <f>Energia!C59</f>
        <v>0</v>
      </c>
      <c r="E56">
        <f>IF(C56=Energia_fx!$E$13,IF($B$3=2018,Energia_fx!$C$12,IF(Energia_Lask!$B$3=2019,Energia_fx!$C$13,IF($B$3=2020,Energia_fx!$C$14,IF($B$3=2021,Energia_fx!$C$15,Energia_fx!$C$16)))),0)</f>
        <v>0</v>
      </c>
      <c r="F56" s="206">
        <f>B56*E56/1000000</f>
        <v>0</v>
      </c>
    </row>
    <row r="57" spans="1:9" x14ac:dyDescent="0.25">
      <c r="A57" s="20">
        <f>Energia!A60</f>
        <v>0</v>
      </c>
      <c r="B57" s="20">
        <f>Energia!B60</f>
        <v>0</v>
      </c>
      <c r="C57" s="20">
        <f>Energia!C60</f>
        <v>0</v>
      </c>
      <c r="E57">
        <f>IF(C57=Energia_fx!$E$13,IF($B$3=2018,Energia_fx!$C$12,IF(Energia_Lask!$B$3=2019,Energia_fx!$C$13,IF($B$3=2020,Energia_fx!$C$14,IF($B$3=2021,Energia_fx!$C$15,Energia_fx!$C$16)))),0)</f>
        <v>0</v>
      </c>
      <c r="F57" s="206">
        <f t="shared" ref="F57:F65" si="3">B57*E57/1000000</f>
        <v>0</v>
      </c>
    </row>
    <row r="58" spans="1:9" x14ac:dyDescent="0.25">
      <c r="A58" s="20">
        <f>Energia!A61</f>
        <v>0</v>
      </c>
      <c r="B58" s="20">
        <f>Energia!B61</f>
        <v>0</v>
      </c>
      <c r="C58" s="20">
        <f>Energia!C61</f>
        <v>0</v>
      </c>
      <c r="E58">
        <f>IF(C58=Energia_fx!$E$13,IF($B$3=2018,Energia_fx!$C$12,IF(Energia_Lask!$B$3=2019,Energia_fx!$C$13,IF($B$3=2020,Energia_fx!$C$14,IF($B$3=2021,Energia_fx!$C$15,Energia_fx!$C$16)))),0)</f>
        <v>0</v>
      </c>
      <c r="F58" s="206">
        <f t="shared" si="3"/>
        <v>0</v>
      </c>
    </row>
    <row r="59" spans="1:9" x14ac:dyDescent="0.25">
      <c r="A59" s="20">
        <f>Energia!A62</f>
        <v>0</v>
      </c>
      <c r="B59" s="20">
        <f>Energia!B62</f>
        <v>0</v>
      </c>
      <c r="C59" s="20">
        <f>Energia!C62</f>
        <v>0</v>
      </c>
      <c r="E59">
        <f>IF(C59=Energia_fx!$E$13,IF($B$3=2018,Energia_fx!$C$12,IF(Energia_Lask!$B$3=2019,Energia_fx!$C$13,IF($B$3=2020,Energia_fx!$C$14,IF($B$3=2021,Energia_fx!$C$15,Energia_fx!$C$16)))),0)</f>
        <v>0</v>
      </c>
      <c r="F59" s="206">
        <f t="shared" si="3"/>
        <v>0</v>
      </c>
    </row>
    <row r="60" spans="1:9" x14ac:dyDescent="0.25">
      <c r="A60" s="20">
        <f>Energia!A63</f>
        <v>0</v>
      </c>
      <c r="B60" s="20">
        <f>Energia!B63</f>
        <v>0</v>
      </c>
      <c r="C60" s="20">
        <f>Energia!C63</f>
        <v>0</v>
      </c>
      <c r="E60">
        <f>IF(C60=Energia_fx!$E$13,IF($B$3=2018,Energia_fx!$C$12,IF(Energia_Lask!$B$3=2019,Energia_fx!$C$13,IF($B$3=2020,Energia_fx!$C$14,IF($B$3=2021,Energia_fx!$C$15,Energia_fx!$C$16)))),0)</f>
        <v>0</v>
      </c>
      <c r="F60" s="206">
        <f t="shared" si="3"/>
        <v>0</v>
      </c>
    </row>
    <row r="61" spans="1:9" x14ac:dyDescent="0.25">
      <c r="A61" s="20">
        <f>Energia!A64</f>
        <v>0</v>
      </c>
      <c r="B61" s="20">
        <f>Energia!B64</f>
        <v>0</v>
      </c>
      <c r="C61" s="20">
        <f>Energia!C64</f>
        <v>0</v>
      </c>
      <c r="E61">
        <f>IF(C61=Energia_fx!$E$13,IF($B$3=2018,Energia_fx!$C$12,IF(Energia_Lask!$B$3=2019,Energia_fx!$C$13,IF($B$3=2020,Energia_fx!$C$14,IF($B$3=2021,Energia_fx!$C$15,Energia_fx!$C$16)))),0)</f>
        <v>0</v>
      </c>
      <c r="F61" s="206">
        <f t="shared" si="3"/>
        <v>0</v>
      </c>
    </row>
    <row r="62" spans="1:9" x14ac:dyDescent="0.25">
      <c r="A62" s="20">
        <f>Energia!A65</f>
        <v>0</v>
      </c>
      <c r="B62" s="20">
        <f>Energia!B65</f>
        <v>0</v>
      </c>
      <c r="C62" s="20">
        <f>Energia!C65</f>
        <v>0</v>
      </c>
      <c r="E62">
        <f>IF(C62=Energia_fx!$E$13,IF($B$3=2018,Energia_fx!$C$12,IF(Energia_Lask!$B$3=2019,Energia_fx!$C$13,IF($B$3=2020,Energia_fx!$C$14,IF($B$3=2021,Energia_fx!$C$15,Energia_fx!$C$16)))),0)</f>
        <v>0</v>
      </c>
      <c r="F62" s="206">
        <f t="shared" si="3"/>
        <v>0</v>
      </c>
    </row>
    <row r="63" spans="1:9" x14ac:dyDescent="0.25">
      <c r="A63" s="20">
        <f>Energia!A66</f>
        <v>0</v>
      </c>
      <c r="B63" s="20">
        <f>Energia!B66</f>
        <v>0</v>
      </c>
      <c r="C63" s="20">
        <f>Energia!C66</f>
        <v>0</v>
      </c>
      <c r="E63">
        <f>IF(C63=Energia_fx!$E$13,IF($B$3=2018,Energia_fx!$C$12,IF(Energia_Lask!$B$3=2019,Energia_fx!$C$13,IF($B$3=2020,Energia_fx!$C$14,IF($B$3=2021,Energia_fx!$C$15,Energia_fx!$C$16)))),0)</f>
        <v>0</v>
      </c>
      <c r="F63" s="206">
        <f t="shared" si="3"/>
        <v>0</v>
      </c>
    </row>
    <row r="64" spans="1:9" x14ac:dyDescent="0.25">
      <c r="A64" s="20">
        <f>Energia!A67</f>
        <v>0</v>
      </c>
      <c r="B64" s="20">
        <f>Energia!B67</f>
        <v>0</v>
      </c>
      <c r="C64" s="20">
        <f>Energia!C67</f>
        <v>0</v>
      </c>
      <c r="D64" s="217"/>
      <c r="E64">
        <f>IF(C64=Energia_fx!$E$13,IF($B$3=2018,Energia_fx!$C$12,IF(Energia_Lask!$B$3=2019,Energia_fx!$C$13,IF($B$3=2020,Energia_fx!$C$14,IF($B$3=2021,Energia_fx!$C$15,Energia_fx!$C$16)))),0)</f>
        <v>0</v>
      </c>
      <c r="F64" s="206">
        <f t="shared" si="3"/>
        <v>0</v>
      </c>
    </row>
    <row r="65" spans="1:6" x14ac:dyDescent="0.25">
      <c r="A65" s="20">
        <f>Energia!A68</f>
        <v>0</v>
      </c>
      <c r="B65" s="20">
        <f>Energia!B68</f>
        <v>0</v>
      </c>
      <c r="C65" s="20">
        <f>Energia!C68</f>
        <v>0</v>
      </c>
      <c r="E65">
        <f>IF(C65=Energia_fx!$E$13,IF($B$3=2018,Energia_fx!$C$12,IF(Energia_Lask!$B$3=2019,Energia_fx!$C$13,IF($B$3=2020,Energia_fx!$C$14,IF($B$3=2021,Energia_fx!$C$15,Energia_fx!$C$16)))),0)</f>
        <v>0</v>
      </c>
      <c r="F65" s="206">
        <f t="shared" si="3"/>
        <v>0</v>
      </c>
    </row>
    <row r="68" spans="1:6" x14ac:dyDescent="0.25">
      <c r="A68" s="251" t="s">
        <v>862</v>
      </c>
      <c r="B68" s="236"/>
    </row>
    <row r="69" spans="1:6" ht="19.5" customHeight="1" x14ac:dyDescent="0.25">
      <c r="A69" s="217" t="s">
        <v>89</v>
      </c>
      <c r="B69" s="217" t="s">
        <v>94</v>
      </c>
      <c r="C69" s="217" t="s">
        <v>52</v>
      </c>
      <c r="E69" s="217" t="s">
        <v>92</v>
      </c>
      <c r="F69" s="217" t="s">
        <v>93</v>
      </c>
    </row>
    <row r="70" spans="1:6" x14ac:dyDescent="0.25">
      <c r="A70" s="20">
        <f>Energia!A73</f>
        <v>0</v>
      </c>
      <c r="B70" s="20">
        <f>Energia!B73</f>
        <v>0</v>
      </c>
      <c r="C70" s="20">
        <f>Energia!C73</f>
        <v>0</v>
      </c>
      <c r="E70">
        <f>IF(C70=Energia_fx!$E$13,IF($B$3=2017,Energia_fx!$C$27,IF(Energia_Lask!$B$3=2018,Energia_fx!$C$28,IF($B$3=2019,Energia_fx!$C$29,IF($B$3=2020,Energia_fx!$C$30,Energia_fx!$C$31)))),IF(C70="Kaukojäähdytys",Energia_fx!$J$23,0))</f>
        <v>0</v>
      </c>
      <c r="F70" s="206">
        <f>B70*E70/1000000</f>
        <v>0</v>
      </c>
    </row>
    <row r="71" spans="1:6" x14ac:dyDescent="0.25">
      <c r="A71" s="20">
        <f>Energia!A74</f>
        <v>0</v>
      </c>
      <c r="B71" s="20">
        <f>Energia!B74</f>
        <v>0</v>
      </c>
      <c r="C71" s="20">
        <f>Energia!C74</f>
        <v>0</v>
      </c>
      <c r="E71">
        <f>IF(C71=Energia_fx!$E$13,IF($B$3=2017,Energia_fx!$C$27,IF(Energia_Lask!$B$3=2018,Energia_fx!$C$28,IF($B$3=2019,Energia_fx!$C$29,IF($B$3=2020,Energia_fx!$C$30,Energia_fx!$C$31)))),IF(C71="Kaukojäähdytys",Energia_fx!$J$23,0))</f>
        <v>0</v>
      </c>
      <c r="F71" s="206">
        <f t="shared" ref="F71:F79" si="4">B71*E71/1000000</f>
        <v>0</v>
      </c>
    </row>
    <row r="72" spans="1:6" x14ac:dyDescent="0.25">
      <c r="A72" s="20">
        <f>Energia!A75</f>
        <v>0</v>
      </c>
      <c r="B72" s="20">
        <f>Energia!B75</f>
        <v>0</v>
      </c>
      <c r="C72" s="20">
        <f>Energia!C75</f>
        <v>0</v>
      </c>
      <c r="E72">
        <f>IF(C72=Energia_fx!$E$13,IF($B$3=2017,Energia_fx!$C$27,IF(Energia_Lask!$B$3=2018,Energia_fx!$C$28,IF($B$3=2019,Energia_fx!$C$29,IF($B$3=2020,Energia_fx!$C$30,Energia_fx!$C$31)))),IF(C72="Kaukojäähdytys",Energia_fx!$J$23,0))</f>
        <v>0</v>
      </c>
      <c r="F72" s="206">
        <f t="shared" si="4"/>
        <v>0</v>
      </c>
    </row>
    <row r="73" spans="1:6" x14ac:dyDescent="0.25">
      <c r="A73" s="20">
        <f>Energia!A76</f>
        <v>0</v>
      </c>
      <c r="B73" s="20">
        <f>Energia!B76</f>
        <v>0</v>
      </c>
      <c r="C73" s="20">
        <f>Energia!C76</f>
        <v>0</v>
      </c>
      <c r="D73" s="217"/>
      <c r="E73">
        <f>IF(C73=Energia_fx!$E$13,IF($B$3=2017,Energia_fx!$C$27,IF(Energia_Lask!$B$3=2018,Energia_fx!$C$28,IF($B$3=2019,Energia_fx!$C$29,IF($B$3=2020,Energia_fx!$C$30,Energia_fx!$C$31)))),IF(C73="Kaukojäähdytys",Energia_fx!$J$23,0))</f>
        <v>0</v>
      </c>
      <c r="F73" s="206">
        <f t="shared" si="4"/>
        <v>0</v>
      </c>
    </row>
    <row r="74" spans="1:6" x14ac:dyDescent="0.25">
      <c r="A74" s="20">
        <f>Energia!A77</f>
        <v>0</v>
      </c>
      <c r="B74" s="20">
        <f>Energia!B77</f>
        <v>0</v>
      </c>
      <c r="C74" s="20">
        <f>Energia!C77</f>
        <v>0</v>
      </c>
      <c r="E74">
        <f>IF(C74=Energia_fx!$E$13,IF($B$3=2017,Energia_fx!$C$27,IF(Energia_Lask!$B$3=2018,Energia_fx!$C$28,IF($B$3=2019,Energia_fx!$C$29,IF($B$3=2020,Energia_fx!$C$30,Energia_fx!$C$31)))),IF(C74="Kaukojäähdytys",Energia_fx!$J$23,0))</f>
        <v>0</v>
      </c>
      <c r="F74" s="206">
        <f t="shared" si="4"/>
        <v>0</v>
      </c>
    </row>
    <row r="75" spans="1:6" x14ac:dyDescent="0.25">
      <c r="A75" s="20">
        <f>Energia!A78</f>
        <v>0</v>
      </c>
      <c r="B75" s="20">
        <f>Energia!B78</f>
        <v>0</v>
      </c>
      <c r="C75" s="20">
        <f>Energia!C78</f>
        <v>0</v>
      </c>
      <c r="E75">
        <f>IF(C75=Energia_fx!$E$13,IF($B$3=2017,Energia_fx!$C$27,IF(Energia_Lask!$B$3=2018,Energia_fx!$C$28,IF($B$3=2019,Energia_fx!$C$29,IF($B$3=2020,Energia_fx!$C$30,Energia_fx!$C$31)))),IF(C75="Kaukojäähdytys",Energia_fx!$J$23,0))</f>
        <v>0</v>
      </c>
      <c r="F75" s="206">
        <f t="shared" si="4"/>
        <v>0</v>
      </c>
    </row>
    <row r="76" spans="1:6" x14ac:dyDescent="0.25">
      <c r="A76" s="20">
        <f>Energia!A79</f>
        <v>0</v>
      </c>
      <c r="B76" s="20">
        <f>Energia!B79</f>
        <v>0</v>
      </c>
      <c r="C76" s="20">
        <f>Energia!C79</f>
        <v>0</v>
      </c>
      <c r="E76">
        <f>IF(C76=Energia_fx!$E$13,IF($B$3=2017,Energia_fx!$C$27,IF(Energia_Lask!$B$3=2018,Energia_fx!$C$28,IF($B$3=2019,Energia_fx!$C$29,IF($B$3=2020,Energia_fx!$C$30,Energia_fx!$C$31)))),IF(C76="Kaukojäähdytys",Energia_fx!$J$23,0))</f>
        <v>0</v>
      </c>
      <c r="F76" s="206">
        <f t="shared" si="4"/>
        <v>0</v>
      </c>
    </row>
    <row r="77" spans="1:6" x14ac:dyDescent="0.25">
      <c r="A77" s="20">
        <f>Energia!A80</f>
        <v>0</v>
      </c>
      <c r="B77" s="20">
        <f>Energia!B80</f>
        <v>0</v>
      </c>
      <c r="C77" s="20">
        <f>Energia!C80</f>
        <v>0</v>
      </c>
      <c r="E77">
        <f>IF(C77=Energia_fx!$E$13,IF($B$3=2017,Energia_fx!$C$27,IF(Energia_Lask!$B$3=2018,Energia_fx!$C$28,IF($B$3=2019,Energia_fx!$C$29,IF($B$3=2020,Energia_fx!$C$30,Energia_fx!$C$31)))),IF(C77="Kaukojäähdytys",Energia_fx!$J$23,0))</f>
        <v>0</v>
      </c>
      <c r="F77" s="206">
        <f t="shared" si="4"/>
        <v>0</v>
      </c>
    </row>
    <row r="78" spans="1:6" x14ac:dyDescent="0.25">
      <c r="A78" s="20">
        <f>Energia!A81</f>
        <v>0</v>
      </c>
      <c r="B78" s="20">
        <f>Energia!B81</f>
        <v>0</v>
      </c>
      <c r="C78" s="20">
        <f>Energia!C81</f>
        <v>0</v>
      </c>
      <c r="E78">
        <f>IF(C78=Energia_fx!$E$13,IF($B$3=2017,Energia_fx!$C$27,IF(Energia_Lask!$B$3=2018,Energia_fx!$C$28,IF($B$3=2019,Energia_fx!$C$29,IF($B$3=2020,Energia_fx!$C$30,Energia_fx!$C$31)))),IF(C78="Kaukojäähdytys",Energia_fx!$J$23,0))</f>
        <v>0</v>
      </c>
      <c r="F78" s="206">
        <f t="shared" si="4"/>
        <v>0</v>
      </c>
    </row>
    <row r="79" spans="1:6" x14ac:dyDescent="0.25">
      <c r="A79" s="20">
        <f>Energia!A82</f>
        <v>0</v>
      </c>
      <c r="B79" s="20">
        <f>Energia!B82</f>
        <v>0</v>
      </c>
      <c r="C79" s="20">
        <f>Energia!C82</f>
        <v>0</v>
      </c>
      <c r="E79">
        <f>IF(C79=Energia_fx!$E$13,IF($B$3=2017,Energia_fx!$C$27,IF(Energia_Lask!$B$3=2018,Energia_fx!$C$28,IF($B$3=2019,Energia_fx!$C$29,IF($B$3=2020,Energia_fx!$C$30,Energia_fx!$C$31)))),IF(C79="Kaukojäähdytys",Energia_fx!$J$23,0))</f>
        <v>0</v>
      </c>
      <c r="F79" s="206">
        <f t="shared" si="4"/>
        <v>0</v>
      </c>
    </row>
    <row r="82" spans="1:9" x14ac:dyDescent="0.25">
      <c r="A82" s="251" t="s">
        <v>95</v>
      </c>
      <c r="B82" s="236"/>
    </row>
    <row r="83" spans="1:9" ht="18" customHeight="1" x14ac:dyDescent="0.25">
      <c r="A83" s="217" t="s">
        <v>89</v>
      </c>
      <c r="B83" s="217" t="s">
        <v>74</v>
      </c>
      <c r="C83" s="217" t="s">
        <v>96</v>
      </c>
      <c r="E83" s="217" t="s">
        <v>97</v>
      </c>
      <c r="F83" s="217" t="s">
        <v>93</v>
      </c>
    </row>
    <row r="84" spans="1:9" x14ac:dyDescent="0.25">
      <c r="A84" s="20">
        <f>Energia!A87</f>
        <v>0</v>
      </c>
      <c r="B84" s="20">
        <f>Energia!B87</f>
        <v>0</v>
      </c>
      <c r="C84" s="20">
        <f>Energia!C87</f>
        <v>0</v>
      </c>
      <c r="E84" s="206">
        <f>IF(B84=Energia_fx!$E$44,Energia_fx!$C$45,IF(B84=Energia_fx!$E$45,Energia_fx!$C$46,0))</f>
        <v>0</v>
      </c>
      <c r="F84">
        <f>C84*E84/1000</f>
        <v>0</v>
      </c>
    </row>
    <row r="85" spans="1:9" x14ac:dyDescent="0.25">
      <c r="A85" s="20">
        <f>Energia!A88</f>
        <v>0</v>
      </c>
      <c r="B85" s="20">
        <f>Energia!B88</f>
        <v>0</v>
      </c>
      <c r="C85" s="20">
        <f>Energia!C88</f>
        <v>0</v>
      </c>
      <c r="E85" s="206">
        <f>IF(B85=Energia_fx!$E$44,Energia_fx!$C$45,IF(B85=Energia_fx!$E$45,Energia_fx!$C$46,0))</f>
        <v>0</v>
      </c>
      <c r="F85">
        <f t="shared" ref="F85:F93" si="5">C85*E85/1000</f>
        <v>0</v>
      </c>
    </row>
    <row r="86" spans="1:9" x14ac:dyDescent="0.25">
      <c r="A86" s="20">
        <f>Energia!A89</f>
        <v>0</v>
      </c>
      <c r="B86" s="20">
        <f>Energia!B89</f>
        <v>0</v>
      </c>
      <c r="C86" s="20">
        <f>Energia!C89</f>
        <v>0</v>
      </c>
      <c r="E86" s="206">
        <f>IF(B86=Energia_fx!$E$44,Energia_fx!$C$45,IF(B86=Energia_fx!$E$45,Energia_fx!$C$46,0))</f>
        <v>0</v>
      </c>
      <c r="F86">
        <f t="shared" si="5"/>
        <v>0</v>
      </c>
    </row>
    <row r="87" spans="1:9" x14ac:dyDescent="0.25">
      <c r="A87" s="20">
        <f>Energia!A90</f>
        <v>0</v>
      </c>
      <c r="B87" s="20">
        <f>Energia!B90</f>
        <v>0</v>
      </c>
      <c r="C87" s="20">
        <f>Energia!C90</f>
        <v>0</v>
      </c>
      <c r="E87" s="206">
        <f>IF(B87=Energia_fx!$E$44,Energia_fx!$C$45,IF(B87=Energia_fx!$E$45,Energia_fx!$C$46,0))</f>
        <v>0</v>
      </c>
      <c r="F87">
        <f t="shared" si="5"/>
        <v>0</v>
      </c>
    </row>
    <row r="88" spans="1:9" x14ac:dyDescent="0.25">
      <c r="A88" s="20">
        <f>Energia!A91</f>
        <v>0</v>
      </c>
      <c r="B88" s="20">
        <f>Energia!B91</f>
        <v>0</v>
      </c>
      <c r="C88" s="20">
        <f>Energia!C91</f>
        <v>0</v>
      </c>
      <c r="E88" s="206">
        <f>IF(B88=Energia_fx!$E$44,Energia_fx!$C$45,IF(B88=Energia_fx!$E$45,Energia_fx!$C$46,0))</f>
        <v>0</v>
      </c>
      <c r="F88">
        <f t="shared" si="5"/>
        <v>0</v>
      </c>
    </row>
    <row r="89" spans="1:9" x14ac:dyDescent="0.25">
      <c r="A89" s="20">
        <f>Energia!A92</f>
        <v>0</v>
      </c>
      <c r="B89" s="20">
        <f>Energia!B92</f>
        <v>0</v>
      </c>
      <c r="C89" s="20">
        <f>Energia!C92</f>
        <v>0</v>
      </c>
      <c r="E89" s="206">
        <f>IF(B89=Energia_fx!$E$44,Energia_fx!$C$45,IF(B89=Energia_fx!$E$45,Energia_fx!$C$46,0))</f>
        <v>0</v>
      </c>
      <c r="F89">
        <f t="shared" si="5"/>
        <v>0</v>
      </c>
    </row>
    <row r="90" spans="1:9" x14ac:dyDescent="0.25">
      <c r="A90" s="20">
        <f>Energia!A93</f>
        <v>0</v>
      </c>
      <c r="B90" s="20">
        <f>Energia!B93</f>
        <v>0</v>
      </c>
      <c r="C90" s="20">
        <f>Energia!C93</f>
        <v>0</v>
      </c>
      <c r="E90" s="206">
        <f>IF(B90=Energia_fx!$E$44,Energia_fx!$C$45,IF(B90=Energia_fx!$E$45,Energia_fx!$C$46,0))</f>
        <v>0</v>
      </c>
      <c r="F90">
        <f t="shared" si="5"/>
        <v>0</v>
      </c>
    </row>
    <row r="91" spans="1:9" x14ac:dyDescent="0.25">
      <c r="A91" s="20">
        <f>Energia!A94</f>
        <v>0</v>
      </c>
      <c r="B91" s="20">
        <f>Energia!B94</f>
        <v>0</v>
      </c>
      <c r="C91" s="20">
        <f>Energia!C94</f>
        <v>0</v>
      </c>
      <c r="E91" s="206">
        <f>IF(B91=Energia_fx!$E$44,Energia_fx!$C$45,IF(B91=Energia_fx!$E$45,Energia_fx!$C$46,0))</f>
        <v>0</v>
      </c>
      <c r="F91">
        <f t="shared" si="5"/>
        <v>0</v>
      </c>
    </row>
    <row r="92" spans="1:9" ht="15.75" x14ac:dyDescent="0.25">
      <c r="A92" s="20">
        <f>Energia!A95</f>
        <v>0</v>
      </c>
      <c r="B92" s="20">
        <f>Energia!B95</f>
        <v>0</v>
      </c>
      <c r="C92" s="20">
        <f>Energia!C95</f>
        <v>0</v>
      </c>
      <c r="E92" s="206">
        <f>IF(B92=Energia_fx!$E$44,Energia_fx!$C$45,IF(B92=Energia_fx!$E$45,Energia_fx!$C$46,0))</f>
        <v>0</v>
      </c>
      <c r="F92">
        <f t="shared" si="5"/>
        <v>0</v>
      </c>
      <c r="I92" s="253" t="s">
        <v>99</v>
      </c>
    </row>
    <row r="93" spans="1:9" ht="19.5" thickBot="1" x14ac:dyDescent="0.35">
      <c r="A93" s="20">
        <f>Energia!A96</f>
        <v>0</v>
      </c>
      <c r="B93" s="20">
        <f>Energia!B96</f>
        <v>0</v>
      </c>
      <c r="C93" s="20">
        <f>Energia!C96</f>
        <v>0</v>
      </c>
      <c r="E93" s="206">
        <f>IF(B93=Energia_fx!$E$44,Energia_fx!$C$45,IF(B93=Energia_fx!$E$45,Energia_fx!$C$46,0))</f>
        <v>0</v>
      </c>
      <c r="F93">
        <f t="shared" si="5"/>
        <v>0</v>
      </c>
      <c r="I93" s="254">
        <f>SUM(F56:F65,F70:F79,F84:F93)</f>
        <v>0</v>
      </c>
    </row>
    <row r="94" spans="1:9" ht="15.75" thickTop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3A30B-FED9-4A39-AC91-968BA3D3D673}">
  <sheetPr>
    <tabColor theme="5" tint="0.39997558519241921"/>
  </sheetPr>
  <dimension ref="A1:U96"/>
  <sheetViews>
    <sheetView showGridLines="0" showRowColHeaders="0" zoomScaleNormal="100" workbookViewId="0">
      <pane ySplit="3" topLeftCell="A4" activePane="bottomLeft" state="frozen"/>
      <selection pane="bottomLeft" activeCell="E27" sqref="E27"/>
    </sheetView>
  </sheetViews>
  <sheetFormatPr defaultRowHeight="15" x14ac:dyDescent="0.25"/>
  <cols>
    <col min="1" max="5" width="26.42578125" customWidth="1"/>
    <col min="6" max="6" width="20.5703125" customWidth="1"/>
    <col min="7" max="7" width="11.7109375" customWidth="1"/>
    <col min="9" max="9" width="15.140625" customWidth="1"/>
    <col min="10" max="10" width="15" customWidth="1"/>
    <col min="11" max="11" width="18" customWidth="1"/>
  </cols>
  <sheetData>
    <row r="1" spans="1:21" s="148" customFormat="1" ht="129" customHeight="1" x14ac:dyDescent="0.25"/>
    <row r="2" spans="1:21" s="126" customFormat="1" ht="35.25" customHeight="1" x14ac:dyDescent="0.4">
      <c r="A2" s="126" t="s">
        <v>46</v>
      </c>
      <c r="B2" s="127" t="s">
        <v>47</v>
      </c>
      <c r="K2" s="128"/>
      <c r="L2" s="128"/>
      <c r="M2" s="128"/>
      <c r="N2" s="128"/>
      <c r="P2" s="128"/>
      <c r="Q2" s="128"/>
      <c r="R2" s="128"/>
      <c r="S2" s="128"/>
      <c r="T2" s="128"/>
      <c r="U2" s="128"/>
    </row>
    <row r="3" spans="1:21" s="200" customFormat="1" ht="27" customHeight="1" x14ac:dyDescent="0.3">
      <c r="A3" s="200" t="s">
        <v>84</v>
      </c>
      <c r="B3" s="200">
        <f>YHTEENVETO!D3</f>
        <v>2019</v>
      </c>
    </row>
    <row r="5" spans="1:21" x14ac:dyDescent="0.25">
      <c r="A5" s="5" t="s">
        <v>889</v>
      </c>
      <c r="B5" s="5"/>
      <c r="C5" s="5"/>
      <c r="D5" s="5"/>
      <c r="E5" s="5"/>
      <c r="F5" s="5"/>
      <c r="G5" s="5"/>
    </row>
    <row r="6" spans="1:21" x14ac:dyDescent="0.25">
      <c r="A6" s="5" t="s">
        <v>890</v>
      </c>
      <c r="B6" s="5"/>
      <c r="C6" s="5"/>
      <c r="D6" s="5"/>
      <c r="E6" s="5"/>
      <c r="F6" s="5"/>
      <c r="G6" s="5"/>
    </row>
    <row r="7" spans="1:21" x14ac:dyDescent="0.25">
      <c r="A7" s="5" t="s">
        <v>100</v>
      </c>
      <c r="B7" s="5"/>
      <c r="C7" s="5"/>
      <c r="D7" s="5"/>
      <c r="E7" s="5"/>
      <c r="F7" s="5"/>
      <c r="G7" s="5"/>
    </row>
    <row r="8" spans="1:21" s="243" customFormat="1" x14ac:dyDescent="0.25">
      <c r="A8" s="389" t="s">
        <v>101</v>
      </c>
      <c r="B8" s="265"/>
      <c r="C8" s="265"/>
      <c r="D8" s="265"/>
      <c r="E8" s="265"/>
      <c r="F8" s="265"/>
      <c r="G8" s="265"/>
    </row>
    <row r="9" spans="1:21" s="243" customFormat="1" x14ac:dyDescent="0.25">
      <c r="A9" s="389" t="s">
        <v>863</v>
      </c>
      <c r="B9" s="265"/>
      <c r="C9" s="265"/>
      <c r="D9" s="265"/>
      <c r="E9" s="265"/>
      <c r="F9" s="265"/>
      <c r="G9" s="265"/>
    </row>
    <row r="12" spans="1:21" ht="15.75" x14ac:dyDescent="0.25">
      <c r="A12" s="238" t="s">
        <v>87</v>
      </c>
      <c r="B12" s="216"/>
      <c r="C12" s="216"/>
      <c r="D12" s="216"/>
    </row>
    <row r="13" spans="1:21" x14ac:dyDescent="0.25">
      <c r="A13" s="251" t="s">
        <v>88</v>
      </c>
      <c r="B13" s="236"/>
    </row>
    <row r="14" spans="1:21" ht="24" customHeight="1" x14ac:dyDescent="0.25">
      <c r="A14" s="217" t="s">
        <v>89</v>
      </c>
      <c r="B14" s="217" t="s">
        <v>90</v>
      </c>
      <c r="C14" s="217" t="s">
        <v>91</v>
      </c>
      <c r="E14" s="217"/>
      <c r="F14" s="217"/>
      <c r="G14" s="217"/>
      <c r="H14" s="217"/>
      <c r="I14" s="217"/>
    </row>
    <row r="15" spans="1:21" x14ac:dyDescent="0.25">
      <c r="A15" s="20"/>
      <c r="B15" s="20"/>
      <c r="C15" s="20"/>
      <c r="F15" s="206"/>
    </row>
    <row r="16" spans="1:21" x14ac:dyDescent="0.25">
      <c r="A16" s="20"/>
      <c r="B16" s="20"/>
      <c r="C16" s="20"/>
      <c r="F16" s="206"/>
    </row>
    <row r="17" spans="1:6" x14ac:dyDescent="0.25">
      <c r="A17" s="20"/>
      <c r="B17" s="20"/>
      <c r="C17" s="20"/>
      <c r="F17" s="206"/>
    </row>
    <row r="18" spans="1:6" x14ac:dyDescent="0.25">
      <c r="A18" s="20"/>
      <c r="B18" s="20"/>
      <c r="C18" s="20"/>
      <c r="F18" s="206"/>
    </row>
    <row r="19" spans="1:6" x14ac:dyDescent="0.25">
      <c r="A19" s="20"/>
      <c r="B19" s="20"/>
      <c r="C19" s="20"/>
      <c r="F19" s="206"/>
    </row>
    <row r="20" spans="1:6" x14ac:dyDescent="0.25">
      <c r="A20" s="20"/>
      <c r="B20" s="20"/>
      <c r="C20" s="20"/>
      <c r="F20" s="206"/>
    </row>
    <row r="21" spans="1:6" x14ac:dyDescent="0.25">
      <c r="A21" s="20"/>
      <c r="B21" s="20"/>
      <c r="C21" s="20"/>
      <c r="F21" s="206"/>
    </row>
    <row r="22" spans="1:6" x14ac:dyDescent="0.25">
      <c r="A22" s="20"/>
      <c r="B22" s="20"/>
      <c r="C22" s="20"/>
      <c r="F22" s="206"/>
    </row>
    <row r="23" spans="1:6" x14ac:dyDescent="0.25">
      <c r="A23" s="20"/>
      <c r="B23" s="20"/>
      <c r="C23" s="20"/>
      <c r="F23" s="206"/>
    </row>
    <row r="24" spans="1:6" x14ac:dyDescent="0.25">
      <c r="A24" s="20"/>
      <c r="B24" s="20"/>
      <c r="C24" s="20"/>
      <c r="F24" s="206"/>
    </row>
    <row r="27" spans="1:6" x14ac:dyDescent="0.25">
      <c r="A27" s="251" t="s">
        <v>862</v>
      </c>
      <c r="B27" s="236"/>
    </row>
    <row r="28" spans="1:6" x14ac:dyDescent="0.25">
      <c r="A28" s="217" t="s">
        <v>89</v>
      </c>
      <c r="B28" s="217" t="s">
        <v>94</v>
      </c>
      <c r="C28" s="217" t="s">
        <v>52</v>
      </c>
      <c r="D28" s="217"/>
      <c r="E28" s="217"/>
      <c r="F28" s="217"/>
    </row>
    <row r="29" spans="1:6" x14ac:dyDescent="0.25">
      <c r="A29" s="20"/>
      <c r="B29" s="20"/>
      <c r="C29" s="20"/>
    </row>
    <row r="30" spans="1:6" x14ac:dyDescent="0.25">
      <c r="A30" s="20"/>
      <c r="B30" s="20"/>
      <c r="C30" s="20"/>
    </row>
    <row r="31" spans="1:6" x14ac:dyDescent="0.25">
      <c r="A31" s="20"/>
      <c r="B31" s="20"/>
      <c r="C31" s="20"/>
    </row>
    <row r="32" spans="1:6" x14ac:dyDescent="0.25">
      <c r="A32" s="20"/>
      <c r="B32" s="20"/>
      <c r="C32" s="20"/>
    </row>
    <row r="33" spans="1:6" x14ac:dyDescent="0.25">
      <c r="A33" s="20"/>
      <c r="B33" s="20"/>
      <c r="C33" s="20"/>
    </row>
    <row r="34" spans="1:6" x14ac:dyDescent="0.25">
      <c r="A34" s="20"/>
      <c r="B34" s="20"/>
      <c r="C34" s="20"/>
    </row>
    <row r="35" spans="1:6" x14ac:dyDescent="0.25">
      <c r="A35" s="20"/>
      <c r="B35" s="20"/>
      <c r="C35" s="20"/>
    </row>
    <row r="36" spans="1:6" x14ac:dyDescent="0.25">
      <c r="A36" s="20"/>
      <c r="B36" s="20"/>
      <c r="C36" s="20"/>
    </row>
    <row r="37" spans="1:6" x14ac:dyDescent="0.25">
      <c r="A37" s="20"/>
      <c r="B37" s="20"/>
      <c r="C37" s="20"/>
    </row>
    <row r="38" spans="1:6" x14ac:dyDescent="0.25">
      <c r="A38" s="20"/>
      <c r="B38" s="20"/>
      <c r="C38" s="20"/>
    </row>
    <row r="41" spans="1:6" x14ac:dyDescent="0.25">
      <c r="A41" s="251" t="s">
        <v>95</v>
      </c>
      <c r="B41" s="236"/>
    </row>
    <row r="42" spans="1:6" ht="22.5" customHeight="1" x14ac:dyDescent="0.25">
      <c r="A42" s="217" t="s">
        <v>89</v>
      </c>
      <c r="B42" s="217" t="s">
        <v>74</v>
      </c>
      <c r="C42" s="217" t="s">
        <v>96</v>
      </c>
      <c r="E42" s="217"/>
      <c r="F42" s="217"/>
    </row>
    <row r="43" spans="1:6" x14ac:dyDescent="0.25">
      <c r="A43" s="20"/>
      <c r="B43" s="20"/>
      <c r="C43" s="20"/>
      <c r="E43" s="206"/>
    </row>
    <row r="44" spans="1:6" x14ac:dyDescent="0.25">
      <c r="A44" s="20"/>
      <c r="B44" s="20"/>
      <c r="C44" s="20"/>
      <c r="E44" s="206"/>
    </row>
    <row r="45" spans="1:6" x14ac:dyDescent="0.25">
      <c r="A45" s="20"/>
      <c r="B45" s="20"/>
      <c r="C45" s="20"/>
      <c r="E45" s="206"/>
    </row>
    <row r="46" spans="1:6" x14ac:dyDescent="0.25">
      <c r="A46" s="20"/>
      <c r="B46" s="20"/>
      <c r="C46" s="20"/>
      <c r="E46" s="206"/>
    </row>
    <row r="47" spans="1:6" x14ac:dyDescent="0.25">
      <c r="A47" s="20"/>
      <c r="B47" s="20"/>
      <c r="C47" s="20"/>
      <c r="E47" s="206"/>
    </row>
    <row r="48" spans="1:6" x14ac:dyDescent="0.25">
      <c r="A48" s="20"/>
      <c r="B48" s="20"/>
      <c r="C48" s="20"/>
      <c r="E48" s="206"/>
    </row>
    <row r="49" spans="1:6" x14ac:dyDescent="0.25">
      <c r="A49" s="20"/>
      <c r="B49" s="20"/>
      <c r="C49" s="20"/>
      <c r="E49" s="206"/>
    </row>
    <row r="50" spans="1:6" x14ac:dyDescent="0.25">
      <c r="A50" s="20"/>
      <c r="B50" s="20"/>
      <c r="C50" s="20"/>
      <c r="E50" s="206"/>
    </row>
    <row r="51" spans="1:6" x14ac:dyDescent="0.25">
      <c r="A51" s="20"/>
      <c r="B51" s="20"/>
      <c r="C51" s="20"/>
    </row>
    <row r="52" spans="1:6" x14ac:dyDescent="0.25">
      <c r="A52" s="20"/>
      <c r="B52" s="20"/>
      <c r="C52" s="20"/>
    </row>
    <row r="56" spans="1:6" ht="15.75" x14ac:dyDescent="0.25">
      <c r="A56" s="238" t="s">
        <v>871</v>
      </c>
      <c r="B56" s="216"/>
      <c r="C56" s="216"/>
      <c r="D56" s="216"/>
    </row>
    <row r="57" spans="1:6" x14ac:dyDescent="0.25">
      <c r="A57" s="251" t="s">
        <v>88</v>
      </c>
      <c r="B57" s="236"/>
    </row>
    <row r="58" spans="1:6" x14ac:dyDescent="0.25">
      <c r="A58" s="217" t="s">
        <v>89</v>
      </c>
      <c r="B58" s="217" t="s">
        <v>90</v>
      </c>
      <c r="C58" s="217" t="s">
        <v>91</v>
      </c>
      <c r="D58" s="217"/>
      <c r="E58" s="217"/>
      <c r="F58" s="217"/>
    </row>
    <row r="59" spans="1:6" x14ac:dyDescent="0.25">
      <c r="A59" s="20"/>
      <c r="B59" s="20"/>
      <c r="C59" s="20"/>
    </row>
    <row r="60" spans="1:6" x14ac:dyDescent="0.25">
      <c r="A60" s="20"/>
      <c r="B60" s="20"/>
      <c r="C60" s="20"/>
    </row>
    <row r="61" spans="1:6" x14ac:dyDescent="0.25">
      <c r="A61" s="20"/>
      <c r="B61" s="20"/>
      <c r="C61" s="20"/>
    </row>
    <row r="62" spans="1:6" x14ac:dyDescent="0.25">
      <c r="A62" s="20"/>
      <c r="B62" s="20"/>
      <c r="C62" s="20"/>
    </row>
    <row r="63" spans="1:6" x14ac:dyDescent="0.25">
      <c r="A63" s="20"/>
      <c r="B63" s="20"/>
      <c r="C63" s="20"/>
    </row>
    <row r="64" spans="1:6" x14ac:dyDescent="0.25">
      <c r="A64" s="20"/>
      <c r="B64" s="20"/>
      <c r="C64" s="20"/>
    </row>
    <row r="65" spans="1:6" x14ac:dyDescent="0.25">
      <c r="A65" s="20"/>
      <c r="B65" s="20"/>
      <c r="C65" s="20"/>
    </row>
    <row r="66" spans="1:6" x14ac:dyDescent="0.25">
      <c r="A66" s="20"/>
      <c r="B66" s="20"/>
      <c r="C66" s="20"/>
    </row>
    <row r="67" spans="1:6" x14ac:dyDescent="0.25">
      <c r="A67" s="20"/>
      <c r="B67" s="20"/>
      <c r="C67" s="20"/>
      <c r="D67" s="217"/>
      <c r="E67" s="217"/>
      <c r="F67" s="217"/>
    </row>
    <row r="68" spans="1:6" x14ac:dyDescent="0.25">
      <c r="A68" s="20"/>
      <c r="B68" s="20"/>
      <c r="C68" s="20"/>
    </row>
    <row r="71" spans="1:6" x14ac:dyDescent="0.25">
      <c r="A71" s="251" t="s">
        <v>862</v>
      </c>
      <c r="B71" s="236"/>
    </row>
    <row r="72" spans="1:6" x14ac:dyDescent="0.25">
      <c r="A72" s="217" t="s">
        <v>89</v>
      </c>
      <c r="B72" s="217" t="s">
        <v>94</v>
      </c>
      <c r="C72" s="217" t="s">
        <v>52</v>
      </c>
    </row>
    <row r="73" spans="1:6" x14ac:dyDescent="0.25">
      <c r="A73" s="20"/>
      <c r="B73" s="20"/>
      <c r="C73" s="20"/>
    </row>
    <row r="74" spans="1:6" x14ac:dyDescent="0.25">
      <c r="A74" s="20"/>
      <c r="B74" s="20"/>
      <c r="C74" s="20"/>
    </row>
    <row r="75" spans="1:6" x14ac:dyDescent="0.25">
      <c r="A75" s="20"/>
      <c r="B75" s="20"/>
      <c r="C75" s="20"/>
    </row>
    <row r="76" spans="1:6" x14ac:dyDescent="0.25">
      <c r="A76" s="20"/>
      <c r="B76" s="20"/>
      <c r="C76" s="20"/>
      <c r="D76" s="217"/>
      <c r="E76" s="217"/>
      <c r="F76" s="217"/>
    </row>
    <row r="77" spans="1:6" x14ac:dyDescent="0.25">
      <c r="A77" s="20"/>
      <c r="B77" s="20"/>
      <c r="C77" s="20"/>
    </row>
    <row r="78" spans="1:6" x14ac:dyDescent="0.25">
      <c r="A78" s="20"/>
      <c r="B78" s="20"/>
      <c r="C78" s="20"/>
    </row>
    <row r="79" spans="1:6" x14ac:dyDescent="0.25">
      <c r="A79" s="20"/>
      <c r="B79" s="20"/>
      <c r="C79" s="20"/>
    </row>
    <row r="80" spans="1:6" x14ac:dyDescent="0.25">
      <c r="A80" s="20"/>
      <c r="B80" s="20"/>
      <c r="C80" s="20"/>
    </row>
    <row r="81" spans="1:3" x14ac:dyDescent="0.25">
      <c r="A81" s="20"/>
      <c r="B81" s="20"/>
      <c r="C81" s="20"/>
    </row>
    <row r="82" spans="1:3" x14ac:dyDescent="0.25">
      <c r="A82" s="20"/>
      <c r="B82" s="20"/>
      <c r="C82" s="20"/>
    </row>
    <row r="85" spans="1:3" x14ac:dyDescent="0.25">
      <c r="A85" s="251" t="s">
        <v>95</v>
      </c>
      <c r="B85" s="236"/>
    </row>
    <row r="86" spans="1:3" x14ac:dyDescent="0.25">
      <c r="A86" s="217" t="s">
        <v>89</v>
      </c>
      <c r="B86" s="217" t="s">
        <v>74</v>
      </c>
      <c r="C86" s="217" t="s">
        <v>96</v>
      </c>
    </row>
    <row r="87" spans="1:3" x14ac:dyDescent="0.25">
      <c r="A87" s="20"/>
      <c r="B87" s="20"/>
      <c r="C87" s="20"/>
    </row>
    <row r="88" spans="1:3" x14ac:dyDescent="0.25">
      <c r="A88" s="20"/>
      <c r="B88" s="20"/>
      <c r="C88" s="20"/>
    </row>
    <row r="89" spans="1:3" x14ac:dyDescent="0.25">
      <c r="A89" s="20"/>
      <c r="B89" s="20"/>
      <c r="C89" s="20"/>
    </row>
    <row r="90" spans="1:3" x14ac:dyDescent="0.25">
      <c r="A90" s="20"/>
      <c r="B90" s="20"/>
      <c r="C90" s="20"/>
    </row>
    <row r="91" spans="1:3" x14ac:dyDescent="0.25">
      <c r="A91" s="20"/>
      <c r="B91" s="20"/>
      <c r="C91" s="20"/>
    </row>
    <row r="92" spans="1:3" x14ac:dyDescent="0.25">
      <c r="A92" s="20"/>
      <c r="B92" s="20"/>
      <c r="C92" s="20"/>
    </row>
    <row r="93" spans="1:3" x14ac:dyDescent="0.25">
      <c r="A93" s="20"/>
      <c r="B93" s="20"/>
      <c r="C93" s="20"/>
    </row>
    <row r="94" spans="1:3" x14ac:dyDescent="0.25">
      <c r="A94" s="20"/>
      <c r="B94" s="20"/>
      <c r="C94" s="20"/>
    </row>
    <row r="95" spans="1:3" x14ac:dyDescent="0.25">
      <c r="A95" s="20"/>
      <c r="B95" s="20"/>
      <c r="C95" s="20"/>
    </row>
    <row r="96" spans="1:3" x14ac:dyDescent="0.25">
      <c r="A96" s="20"/>
      <c r="B96" s="20"/>
      <c r="C96" s="20"/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35023A6-D684-490E-A189-9DA6C3C49B8D}">
          <x14:formula1>
            <xm:f>Energia_fx!$E$11:$E$13</xm:f>
          </x14:formula1>
          <xm:sqref>C15:C24 C59:C68</xm:sqref>
        </x14:dataValidation>
        <x14:dataValidation type="list" allowBlank="1" showInputMessage="1" showErrorMessage="1" xr:uid="{CF50307E-738E-43D1-94AB-4B038A539B68}">
          <x14:formula1>
            <xm:f>Energia_fx!$E$44:$E$45</xm:f>
          </x14:formula1>
          <xm:sqref>B43:B52 B87:B96</xm:sqref>
        </x14:dataValidation>
        <x14:dataValidation type="list" allowBlank="1" showInputMessage="1" showErrorMessage="1" xr:uid="{8E97DFF9-0550-4615-AF62-0E6FEFC79A64}">
          <x14:formula1>
            <xm:f>Energia_fx!$E$11:$E$14</xm:f>
          </x14:formula1>
          <xm:sqref>C29:C38 C73:C82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7EBD5-2FD7-4C51-9B00-5D9F215EDEF5}">
  <sheetPr codeName="Sheet1">
    <tabColor theme="8"/>
  </sheetPr>
  <dimension ref="A1:S99"/>
  <sheetViews>
    <sheetView zoomScale="90" zoomScaleNormal="90" workbookViewId="0">
      <pane ySplit="2" topLeftCell="A13" activePane="bottomLeft" state="frozen"/>
      <selection activeCell="F29" sqref="F28:F29"/>
      <selection pane="bottomLeft" activeCell="F29" sqref="F28:F29"/>
    </sheetView>
  </sheetViews>
  <sheetFormatPr defaultRowHeight="15" x14ac:dyDescent="0.25"/>
  <cols>
    <col min="1" max="1" width="31.140625" customWidth="1"/>
    <col min="2" max="2" width="27.7109375" customWidth="1"/>
    <col min="3" max="3" width="21.7109375" customWidth="1"/>
    <col min="4" max="4" width="16" customWidth="1"/>
    <col min="5" max="5" width="9.5703125" customWidth="1"/>
    <col min="7" max="7" width="16.5703125" customWidth="1"/>
    <col min="8" max="8" width="25" customWidth="1"/>
    <col min="9" max="9" width="20.28515625" customWidth="1"/>
    <col min="10" max="10" width="16.28515625" customWidth="1"/>
    <col min="11" max="11" width="14.85546875" customWidth="1"/>
    <col min="12" max="13" width="12.28515625" customWidth="1"/>
    <col min="14" max="14" width="25" customWidth="1"/>
    <col min="15" max="15" width="17.140625" customWidth="1"/>
    <col min="16" max="16" width="16.7109375" customWidth="1"/>
    <col min="17" max="17" width="14" customWidth="1"/>
    <col min="18" max="18" width="14.28515625" customWidth="1"/>
    <col min="21" max="21" width="9.42578125" customWidth="1"/>
  </cols>
  <sheetData>
    <row r="1" spans="1:19" s="148" customFormat="1" ht="129" customHeight="1" x14ac:dyDescent="0.25"/>
    <row r="2" spans="1:19" s="1" customFormat="1" ht="35.25" customHeight="1" x14ac:dyDescent="0.4">
      <c r="A2" s="1" t="s">
        <v>102</v>
      </c>
    </row>
    <row r="3" spans="1:19" ht="15.75" thickBot="1" x14ac:dyDescent="0.3"/>
    <row r="4" spans="1:19" ht="18.75" x14ac:dyDescent="0.3">
      <c r="A4" s="2" t="s">
        <v>103</v>
      </c>
      <c r="G4" s="7" t="s">
        <v>104</v>
      </c>
      <c r="H4" s="8" t="s">
        <v>105</v>
      </c>
      <c r="I4" s="8" t="s">
        <v>106</v>
      </c>
      <c r="J4" s="9" t="s">
        <v>107</v>
      </c>
    </row>
    <row r="5" spans="1:19" ht="15.75" thickBot="1" x14ac:dyDescent="0.3">
      <c r="G5" s="10"/>
      <c r="H5" s="11">
        <v>1</v>
      </c>
      <c r="I5" s="11">
        <v>25</v>
      </c>
      <c r="J5" s="12">
        <v>298</v>
      </c>
    </row>
    <row r="7" spans="1:19" ht="21" x14ac:dyDescent="0.35">
      <c r="A7" s="3" t="s">
        <v>108</v>
      </c>
      <c r="N7" s="6" t="s">
        <v>109</v>
      </c>
    </row>
    <row r="8" spans="1:19" x14ac:dyDescent="0.25">
      <c r="A8" s="4" t="s">
        <v>110</v>
      </c>
      <c r="B8" s="5"/>
      <c r="C8" s="5"/>
      <c r="D8" s="5"/>
      <c r="N8" s="4" t="s">
        <v>111</v>
      </c>
      <c r="O8" s="5"/>
      <c r="P8" s="5"/>
      <c r="Q8" s="5"/>
      <c r="R8" s="5"/>
      <c r="S8" s="5"/>
    </row>
    <row r="9" spans="1:19" x14ac:dyDescent="0.25">
      <c r="A9" s="5" t="s">
        <v>112</v>
      </c>
      <c r="B9" s="5"/>
      <c r="C9" s="5"/>
      <c r="D9" s="5"/>
      <c r="N9" s="5" t="s">
        <v>113</v>
      </c>
      <c r="O9" s="5"/>
      <c r="P9" s="5"/>
      <c r="Q9" s="5"/>
      <c r="R9" s="5"/>
      <c r="S9" s="5"/>
    </row>
    <row r="10" spans="1:19" x14ac:dyDescent="0.25">
      <c r="A10" s="5" t="s">
        <v>114</v>
      </c>
      <c r="B10" s="5"/>
      <c r="C10" s="5"/>
      <c r="D10" s="5"/>
      <c r="N10" s="5" t="s">
        <v>115</v>
      </c>
      <c r="O10" s="5"/>
      <c r="P10" s="5"/>
      <c r="Q10" s="5"/>
      <c r="R10" s="5"/>
      <c r="S10" s="5"/>
    </row>
    <row r="11" spans="1:19" x14ac:dyDescent="0.25">
      <c r="A11" s="5" t="s">
        <v>116</v>
      </c>
      <c r="B11" s="5"/>
      <c r="C11" s="5"/>
      <c r="D11" s="5"/>
      <c r="N11" s="5" t="s">
        <v>117</v>
      </c>
      <c r="O11" s="5"/>
      <c r="P11" s="5"/>
      <c r="Q11" s="5"/>
      <c r="R11" s="5"/>
      <c r="S11" s="5"/>
    </row>
    <row r="13" spans="1:19" ht="15.75" x14ac:dyDescent="0.25">
      <c r="A13" s="47" t="s">
        <v>118</v>
      </c>
      <c r="N13" s="47" t="s">
        <v>119</v>
      </c>
    </row>
    <row r="14" spans="1:19" x14ac:dyDescent="0.25">
      <c r="A14" s="13" t="s">
        <v>120</v>
      </c>
    </row>
    <row r="15" spans="1:19" x14ac:dyDescent="0.25">
      <c r="A15" s="13"/>
    </row>
    <row r="16" spans="1:19" ht="15.75" x14ac:dyDescent="0.25">
      <c r="A16" s="47" t="s">
        <v>121</v>
      </c>
      <c r="N16" s="47" t="s">
        <v>122</v>
      </c>
    </row>
    <row r="17" spans="1:18" x14ac:dyDescent="0.25">
      <c r="A17" s="13" t="s">
        <v>123</v>
      </c>
      <c r="N17" s="13" t="s">
        <v>124</v>
      </c>
    </row>
    <row r="19" spans="1:18" ht="16.5" thickBot="1" x14ac:dyDescent="0.3">
      <c r="A19" s="49" t="s">
        <v>125</v>
      </c>
      <c r="N19" s="49" t="s">
        <v>126</v>
      </c>
    </row>
    <row r="20" spans="1:18" x14ac:dyDescent="0.25">
      <c r="A20" s="14" t="s">
        <v>127</v>
      </c>
      <c r="G20" s="30" t="s">
        <v>128</v>
      </c>
      <c r="H20" s="22"/>
      <c r="I20" s="23"/>
      <c r="J20" s="23"/>
      <c r="K20" s="23"/>
      <c r="L20" s="24"/>
      <c r="N20" s="14" t="s">
        <v>129</v>
      </c>
    </row>
    <row r="21" spans="1:18" x14ac:dyDescent="0.25">
      <c r="G21" s="25" t="s">
        <v>130</v>
      </c>
      <c r="H21" s="20"/>
      <c r="I21" s="20"/>
      <c r="J21" s="20"/>
      <c r="K21" s="20"/>
      <c r="L21" s="26"/>
    </row>
    <row r="22" spans="1:18" x14ac:dyDescent="0.25">
      <c r="A22" s="16" t="s">
        <v>131</v>
      </c>
      <c r="B22" s="17"/>
      <c r="G22" s="27"/>
      <c r="H22" s="20" t="s">
        <v>132</v>
      </c>
      <c r="I22" s="20" t="s">
        <v>133</v>
      </c>
      <c r="J22" s="20" t="s">
        <v>134</v>
      </c>
      <c r="K22" s="20"/>
      <c r="L22" s="26"/>
      <c r="N22" s="16" t="s">
        <v>131</v>
      </c>
      <c r="O22" s="17"/>
      <c r="P22" s="17"/>
    </row>
    <row r="23" spans="1:18" ht="30" x14ac:dyDescent="0.25">
      <c r="A23" s="17"/>
      <c r="B23" s="17" t="s">
        <v>108</v>
      </c>
      <c r="D23" s="15"/>
      <c r="G23" s="27"/>
      <c r="H23" s="20"/>
      <c r="I23" s="20" t="s">
        <v>135</v>
      </c>
      <c r="J23" s="20" t="s">
        <v>135</v>
      </c>
      <c r="K23" s="20"/>
      <c r="L23" s="26"/>
      <c r="N23" s="17"/>
      <c r="O23" s="17" t="s">
        <v>109</v>
      </c>
      <c r="P23" s="18" t="s">
        <v>136</v>
      </c>
      <c r="R23" s="339"/>
    </row>
    <row r="24" spans="1:18" x14ac:dyDescent="0.25">
      <c r="A24" s="17" t="s">
        <v>133</v>
      </c>
      <c r="B24" s="17">
        <v>0.2</v>
      </c>
      <c r="G24" s="404" t="s">
        <v>105</v>
      </c>
      <c r="H24" s="148" t="s">
        <v>137</v>
      </c>
      <c r="I24" s="148">
        <v>607</v>
      </c>
      <c r="J24" s="197" t="s">
        <v>138</v>
      </c>
      <c r="K24" s="148"/>
      <c r="L24" s="149"/>
      <c r="N24" s="17" t="s">
        <v>133</v>
      </c>
      <c r="O24" s="17">
        <v>0</v>
      </c>
      <c r="P24" s="17">
        <v>0</v>
      </c>
    </row>
    <row r="25" spans="1:18" x14ac:dyDescent="0.25">
      <c r="A25" s="17" t="s">
        <v>134</v>
      </c>
      <c r="B25" s="17">
        <v>0.5</v>
      </c>
      <c r="G25" s="404"/>
      <c r="H25" s="148" t="s">
        <v>139</v>
      </c>
      <c r="I25" s="148">
        <v>670</v>
      </c>
      <c r="J25" s="148">
        <v>707</v>
      </c>
      <c r="K25" s="148"/>
      <c r="L25" s="149"/>
      <c r="N25" s="17" t="s">
        <v>134</v>
      </c>
      <c r="O25" s="17">
        <v>0.4</v>
      </c>
      <c r="P25" s="17">
        <v>0.6</v>
      </c>
    </row>
    <row r="26" spans="1:18" x14ac:dyDescent="0.25">
      <c r="G26" s="404"/>
      <c r="H26" s="148" t="s">
        <v>140</v>
      </c>
      <c r="I26" s="197" t="s">
        <v>138</v>
      </c>
      <c r="J26" s="148">
        <v>707</v>
      </c>
      <c r="K26" s="148"/>
      <c r="L26" s="149"/>
    </row>
    <row r="27" spans="1:18" ht="15.75" x14ac:dyDescent="0.25">
      <c r="G27" s="404"/>
      <c r="H27" s="148" t="s">
        <v>141</v>
      </c>
      <c r="I27" s="148">
        <v>457</v>
      </c>
      <c r="J27" s="148">
        <v>457</v>
      </c>
      <c r="K27" s="148"/>
      <c r="L27" s="149"/>
      <c r="N27" s="49" t="s">
        <v>142</v>
      </c>
    </row>
    <row r="28" spans="1:18" ht="15.75" x14ac:dyDescent="0.25">
      <c r="A28" s="49" t="s">
        <v>143</v>
      </c>
      <c r="G28" s="404"/>
      <c r="H28" s="148" t="s">
        <v>144</v>
      </c>
      <c r="I28" s="148">
        <v>950</v>
      </c>
      <c r="J28" s="197" t="s">
        <v>138</v>
      </c>
      <c r="K28" s="148"/>
      <c r="L28" s="149"/>
    </row>
    <row r="29" spans="1:18" x14ac:dyDescent="0.25">
      <c r="G29" s="404"/>
      <c r="H29" s="148" t="s">
        <v>145</v>
      </c>
      <c r="I29" s="148">
        <v>950</v>
      </c>
      <c r="J29" s="197" t="s">
        <v>138</v>
      </c>
      <c r="K29" s="148"/>
      <c r="L29" s="149"/>
    </row>
    <row r="30" spans="1:18" x14ac:dyDescent="0.25">
      <c r="A30" s="16" t="s">
        <v>146</v>
      </c>
      <c r="B30" s="17"/>
      <c r="C30" s="17"/>
      <c r="G30" s="405" t="s">
        <v>107</v>
      </c>
      <c r="H30" s="36" t="s">
        <v>137</v>
      </c>
      <c r="I30" s="36">
        <f>J5*0.031</f>
        <v>9.2379999999999995</v>
      </c>
      <c r="J30" s="198" t="s">
        <v>138</v>
      </c>
      <c r="K30" s="31"/>
      <c r="L30" s="32"/>
      <c r="N30" s="16" t="s">
        <v>147</v>
      </c>
      <c r="O30" s="17"/>
      <c r="P30" s="17"/>
      <c r="Q30" s="17"/>
      <c r="R30" s="17"/>
    </row>
    <row r="31" spans="1:18" x14ac:dyDescent="0.25">
      <c r="A31" s="17"/>
      <c r="B31" s="17"/>
      <c r="C31" s="17"/>
      <c r="G31" s="405"/>
      <c r="H31" s="36" t="s">
        <v>139</v>
      </c>
      <c r="I31" s="36">
        <f>J5*0.034</f>
        <v>10.132000000000001</v>
      </c>
      <c r="J31" s="36">
        <f>J5*0.036</f>
        <v>10.728</v>
      </c>
      <c r="K31" s="31"/>
      <c r="L31" s="32"/>
      <c r="N31" s="17"/>
      <c r="O31" s="17" t="s">
        <v>148</v>
      </c>
      <c r="P31" s="17" t="s">
        <v>149</v>
      </c>
      <c r="Q31" s="17" t="s">
        <v>148</v>
      </c>
      <c r="R31" s="17" t="s">
        <v>149</v>
      </c>
    </row>
    <row r="32" spans="1:18" x14ac:dyDescent="0.25">
      <c r="A32" s="19" t="s">
        <v>150</v>
      </c>
      <c r="B32" s="19" t="s">
        <v>134</v>
      </c>
      <c r="C32" s="19" t="s">
        <v>151</v>
      </c>
      <c r="G32" s="405"/>
      <c r="H32" s="36" t="s">
        <v>140</v>
      </c>
      <c r="I32" s="198" t="s">
        <v>138</v>
      </c>
      <c r="J32" s="36">
        <f>J5*0.036</f>
        <v>10.728</v>
      </c>
      <c r="K32" s="31"/>
      <c r="L32" s="32"/>
      <c r="N32" s="19" t="s">
        <v>150</v>
      </c>
      <c r="O32" s="19" t="s">
        <v>134</v>
      </c>
      <c r="P32" s="19" t="s">
        <v>134</v>
      </c>
      <c r="Q32" s="19" t="s">
        <v>151</v>
      </c>
      <c r="R32" s="19" t="s">
        <v>151</v>
      </c>
    </row>
    <row r="33" spans="1:18" x14ac:dyDescent="0.25">
      <c r="A33" s="148" t="s">
        <v>152</v>
      </c>
      <c r="B33" s="148">
        <v>2391</v>
      </c>
      <c r="C33" s="148">
        <v>184</v>
      </c>
      <c r="G33" s="405"/>
      <c r="H33" s="37" t="s">
        <v>141</v>
      </c>
      <c r="I33" s="37">
        <f>J5*0.018</f>
        <v>5.3639999999999999</v>
      </c>
      <c r="J33" s="36">
        <f>J5*0.018</f>
        <v>5.3639999999999999</v>
      </c>
      <c r="K33" s="31"/>
      <c r="L33" s="32"/>
      <c r="N33" s="148" t="s">
        <v>152</v>
      </c>
      <c r="O33" s="148">
        <v>1284</v>
      </c>
      <c r="P33" s="148">
        <v>622</v>
      </c>
      <c r="Q33" s="148">
        <v>314</v>
      </c>
      <c r="R33" s="148">
        <v>305</v>
      </c>
    </row>
    <row r="34" spans="1:18" x14ac:dyDescent="0.25">
      <c r="A34" s="20" t="s">
        <v>153</v>
      </c>
      <c r="B34" s="20">
        <v>822</v>
      </c>
      <c r="C34" s="20">
        <v>94</v>
      </c>
      <c r="G34" s="405"/>
      <c r="H34" s="37" t="s">
        <v>144</v>
      </c>
      <c r="I34" s="37">
        <f>J5*0.049</f>
        <v>14.602</v>
      </c>
      <c r="J34" s="37" t="s">
        <v>138</v>
      </c>
      <c r="K34" s="31"/>
      <c r="L34" s="32"/>
      <c r="N34" s="20" t="s">
        <v>153</v>
      </c>
      <c r="O34" s="20">
        <v>210</v>
      </c>
      <c r="P34" s="20">
        <v>253</v>
      </c>
      <c r="Q34" s="20">
        <v>125</v>
      </c>
      <c r="R34" s="20">
        <v>125</v>
      </c>
    </row>
    <row r="35" spans="1:18" x14ac:dyDescent="0.25">
      <c r="A35" s="20" t="s">
        <v>154</v>
      </c>
      <c r="B35" s="20">
        <v>1223</v>
      </c>
      <c r="C35" s="20">
        <v>94</v>
      </c>
      <c r="G35" s="405"/>
      <c r="H35" s="36" t="s">
        <v>145</v>
      </c>
      <c r="I35" s="36">
        <f>J5*0.049</f>
        <v>14.602</v>
      </c>
      <c r="J35" s="36" t="s">
        <v>138</v>
      </c>
      <c r="K35" s="31"/>
      <c r="L35" s="32"/>
      <c r="N35" s="20" t="s">
        <v>154</v>
      </c>
      <c r="O35" s="20">
        <v>272</v>
      </c>
      <c r="P35" s="20">
        <v>253</v>
      </c>
      <c r="Q35" s="20">
        <v>125</v>
      </c>
      <c r="R35" s="20">
        <v>125</v>
      </c>
    </row>
    <row r="36" spans="1:18" x14ac:dyDescent="0.25">
      <c r="A36" s="20" t="s">
        <v>155</v>
      </c>
      <c r="B36" s="20">
        <v>807</v>
      </c>
      <c r="C36" s="20">
        <v>103</v>
      </c>
      <c r="G36" s="404" t="s">
        <v>106</v>
      </c>
      <c r="H36" s="153" t="s">
        <v>137</v>
      </c>
      <c r="I36" s="153">
        <f>I5*0.01</f>
        <v>0.25</v>
      </c>
      <c r="J36" s="153" t="s">
        <v>138</v>
      </c>
      <c r="K36" s="148"/>
      <c r="L36" s="149"/>
      <c r="N36" s="20" t="s">
        <v>155</v>
      </c>
      <c r="O36" s="20">
        <v>179</v>
      </c>
      <c r="P36" s="20">
        <v>305</v>
      </c>
      <c r="Q36" s="20">
        <v>132</v>
      </c>
      <c r="R36" s="20">
        <v>132</v>
      </c>
    </row>
    <row r="37" spans="1:18" x14ac:dyDescent="0.25">
      <c r="A37" s="148" t="s">
        <v>156</v>
      </c>
      <c r="B37" s="148">
        <v>2245</v>
      </c>
      <c r="C37" s="148">
        <v>213</v>
      </c>
      <c r="G37" s="404"/>
      <c r="H37" s="153" t="s">
        <v>139</v>
      </c>
      <c r="I37" s="153">
        <f>I5*0.01</f>
        <v>0.25</v>
      </c>
      <c r="J37" s="153">
        <f>I5*0.01</f>
        <v>0.25</v>
      </c>
      <c r="K37" s="148"/>
      <c r="L37" s="149"/>
      <c r="N37" s="148" t="s">
        <v>156</v>
      </c>
      <c r="O37" s="148">
        <v>720</v>
      </c>
      <c r="P37" s="148">
        <v>1000</v>
      </c>
      <c r="Q37" s="148">
        <v>273</v>
      </c>
      <c r="R37" s="148">
        <v>270</v>
      </c>
    </row>
    <row r="38" spans="1:18" x14ac:dyDescent="0.25">
      <c r="A38" s="148" t="s">
        <v>157</v>
      </c>
      <c r="B38" s="148">
        <v>2188</v>
      </c>
      <c r="C38" s="148">
        <v>282</v>
      </c>
      <c r="G38" s="404"/>
      <c r="H38" s="153" t="s">
        <v>140</v>
      </c>
      <c r="I38" s="153">
        <f>I5*0.01</f>
        <v>0.25</v>
      </c>
      <c r="J38" s="153">
        <f>I5*0.01</f>
        <v>0.25</v>
      </c>
      <c r="K38" s="148"/>
      <c r="L38" s="149"/>
      <c r="N38" s="148" t="s">
        <v>157</v>
      </c>
      <c r="O38" s="148">
        <v>1039</v>
      </c>
      <c r="P38" s="148">
        <v>1012</v>
      </c>
      <c r="Q38" s="148">
        <v>361</v>
      </c>
      <c r="R38" s="148">
        <v>358</v>
      </c>
    </row>
    <row r="39" spans="1:18" ht="30" x14ac:dyDescent="0.25">
      <c r="A39" s="148" t="s">
        <v>158</v>
      </c>
      <c r="B39" s="148">
        <v>2522</v>
      </c>
      <c r="C39" s="148">
        <v>309</v>
      </c>
      <c r="G39" s="404"/>
      <c r="H39" s="154" t="s">
        <v>159</v>
      </c>
      <c r="I39" s="148">
        <f>I5*5.5</f>
        <v>137.5</v>
      </c>
      <c r="J39" s="148">
        <f>I5*8.5</f>
        <v>212.5</v>
      </c>
      <c r="K39" s="148"/>
      <c r="L39" s="149"/>
      <c r="N39" s="148" t="s">
        <v>158</v>
      </c>
      <c r="O39" s="148">
        <v>652</v>
      </c>
      <c r="P39" s="148">
        <v>682</v>
      </c>
      <c r="Q39" s="148">
        <v>403</v>
      </c>
      <c r="R39" s="148">
        <v>400</v>
      </c>
    </row>
    <row r="40" spans="1:18" ht="30" x14ac:dyDescent="0.25">
      <c r="A40" s="148" t="s">
        <v>160</v>
      </c>
      <c r="B40" s="148">
        <v>2327</v>
      </c>
      <c r="C40" s="148">
        <v>333</v>
      </c>
      <c r="G40" s="404"/>
      <c r="H40" s="154" t="s">
        <v>161</v>
      </c>
      <c r="I40" s="148">
        <f>I5*2.5</f>
        <v>62.5</v>
      </c>
      <c r="J40" s="148" t="s">
        <v>138</v>
      </c>
      <c r="K40" s="148"/>
      <c r="L40" s="149"/>
      <c r="N40" s="148" t="s">
        <v>160</v>
      </c>
      <c r="O40" s="148">
        <v>1048</v>
      </c>
      <c r="P40" s="148">
        <v>1091</v>
      </c>
      <c r="Q40" s="148">
        <v>461</v>
      </c>
      <c r="R40" s="148">
        <v>457</v>
      </c>
    </row>
    <row r="41" spans="1:18" x14ac:dyDescent="0.25">
      <c r="A41" s="148" t="s">
        <v>162</v>
      </c>
      <c r="B41" s="148">
        <v>4487</v>
      </c>
      <c r="C41" s="148">
        <v>473</v>
      </c>
      <c r="G41" s="404"/>
      <c r="H41" s="148" t="s">
        <v>163</v>
      </c>
      <c r="I41" s="148">
        <f>I5*0.2</f>
        <v>5</v>
      </c>
      <c r="J41" s="148" t="s">
        <v>138</v>
      </c>
      <c r="K41" s="148"/>
      <c r="L41" s="149"/>
      <c r="N41" s="148" t="s">
        <v>162</v>
      </c>
      <c r="O41" s="148">
        <v>1107</v>
      </c>
      <c r="P41" s="148">
        <v>967</v>
      </c>
      <c r="Q41" s="148">
        <v>579</v>
      </c>
      <c r="R41" s="148">
        <v>572</v>
      </c>
    </row>
    <row r="42" spans="1:18" x14ac:dyDescent="0.25">
      <c r="A42" s="148" t="s">
        <v>164</v>
      </c>
      <c r="B42" s="148">
        <v>2771</v>
      </c>
      <c r="C42" s="148">
        <v>543</v>
      </c>
      <c r="G42" s="404"/>
      <c r="H42" s="148" t="s">
        <v>165</v>
      </c>
      <c r="I42" s="148">
        <f>I5*4.1</f>
        <v>102.49999999999999</v>
      </c>
      <c r="J42" s="148" t="s">
        <v>138</v>
      </c>
      <c r="K42" s="148"/>
      <c r="L42" s="149"/>
      <c r="N42" s="148" t="s">
        <v>164</v>
      </c>
      <c r="O42" s="148">
        <v>930</v>
      </c>
      <c r="P42" s="148">
        <v>1565</v>
      </c>
      <c r="Q42" s="148">
        <v>643</v>
      </c>
      <c r="R42" s="148">
        <v>640</v>
      </c>
    </row>
    <row r="43" spans="1:18" x14ac:dyDescent="0.25">
      <c r="A43" s="148" t="s">
        <v>166</v>
      </c>
      <c r="B43" s="148">
        <v>2721</v>
      </c>
      <c r="C43" s="148">
        <v>470</v>
      </c>
      <c r="G43" s="404"/>
      <c r="H43" s="148" t="s">
        <v>144</v>
      </c>
      <c r="I43" s="148">
        <f>I5*0.002</f>
        <v>0.05</v>
      </c>
      <c r="J43" s="148" t="s">
        <v>138</v>
      </c>
      <c r="K43" s="148"/>
      <c r="L43" s="149"/>
      <c r="N43" s="148" t="s">
        <v>166</v>
      </c>
      <c r="O43" s="148">
        <v>845</v>
      </c>
      <c r="P43" s="148">
        <v>1000</v>
      </c>
      <c r="Q43" s="148">
        <v>623</v>
      </c>
      <c r="R43" s="148">
        <v>619</v>
      </c>
    </row>
    <row r="44" spans="1:18" x14ac:dyDescent="0.25">
      <c r="A44" s="148" t="s">
        <v>167</v>
      </c>
      <c r="B44" s="148">
        <v>3262</v>
      </c>
      <c r="C44" s="148">
        <v>456</v>
      </c>
      <c r="G44" s="404"/>
      <c r="H44" s="153" t="s">
        <v>145</v>
      </c>
      <c r="I44" s="153">
        <f>I5*0.002</f>
        <v>0.05</v>
      </c>
      <c r="J44" s="153" t="s">
        <v>138</v>
      </c>
      <c r="K44" s="329"/>
      <c r="L44" s="330"/>
      <c r="N44" s="148" t="s">
        <v>167</v>
      </c>
      <c r="O44" s="148">
        <v>1289</v>
      </c>
      <c r="P44" s="148">
        <v>1210</v>
      </c>
      <c r="Q44" s="148">
        <v>629</v>
      </c>
      <c r="R44" s="148">
        <v>628</v>
      </c>
    </row>
    <row r="45" spans="1:18" x14ac:dyDescent="0.25">
      <c r="A45" s="148" t="s">
        <v>168</v>
      </c>
      <c r="B45" s="148">
        <v>2236</v>
      </c>
      <c r="C45" s="148">
        <v>512</v>
      </c>
      <c r="G45" s="35"/>
      <c r="H45" s="21"/>
      <c r="I45" s="21"/>
      <c r="J45" s="21"/>
      <c r="L45" s="28"/>
      <c r="N45" s="148" t="s">
        <v>168</v>
      </c>
      <c r="O45" s="148">
        <v>1001</v>
      </c>
      <c r="P45" s="148">
        <v>1044</v>
      </c>
      <c r="Q45" s="148">
        <v>574</v>
      </c>
      <c r="R45" s="148">
        <v>573</v>
      </c>
    </row>
    <row r="46" spans="1:18" x14ac:dyDescent="0.25">
      <c r="A46" s="148" t="s">
        <v>169</v>
      </c>
      <c r="B46" s="148">
        <v>1925</v>
      </c>
      <c r="C46" s="148">
        <v>432</v>
      </c>
      <c r="G46" s="33" t="s">
        <v>170</v>
      </c>
      <c r="H46" s="31" t="s">
        <v>171</v>
      </c>
      <c r="I46" s="31">
        <v>0.69</v>
      </c>
      <c r="J46" s="31"/>
      <c r="K46" s="31"/>
      <c r="L46" s="32"/>
      <c r="N46" s="148" t="s">
        <v>169</v>
      </c>
      <c r="O46" s="148">
        <v>998</v>
      </c>
      <c r="P46" s="148">
        <v>1096</v>
      </c>
      <c r="Q46" s="148">
        <v>588</v>
      </c>
      <c r="R46" s="148">
        <v>588</v>
      </c>
    </row>
    <row r="47" spans="1:18" x14ac:dyDescent="0.25">
      <c r="A47" s="148" t="s">
        <v>172</v>
      </c>
      <c r="B47" s="148">
        <v>2535</v>
      </c>
      <c r="C47" s="148">
        <v>423</v>
      </c>
      <c r="F47" s="28"/>
      <c r="G47" s="326"/>
      <c r="H47" s="327"/>
      <c r="I47" s="327"/>
      <c r="J47" s="327"/>
      <c r="K47" s="327"/>
      <c r="L47" s="328"/>
      <c r="N47" s="148" t="s">
        <v>172</v>
      </c>
      <c r="O47" s="148">
        <v>1300</v>
      </c>
      <c r="P47" s="148">
        <v>1583</v>
      </c>
      <c r="Q47" s="148">
        <v>574</v>
      </c>
      <c r="R47" s="148">
        <v>587</v>
      </c>
    </row>
    <row r="48" spans="1:18" x14ac:dyDescent="0.25">
      <c r="A48" s="148" t="s">
        <v>173</v>
      </c>
      <c r="B48" s="148">
        <v>2988</v>
      </c>
      <c r="C48" s="148">
        <v>597</v>
      </c>
      <c r="G48" s="29"/>
      <c r="K48" s="188" t="s">
        <v>174</v>
      </c>
      <c r="L48" s="56"/>
      <c r="N48" s="148" t="s">
        <v>173</v>
      </c>
      <c r="O48" s="148">
        <v>1725</v>
      </c>
      <c r="P48" s="148">
        <v>1725</v>
      </c>
      <c r="Q48" s="148">
        <v>672</v>
      </c>
      <c r="R48" s="148">
        <v>672</v>
      </c>
    </row>
    <row r="49" spans="1:18" x14ac:dyDescent="0.25">
      <c r="A49" s="148" t="s">
        <v>175</v>
      </c>
      <c r="B49" s="148">
        <v>3604</v>
      </c>
      <c r="C49" s="148">
        <v>346</v>
      </c>
      <c r="G49" s="404" t="s">
        <v>105</v>
      </c>
      <c r="H49" s="153" t="s">
        <v>176</v>
      </c>
      <c r="I49" s="153">
        <v>647</v>
      </c>
      <c r="J49" s="197" t="s">
        <v>138</v>
      </c>
      <c r="K49" s="331">
        <f t="shared" ref="K49:K63" si="0">I49+$I$64+$I$65</f>
        <v>649.77557779537767</v>
      </c>
      <c r="L49" s="332"/>
      <c r="N49" s="148" t="s">
        <v>175</v>
      </c>
      <c r="O49" s="148">
        <v>1317</v>
      </c>
      <c r="P49" s="148">
        <v>1015</v>
      </c>
      <c r="Q49" s="148">
        <v>573</v>
      </c>
      <c r="R49" s="148">
        <v>547</v>
      </c>
    </row>
    <row r="50" spans="1:18" x14ac:dyDescent="0.25">
      <c r="A50" s="148" t="s">
        <v>177</v>
      </c>
      <c r="B50" s="148">
        <v>2820</v>
      </c>
      <c r="C50" s="148">
        <v>429</v>
      </c>
      <c r="G50" s="404"/>
      <c r="H50" s="153" t="s">
        <v>178</v>
      </c>
      <c r="I50" s="153">
        <v>647</v>
      </c>
      <c r="J50" s="197" t="s">
        <v>138</v>
      </c>
      <c r="K50" s="331">
        <f t="shared" si="0"/>
        <v>649.77557779537767</v>
      </c>
      <c r="L50" s="332"/>
      <c r="N50" s="148" t="s">
        <v>177</v>
      </c>
      <c r="O50" s="148">
        <v>1600</v>
      </c>
      <c r="P50" s="148">
        <v>1133</v>
      </c>
      <c r="Q50" s="148">
        <v>697</v>
      </c>
      <c r="R50" s="148">
        <v>697</v>
      </c>
    </row>
    <row r="51" spans="1:18" x14ac:dyDescent="0.25">
      <c r="A51" s="148" t="s">
        <v>179</v>
      </c>
      <c r="B51" s="148">
        <v>2100</v>
      </c>
      <c r="C51" s="148">
        <v>726</v>
      </c>
      <c r="G51" s="404"/>
      <c r="H51" s="148" t="s">
        <v>180</v>
      </c>
      <c r="I51" s="148">
        <v>682</v>
      </c>
      <c r="J51" s="197" t="s">
        <v>138</v>
      </c>
      <c r="K51" s="331">
        <f t="shared" si="0"/>
        <v>684.77557779537767</v>
      </c>
      <c r="L51" s="332"/>
      <c r="N51" s="148" t="s">
        <v>179</v>
      </c>
      <c r="O51" s="148">
        <v>1400</v>
      </c>
      <c r="P51" s="148">
        <v>1600</v>
      </c>
      <c r="Q51" s="148">
        <v>761</v>
      </c>
      <c r="R51" s="148">
        <v>761</v>
      </c>
    </row>
    <row r="52" spans="1:18" x14ac:dyDescent="0.25">
      <c r="A52" s="20" t="s">
        <v>181</v>
      </c>
      <c r="B52" s="20">
        <v>1060</v>
      </c>
      <c r="C52" s="20">
        <v>124</v>
      </c>
      <c r="G52" s="404"/>
      <c r="H52" s="153" t="s">
        <v>182</v>
      </c>
      <c r="I52" s="153">
        <v>710</v>
      </c>
      <c r="J52" s="153">
        <v>690</v>
      </c>
      <c r="K52" s="331">
        <f t="shared" si="0"/>
        <v>712.77557779537767</v>
      </c>
      <c r="L52" s="332">
        <f t="shared" ref="L52:L57" si="1">J52+$I$64+$I$65</f>
        <v>692.77557779537767</v>
      </c>
      <c r="N52" s="20" t="s">
        <v>181</v>
      </c>
      <c r="O52" s="20">
        <v>572</v>
      </c>
      <c r="P52" s="20">
        <v>180</v>
      </c>
      <c r="Q52" s="20">
        <v>160</v>
      </c>
      <c r="R52" s="20">
        <v>160</v>
      </c>
    </row>
    <row r="53" spans="1:18" x14ac:dyDescent="0.25">
      <c r="A53" s="148" t="s">
        <v>183</v>
      </c>
      <c r="B53" s="148">
        <v>202</v>
      </c>
      <c r="C53" s="148">
        <v>0</v>
      </c>
      <c r="G53" s="404"/>
      <c r="H53" s="153" t="s">
        <v>184</v>
      </c>
      <c r="I53" s="153">
        <v>710</v>
      </c>
      <c r="J53" s="153">
        <v>690</v>
      </c>
      <c r="K53" s="331">
        <f t="shared" si="0"/>
        <v>712.77557779537767</v>
      </c>
      <c r="L53" s="332">
        <f t="shared" si="1"/>
        <v>692.77557779537767</v>
      </c>
      <c r="N53" s="148" t="s">
        <v>183</v>
      </c>
      <c r="O53" s="148">
        <v>99</v>
      </c>
      <c r="P53" s="148">
        <v>76</v>
      </c>
      <c r="Q53" s="148">
        <v>0</v>
      </c>
      <c r="R53" s="148">
        <v>0</v>
      </c>
    </row>
    <row r="54" spans="1:18" x14ac:dyDescent="0.25">
      <c r="A54" s="20" t="s">
        <v>185</v>
      </c>
      <c r="B54" s="20">
        <v>2100</v>
      </c>
      <c r="C54" s="20">
        <v>65</v>
      </c>
      <c r="G54" s="404"/>
      <c r="H54" s="148" t="s">
        <v>186</v>
      </c>
      <c r="I54" s="148">
        <v>745</v>
      </c>
      <c r="J54" s="148">
        <v>722</v>
      </c>
      <c r="K54" s="331">
        <f t="shared" si="0"/>
        <v>747.77557779537767</v>
      </c>
      <c r="L54" s="332">
        <f t="shared" si="1"/>
        <v>724.77557779537767</v>
      </c>
      <c r="N54" s="20" t="s">
        <v>185</v>
      </c>
      <c r="O54" s="20">
        <v>467</v>
      </c>
      <c r="P54" s="20">
        <v>200</v>
      </c>
      <c r="Q54" s="20">
        <v>96</v>
      </c>
      <c r="R54" s="20">
        <v>96</v>
      </c>
    </row>
    <row r="55" spans="1:18" x14ac:dyDescent="0.25">
      <c r="A55" s="148" t="s">
        <v>187</v>
      </c>
      <c r="B55" s="148">
        <v>396</v>
      </c>
      <c r="C55" s="148">
        <v>148</v>
      </c>
      <c r="G55" s="404"/>
      <c r="H55" s="153" t="s">
        <v>188</v>
      </c>
      <c r="I55" s="153">
        <v>710</v>
      </c>
      <c r="J55" s="153">
        <v>690</v>
      </c>
      <c r="K55" s="331">
        <f t="shared" si="0"/>
        <v>712.77557779537767</v>
      </c>
      <c r="L55" s="332">
        <f t="shared" si="1"/>
        <v>692.77557779537767</v>
      </c>
      <c r="N55" s="148" t="s">
        <v>187</v>
      </c>
      <c r="O55" s="148">
        <v>229</v>
      </c>
      <c r="P55" s="148">
        <v>132</v>
      </c>
      <c r="Q55" s="148">
        <v>259</v>
      </c>
      <c r="R55" s="148">
        <v>251</v>
      </c>
    </row>
    <row r="56" spans="1:18" x14ac:dyDescent="0.25">
      <c r="A56" s="20" t="s">
        <v>189</v>
      </c>
      <c r="B56" s="20">
        <v>833</v>
      </c>
      <c r="C56" s="20">
        <v>136</v>
      </c>
      <c r="G56" s="404"/>
      <c r="H56" s="153" t="s">
        <v>190</v>
      </c>
      <c r="I56" s="153">
        <v>710</v>
      </c>
      <c r="J56" s="153">
        <v>690</v>
      </c>
      <c r="K56" s="331">
        <f t="shared" si="0"/>
        <v>712.77557779537767</v>
      </c>
      <c r="L56" s="332">
        <f t="shared" si="1"/>
        <v>692.77557779537767</v>
      </c>
      <c r="N56" s="20" t="s">
        <v>189</v>
      </c>
      <c r="O56" s="20">
        <v>967</v>
      </c>
      <c r="P56" s="20">
        <v>402</v>
      </c>
      <c r="Q56" s="20">
        <v>568</v>
      </c>
      <c r="R56" s="20">
        <v>255</v>
      </c>
    </row>
    <row r="57" spans="1:18" x14ac:dyDescent="0.25">
      <c r="A57" s="20" t="s">
        <v>191</v>
      </c>
      <c r="B57" s="20">
        <v>768</v>
      </c>
      <c r="C57" s="20">
        <v>144</v>
      </c>
      <c r="G57" s="404"/>
      <c r="H57" s="148" t="s">
        <v>192</v>
      </c>
      <c r="I57" s="148">
        <v>745</v>
      </c>
      <c r="J57" s="148">
        <v>722</v>
      </c>
      <c r="K57" s="331">
        <f t="shared" si="0"/>
        <v>747.77557779537767</v>
      </c>
      <c r="L57" s="332">
        <f t="shared" si="1"/>
        <v>724.77557779537767</v>
      </c>
      <c r="N57" s="20" t="s">
        <v>191</v>
      </c>
      <c r="O57" s="20">
        <v>605</v>
      </c>
      <c r="P57" s="20">
        <v>560</v>
      </c>
      <c r="Q57" s="20">
        <v>2586</v>
      </c>
      <c r="R57" s="20">
        <v>144</v>
      </c>
    </row>
    <row r="58" spans="1:18" x14ac:dyDescent="0.25">
      <c r="A58" s="20" t="s">
        <v>193</v>
      </c>
      <c r="B58" s="20">
        <v>801</v>
      </c>
      <c r="C58" s="20">
        <v>351</v>
      </c>
      <c r="G58" s="404"/>
      <c r="H58" s="153" t="s">
        <v>194</v>
      </c>
      <c r="I58" s="153">
        <v>1014</v>
      </c>
      <c r="J58" s="197" t="s">
        <v>138</v>
      </c>
      <c r="K58" s="331">
        <f t="shared" si="0"/>
        <v>1016.7755777953777</v>
      </c>
      <c r="L58" s="332"/>
      <c r="N58" s="20" t="s">
        <v>193</v>
      </c>
      <c r="O58" s="20">
        <v>679</v>
      </c>
      <c r="P58" s="20">
        <v>379</v>
      </c>
      <c r="Q58" s="20">
        <v>3421</v>
      </c>
      <c r="R58" s="20">
        <v>451</v>
      </c>
    </row>
    <row r="59" spans="1:18" x14ac:dyDescent="0.25">
      <c r="A59" s="20" t="s">
        <v>195</v>
      </c>
      <c r="B59" s="20">
        <v>719</v>
      </c>
      <c r="C59" s="20">
        <v>438</v>
      </c>
      <c r="G59" s="404"/>
      <c r="H59" s="153" t="s">
        <v>196</v>
      </c>
      <c r="I59" s="153">
        <v>1014</v>
      </c>
      <c r="J59" s="197" t="s">
        <v>138</v>
      </c>
      <c r="K59" s="331">
        <f t="shared" si="0"/>
        <v>1016.7755777953777</v>
      </c>
      <c r="L59" s="332"/>
      <c r="N59" s="20" t="s">
        <v>195</v>
      </c>
      <c r="O59" s="20">
        <v>724</v>
      </c>
      <c r="P59" s="20">
        <v>474</v>
      </c>
      <c r="Q59" s="20">
        <v>5030</v>
      </c>
      <c r="R59" s="20">
        <v>375</v>
      </c>
    </row>
    <row r="60" spans="1:18" x14ac:dyDescent="0.25">
      <c r="A60" s="20" t="s">
        <v>197</v>
      </c>
      <c r="B60" s="20">
        <v>1288</v>
      </c>
      <c r="C60" s="20">
        <v>191</v>
      </c>
      <c r="G60" s="404"/>
      <c r="H60" s="148" t="s">
        <v>198</v>
      </c>
      <c r="I60" s="148">
        <v>1067</v>
      </c>
      <c r="J60" s="197" t="s">
        <v>138</v>
      </c>
      <c r="K60" s="331">
        <f t="shared" si="0"/>
        <v>1069.7755777953776</v>
      </c>
      <c r="L60" s="332"/>
      <c r="N60" s="20" t="s">
        <v>197</v>
      </c>
      <c r="O60" s="20">
        <v>2509</v>
      </c>
      <c r="P60" s="20">
        <v>773</v>
      </c>
      <c r="Q60" s="20">
        <v>5843</v>
      </c>
      <c r="R60" s="20">
        <v>503</v>
      </c>
    </row>
    <row r="61" spans="1:18" x14ac:dyDescent="0.25">
      <c r="A61" s="20" t="s">
        <v>199</v>
      </c>
      <c r="B61" s="20">
        <v>1486</v>
      </c>
      <c r="C61" s="20">
        <v>720</v>
      </c>
      <c r="G61" s="404"/>
      <c r="H61" s="153" t="s">
        <v>200</v>
      </c>
      <c r="I61" s="153">
        <v>1014</v>
      </c>
      <c r="J61" s="197" t="s">
        <v>138</v>
      </c>
      <c r="K61" s="331">
        <f t="shared" si="0"/>
        <v>1016.7755777953777</v>
      </c>
      <c r="L61" s="332"/>
      <c r="N61" s="20" t="s">
        <v>199</v>
      </c>
      <c r="O61" s="20">
        <v>1171</v>
      </c>
      <c r="P61" s="20">
        <v>1080</v>
      </c>
      <c r="Q61" s="20">
        <v>6000</v>
      </c>
      <c r="R61" s="20">
        <v>840</v>
      </c>
    </row>
    <row r="62" spans="1:18" x14ac:dyDescent="0.25">
      <c r="A62" s="20" t="s">
        <v>201</v>
      </c>
      <c r="B62" s="20">
        <v>1404</v>
      </c>
      <c r="C62" s="20">
        <v>675</v>
      </c>
      <c r="G62" s="404"/>
      <c r="H62" s="153" t="s">
        <v>202</v>
      </c>
      <c r="I62" s="153">
        <v>1014</v>
      </c>
      <c r="J62" s="197" t="s">
        <v>138</v>
      </c>
      <c r="K62" s="331">
        <f t="shared" si="0"/>
        <v>1016.7755777953777</v>
      </c>
      <c r="L62" s="332"/>
      <c r="N62" s="20" t="s">
        <v>201</v>
      </c>
      <c r="O62" s="20">
        <v>1204</v>
      </c>
      <c r="P62" s="20">
        <v>1020</v>
      </c>
      <c r="Q62" s="20">
        <v>6380</v>
      </c>
      <c r="R62" s="20">
        <v>840</v>
      </c>
    </row>
    <row r="63" spans="1:18" x14ac:dyDescent="0.25">
      <c r="A63" s="20" t="s">
        <v>203</v>
      </c>
      <c r="B63" s="20" t="s">
        <v>138</v>
      </c>
      <c r="C63" s="20">
        <v>145</v>
      </c>
      <c r="G63" s="404"/>
      <c r="H63" s="148" t="s">
        <v>204</v>
      </c>
      <c r="I63" s="148">
        <v>1067</v>
      </c>
      <c r="J63" s="197" t="s">
        <v>138</v>
      </c>
      <c r="K63" s="331">
        <f t="shared" si="0"/>
        <v>1069.7755777953776</v>
      </c>
      <c r="L63" s="332"/>
      <c r="N63" s="20" t="s">
        <v>203</v>
      </c>
      <c r="O63" s="20" t="s">
        <v>138</v>
      </c>
      <c r="P63" s="20" t="s">
        <v>138</v>
      </c>
      <c r="Q63" s="20">
        <v>220</v>
      </c>
      <c r="R63" s="20">
        <v>220</v>
      </c>
    </row>
    <row r="64" spans="1:18" x14ac:dyDescent="0.25">
      <c r="G64" s="333" t="s">
        <v>107</v>
      </c>
      <c r="H64" s="31" t="s">
        <v>205</v>
      </c>
      <c r="I64" s="334">
        <f>0.002/0.27778*J5</f>
        <v>2.1455828353373172</v>
      </c>
      <c r="J64" s="334">
        <f>0.002/0.27778*J5</f>
        <v>2.1455828353373172</v>
      </c>
      <c r="K64" s="31"/>
      <c r="L64" s="32"/>
    </row>
    <row r="65" spans="1:12" ht="15.75" thickBot="1" x14ac:dyDescent="0.3">
      <c r="G65" s="335" t="s">
        <v>106</v>
      </c>
      <c r="H65" s="336" t="s">
        <v>205</v>
      </c>
      <c r="I65" s="337">
        <f>0.007/0.27778*I5</f>
        <v>0.62999496004031963</v>
      </c>
      <c r="J65" s="337">
        <f>0.007/0.27778*I5</f>
        <v>0.62999496004031963</v>
      </c>
      <c r="K65" s="336"/>
      <c r="L65" s="338"/>
    </row>
    <row r="66" spans="1:12" x14ac:dyDescent="0.25">
      <c r="A66" s="188" t="s">
        <v>206</v>
      </c>
      <c r="B66" s="188"/>
      <c r="C66" s="188"/>
    </row>
    <row r="67" spans="1:12" ht="30" x14ac:dyDescent="0.25">
      <c r="A67" s="17" t="s">
        <v>207</v>
      </c>
      <c r="B67" s="17" t="s">
        <v>208</v>
      </c>
      <c r="C67" s="18" t="s">
        <v>209</v>
      </c>
    </row>
    <row r="68" spans="1:12" x14ac:dyDescent="0.25">
      <c r="A68" s="148" t="s">
        <v>210</v>
      </c>
      <c r="B68" s="148">
        <v>0.3</v>
      </c>
      <c r="C68" s="148">
        <v>0.35</v>
      </c>
      <c r="G68" s="188" t="s">
        <v>211</v>
      </c>
      <c r="H68" s="188"/>
      <c r="I68" s="188"/>
    </row>
    <row r="69" spans="1:12" x14ac:dyDescent="0.25">
      <c r="A69" s="20" t="s">
        <v>212</v>
      </c>
      <c r="B69" s="20">
        <v>0.3</v>
      </c>
      <c r="C69" s="20">
        <v>0.39</v>
      </c>
      <c r="G69" s="17" t="s">
        <v>207</v>
      </c>
      <c r="H69" s="17" t="s">
        <v>213</v>
      </c>
      <c r="I69" s="18" t="s">
        <v>214</v>
      </c>
    </row>
    <row r="70" spans="1:12" x14ac:dyDescent="0.25">
      <c r="A70" s="148" t="s">
        <v>215</v>
      </c>
      <c r="B70" s="148">
        <v>0.25</v>
      </c>
      <c r="C70" s="148">
        <v>0.27</v>
      </c>
      <c r="G70" s="148" t="s">
        <v>210</v>
      </c>
      <c r="H70" s="148">
        <v>14.755000000000001</v>
      </c>
      <c r="I70" s="148">
        <v>0.60819999999999996</v>
      </c>
    </row>
    <row r="71" spans="1:12" x14ac:dyDescent="0.25">
      <c r="A71" s="20" t="s">
        <v>181</v>
      </c>
      <c r="B71" s="20">
        <v>0.23</v>
      </c>
      <c r="C71" s="20">
        <v>0.35</v>
      </c>
      <c r="G71" s="20" t="s">
        <v>212</v>
      </c>
      <c r="H71" s="20">
        <v>35.911999999999999</v>
      </c>
      <c r="I71" s="20">
        <v>0.52759999999999996</v>
      </c>
    </row>
    <row r="72" spans="1:12" x14ac:dyDescent="0.25">
      <c r="A72" s="148" t="s">
        <v>216</v>
      </c>
      <c r="B72" s="148">
        <v>0.24</v>
      </c>
      <c r="C72" s="148">
        <v>0.39</v>
      </c>
      <c r="G72" s="148" t="s">
        <v>215</v>
      </c>
      <c r="H72" s="148">
        <v>2.9165000000000001</v>
      </c>
      <c r="I72" s="148">
        <v>0.87190000000000001</v>
      </c>
    </row>
    <row r="73" spans="1:12" x14ac:dyDescent="0.25">
      <c r="A73" s="20" t="s">
        <v>217</v>
      </c>
      <c r="B73" s="20">
        <v>0.16</v>
      </c>
      <c r="C73" s="20">
        <v>0.27</v>
      </c>
      <c r="G73" s="20" t="s">
        <v>181</v>
      </c>
      <c r="H73" s="20">
        <v>5.5648200000000001</v>
      </c>
      <c r="I73" s="20">
        <v>0.74250000000000005</v>
      </c>
    </row>
    <row r="74" spans="1:12" x14ac:dyDescent="0.25">
      <c r="A74" s="148" t="s">
        <v>218</v>
      </c>
      <c r="B74" s="148">
        <v>0.39</v>
      </c>
      <c r="C74" s="148">
        <v>0.47</v>
      </c>
      <c r="G74" s="148" t="s">
        <v>216</v>
      </c>
      <c r="H74" s="148">
        <v>164.578</v>
      </c>
      <c r="I74" s="148">
        <v>0.435</v>
      </c>
    </row>
    <row r="75" spans="1:12" x14ac:dyDescent="0.25">
      <c r="A75" s="20" t="s">
        <v>219</v>
      </c>
      <c r="B75" s="20">
        <v>0.35</v>
      </c>
      <c r="C75" s="20">
        <v>0.18</v>
      </c>
      <c r="G75" s="20" t="s">
        <v>217</v>
      </c>
      <c r="H75" s="20">
        <v>9.5507799999999996</v>
      </c>
      <c r="I75" s="20">
        <v>0.75700000000000001</v>
      </c>
    </row>
    <row r="76" spans="1:12" x14ac:dyDescent="0.25">
      <c r="A76" s="148" t="s">
        <v>220</v>
      </c>
      <c r="B76" s="148">
        <v>0.1</v>
      </c>
      <c r="C76" s="148"/>
      <c r="G76" s="148" t="s">
        <v>218</v>
      </c>
      <c r="H76" s="148">
        <v>9.7589100000000002</v>
      </c>
      <c r="I76" s="148">
        <v>0.75270000000000004</v>
      </c>
    </row>
    <row r="77" spans="1:12" x14ac:dyDescent="0.25">
      <c r="G77" s="20" t="s">
        <v>219</v>
      </c>
      <c r="H77" s="20">
        <v>59.048999999999999</v>
      </c>
      <c r="I77" s="20">
        <v>0.54849999999999999</v>
      </c>
    </row>
    <row r="78" spans="1:12" x14ac:dyDescent="0.25">
      <c r="G78" s="148" t="s">
        <v>220</v>
      </c>
      <c r="H78" s="148">
        <v>54.217100000000002</v>
      </c>
      <c r="I78" s="148">
        <v>0.64200000000000002</v>
      </c>
    </row>
    <row r="83" spans="1:18" ht="18.75" x14ac:dyDescent="0.3">
      <c r="A83" s="2" t="s">
        <v>221</v>
      </c>
    </row>
    <row r="84" spans="1:18" x14ac:dyDescent="0.25">
      <c r="H84" s="42" t="s">
        <v>222</v>
      </c>
    </row>
    <row r="85" spans="1:18" x14ac:dyDescent="0.25">
      <c r="A85" t="s">
        <v>223</v>
      </c>
      <c r="H85" s="394" t="s">
        <v>224</v>
      </c>
      <c r="I85" s="394" t="s">
        <v>225</v>
      </c>
      <c r="J85" s="394" t="s">
        <v>226</v>
      </c>
    </row>
    <row r="86" spans="1:18" x14ac:dyDescent="0.25">
      <c r="A86" t="s">
        <v>227</v>
      </c>
      <c r="H86" t="s">
        <v>228</v>
      </c>
      <c r="I86" t="s">
        <v>229</v>
      </c>
      <c r="J86" t="s">
        <v>229</v>
      </c>
    </row>
    <row r="87" spans="1:18" ht="30" x14ac:dyDescent="0.25">
      <c r="A87" t="s">
        <v>230</v>
      </c>
      <c r="H87" s="15" t="s">
        <v>231</v>
      </c>
      <c r="I87" t="s">
        <v>181</v>
      </c>
      <c r="J87" t="s">
        <v>181</v>
      </c>
    </row>
    <row r="88" spans="1:18" x14ac:dyDescent="0.25">
      <c r="B88" t="s">
        <v>133</v>
      </c>
      <c r="C88" t="s">
        <v>134</v>
      </c>
      <c r="H88" t="s">
        <v>232</v>
      </c>
      <c r="I88" t="s">
        <v>233</v>
      </c>
      <c r="J88" t="s">
        <v>229</v>
      </c>
    </row>
    <row r="89" spans="1:18" x14ac:dyDescent="0.25">
      <c r="A89" t="s">
        <v>234</v>
      </c>
      <c r="B89" t="s">
        <v>235</v>
      </c>
      <c r="C89" t="s">
        <v>235</v>
      </c>
      <c r="H89" t="s">
        <v>236</v>
      </c>
      <c r="I89" t="s">
        <v>237</v>
      </c>
      <c r="J89" t="s">
        <v>238</v>
      </c>
    </row>
    <row r="90" spans="1:18" ht="15.75" customHeight="1" x14ac:dyDescent="0.25">
      <c r="A90" t="s">
        <v>239</v>
      </c>
      <c r="B90" t="s">
        <v>235</v>
      </c>
      <c r="C90" t="s">
        <v>235</v>
      </c>
      <c r="H90" t="s">
        <v>240</v>
      </c>
      <c r="I90" t="s">
        <v>241</v>
      </c>
      <c r="J90" t="s">
        <v>238</v>
      </c>
      <c r="N90" s="325"/>
      <c r="O90" s="325"/>
      <c r="P90" s="325"/>
      <c r="Q90" s="325"/>
      <c r="R90" s="325"/>
    </row>
    <row r="91" spans="1:18" x14ac:dyDescent="0.25">
      <c r="A91" t="s">
        <v>242</v>
      </c>
      <c r="B91" t="s">
        <v>235</v>
      </c>
      <c r="C91" t="s">
        <v>235</v>
      </c>
      <c r="H91" t="s">
        <v>243</v>
      </c>
      <c r="I91" t="s">
        <v>244</v>
      </c>
      <c r="J91" t="s">
        <v>238</v>
      </c>
      <c r="N91" s="325"/>
      <c r="O91" s="325"/>
      <c r="P91" s="325"/>
      <c r="Q91" s="325"/>
      <c r="R91" s="325"/>
    </row>
    <row r="92" spans="1:18" x14ac:dyDescent="0.25">
      <c r="A92" t="s">
        <v>245</v>
      </c>
      <c r="B92" t="s">
        <v>235</v>
      </c>
      <c r="C92" t="s">
        <v>246</v>
      </c>
      <c r="H92" t="s">
        <v>247</v>
      </c>
      <c r="I92" t="s">
        <v>248</v>
      </c>
      <c r="J92" t="s">
        <v>238</v>
      </c>
      <c r="N92" s="325"/>
      <c r="O92" s="325"/>
      <c r="P92" s="325"/>
      <c r="Q92" s="325"/>
      <c r="R92" s="325"/>
    </row>
    <row r="93" spans="1:18" x14ac:dyDescent="0.25">
      <c r="A93" t="s">
        <v>249</v>
      </c>
      <c r="B93" t="s">
        <v>235</v>
      </c>
      <c r="C93" t="s">
        <v>246</v>
      </c>
      <c r="H93" t="s">
        <v>250</v>
      </c>
      <c r="I93" t="s">
        <v>251</v>
      </c>
      <c r="J93" t="s">
        <v>251</v>
      </c>
      <c r="N93" s="325"/>
      <c r="O93" s="325"/>
      <c r="P93" s="325"/>
      <c r="Q93" s="325"/>
      <c r="R93" s="325"/>
    </row>
    <row r="94" spans="1:18" x14ac:dyDescent="0.25">
      <c r="A94" t="s">
        <v>252</v>
      </c>
      <c r="B94" t="s">
        <v>235</v>
      </c>
      <c r="C94" t="s">
        <v>246</v>
      </c>
      <c r="H94" t="s">
        <v>253</v>
      </c>
      <c r="I94" t="s">
        <v>254</v>
      </c>
      <c r="J94" t="s">
        <v>254</v>
      </c>
      <c r="N94" s="325"/>
      <c r="O94" s="325"/>
      <c r="P94" s="325"/>
      <c r="Q94" s="325"/>
      <c r="R94" s="325"/>
    </row>
    <row r="95" spans="1:18" x14ac:dyDescent="0.25">
      <c r="H95" t="s">
        <v>255</v>
      </c>
      <c r="I95" t="s">
        <v>187</v>
      </c>
      <c r="J95" t="s">
        <v>187</v>
      </c>
      <c r="N95" s="325"/>
      <c r="O95" s="325"/>
      <c r="P95" s="325"/>
      <c r="Q95" s="325"/>
      <c r="R95" s="325"/>
    </row>
    <row r="96" spans="1:18" x14ac:dyDescent="0.25">
      <c r="A96" s="5" t="s">
        <v>256</v>
      </c>
      <c r="B96" s="5"/>
      <c r="C96" s="5"/>
      <c r="D96" s="5"/>
      <c r="H96" t="s">
        <v>257</v>
      </c>
      <c r="I96" t="s">
        <v>258</v>
      </c>
      <c r="J96" t="s">
        <v>187</v>
      </c>
      <c r="N96" s="325"/>
      <c r="O96" s="325"/>
      <c r="P96" s="325"/>
      <c r="Q96" s="325"/>
      <c r="R96" s="325"/>
    </row>
    <row r="97" spans="1:10" x14ac:dyDescent="0.25">
      <c r="A97" s="39" t="s">
        <v>259</v>
      </c>
      <c r="H97" t="s">
        <v>260</v>
      </c>
      <c r="I97" t="s">
        <v>261</v>
      </c>
      <c r="J97" t="s">
        <v>261</v>
      </c>
    </row>
    <row r="98" spans="1:10" x14ac:dyDescent="0.25">
      <c r="H98" t="s">
        <v>262</v>
      </c>
      <c r="I98" t="s">
        <v>263</v>
      </c>
      <c r="J98" t="s">
        <v>263</v>
      </c>
    </row>
    <row r="99" spans="1:10" x14ac:dyDescent="0.25">
      <c r="H99" t="s">
        <v>264</v>
      </c>
      <c r="I99" t="s">
        <v>265</v>
      </c>
      <c r="J99" t="s">
        <v>265</v>
      </c>
    </row>
  </sheetData>
  <mergeCells count="4">
    <mergeCell ref="G24:G29"/>
    <mergeCell ref="G30:G35"/>
    <mergeCell ref="G36:G44"/>
    <mergeCell ref="G49:G63"/>
  </mergeCells>
  <phoneticPr fontId="19" type="noConversion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21409-9133-4C6C-9892-FB252C78173B}">
  <sheetPr>
    <tabColor theme="8"/>
  </sheetPr>
  <dimension ref="A1:AN703"/>
  <sheetViews>
    <sheetView zoomScaleNormal="100" workbookViewId="0">
      <selection activeCell="F29" sqref="F28:F29"/>
    </sheetView>
  </sheetViews>
  <sheetFormatPr defaultRowHeight="15" x14ac:dyDescent="0.25"/>
  <cols>
    <col min="1" max="1" width="20.7109375" customWidth="1"/>
    <col min="2" max="2" width="16.28515625" customWidth="1"/>
    <col min="3" max="3" width="14.7109375" customWidth="1"/>
    <col min="4" max="4" width="14" customWidth="1"/>
    <col min="5" max="5" width="18.140625" customWidth="1"/>
    <col min="6" max="6" width="13.5703125" customWidth="1"/>
    <col min="8" max="8" width="15.140625" customWidth="1"/>
    <col min="9" max="9" width="11.85546875" customWidth="1"/>
    <col min="10" max="10" width="14.140625" customWidth="1"/>
    <col min="11" max="11" width="14.85546875" customWidth="1"/>
    <col min="12" max="13" width="13" customWidth="1"/>
    <col min="14" max="14" width="16.28515625" customWidth="1"/>
    <col min="15" max="15" width="16.7109375" customWidth="1"/>
    <col min="17" max="17" width="21.28515625" customWidth="1"/>
    <col min="18" max="18" width="17.85546875" customWidth="1"/>
    <col min="19" max="19" width="18.42578125" customWidth="1"/>
    <col min="20" max="22" width="14.28515625" customWidth="1"/>
    <col min="23" max="23" width="19.85546875" customWidth="1"/>
    <col min="24" max="25" width="16.42578125" customWidth="1"/>
    <col min="26" max="26" width="11.140625" customWidth="1"/>
    <col min="27" max="27" width="11.7109375" customWidth="1"/>
    <col min="28" max="28" width="11.42578125" customWidth="1"/>
    <col min="29" max="29" width="12" customWidth="1"/>
    <col min="30" max="30" width="13.28515625" customWidth="1"/>
    <col min="31" max="31" width="12.42578125" customWidth="1"/>
    <col min="32" max="32" width="10.140625" customWidth="1"/>
    <col min="33" max="33" width="10.28515625" customWidth="1"/>
    <col min="34" max="36" width="11.85546875" customWidth="1"/>
    <col min="37" max="37" width="13.7109375" customWidth="1"/>
    <col min="38" max="38" width="20.7109375" customWidth="1"/>
    <col min="39" max="39" width="16.140625" customWidth="1"/>
    <col min="40" max="40" width="14.85546875" customWidth="1"/>
  </cols>
  <sheetData>
    <row r="1" spans="1:40" s="148" customFormat="1" ht="129" customHeight="1" x14ac:dyDescent="0.25"/>
    <row r="2" spans="1:40" s="1" customFormat="1" ht="35.25" customHeight="1" x14ac:dyDescent="0.4">
      <c r="A2" s="1" t="s">
        <v>102</v>
      </c>
      <c r="D2" s="199"/>
    </row>
    <row r="3" spans="1:40" s="200" customFormat="1" ht="27" customHeight="1" x14ac:dyDescent="0.3">
      <c r="A3" s="200" t="s">
        <v>84</v>
      </c>
      <c r="D3" s="200">
        <f>YHTEENVETO!D3</f>
        <v>2019</v>
      </c>
    </row>
    <row r="4" spans="1:40" s="209" customFormat="1" ht="18" x14ac:dyDescent="0.25">
      <c r="A4" s="232" t="str">
        <f>YHTEENVETO!A3</f>
        <v>X:n</v>
      </c>
      <c r="B4" s="233" t="s">
        <v>2</v>
      </c>
      <c r="D4" s="233" t="s">
        <v>266</v>
      </c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</row>
    <row r="5" spans="1:40" x14ac:dyDescent="0.25">
      <c r="A5" s="202"/>
      <c r="B5" s="202"/>
      <c r="C5" s="202"/>
      <c r="D5" s="202"/>
      <c r="E5" s="234"/>
      <c r="G5" s="202"/>
      <c r="H5" s="202"/>
      <c r="I5" s="202"/>
      <c r="J5" s="202"/>
      <c r="K5" s="202"/>
      <c r="L5" s="202"/>
      <c r="N5" s="202"/>
      <c r="O5" s="202"/>
      <c r="P5" s="202"/>
      <c r="S5" s="202"/>
    </row>
    <row r="6" spans="1:40" ht="15.75" x14ac:dyDescent="0.25">
      <c r="A6" s="5" t="s">
        <v>267</v>
      </c>
      <c r="B6" s="5"/>
      <c r="C6" s="5"/>
      <c r="D6" s="5"/>
      <c r="E6" s="5"/>
      <c r="F6" s="5"/>
      <c r="G6" s="5"/>
      <c r="H6" s="5"/>
      <c r="I6" s="268"/>
      <c r="K6" s="202"/>
      <c r="L6" s="202"/>
      <c r="N6" s="202"/>
      <c r="O6" s="202"/>
      <c r="P6" s="202"/>
      <c r="S6" s="202"/>
      <c r="AM6" s="253" t="s">
        <v>268</v>
      </c>
    </row>
    <row r="7" spans="1:40" ht="19.5" thickBot="1" x14ac:dyDescent="0.35">
      <c r="A7" s="5" t="s">
        <v>269</v>
      </c>
      <c r="B7" s="5"/>
      <c r="C7" s="5"/>
      <c r="D7" s="5"/>
      <c r="E7" s="5"/>
      <c r="F7" s="5"/>
      <c r="G7" s="5"/>
      <c r="H7" s="5"/>
      <c r="I7" s="268"/>
      <c r="K7" s="202"/>
      <c r="L7" s="202"/>
      <c r="N7" s="202"/>
      <c r="O7" s="202"/>
      <c r="P7" s="202"/>
      <c r="S7" s="202"/>
      <c r="AM7" s="254">
        <f>SUM(AN13:AN701)</f>
        <v>0</v>
      </c>
      <c r="AN7" t="s">
        <v>11</v>
      </c>
    </row>
    <row r="8" spans="1:40" ht="15.75" thickTop="1" x14ac:dyDescent="0.25">
      <c r="A8" s="202"/>
      <c r="B8" s="202"/>
      <c r="C8" s="202"/>
      <c r="D8" s="202"/>
      <c r="E8" s="234"/>
      <c r="G8" s="202"/>
      <c r="H8" s="202"/>
      <c r="I8" s="202"/>
      <c r="J8" s="202"/>
      <c r="K8" s="202"/>
      <c r="L8" s="202"/>
      <c r="N8" s="202"/>
      <c r="O8" s="202"/>
      <c r="P8" s="202"/>
      <c r="S8" s="202"/>
      <c r="AL8" s="42" t="s">
        <v>270</v>
      </c>
      <c r="AM8" s="206" t="e">
        <f>AM7/YHTEENVETO!O13</f>
        <v>#DIV/0!</v>
      </c>
      <c r="AN8" t="s">
        <v>11</v>
      </c>
    </row>
    <row r="9" spans="1:40" x14ac:dyDescent="0.25">
      <c r="A9" s="202"/>
      <c r="B9" s="202"/>
      <c r="C9" s="202"/>
      <c r="D9" s="202"/>
      <c r="E9" s="234"/>
      <c r="G9" s="202"/>
      <c r="H9" s="202"/>
      <c r="I9" s="202"/>
      <c r="J9" s="202"/>
      <c r="K9" s="202"/>
      <c r="L9" s="202"/>
      <c r="N9" s="202"/>
      <c r="O9" s="202"/>
      <c r="P9" s="202"/>
      <c r="S9" s="202"/>
    </row>
    <row r="10" spans="1:40" ht="15.75" x14ac:dyDescent="0.25">
      <c r="A10" s="238" t="s">
        <v>271</v>
      </c>
      <c r="B10" s="216"/>
      <c r="C10" s="216"/>
      <c r="D10" s="216"/>
      <c r="E10" s="270"/>
      <c r="G10" s="202"/>
      <c r="H10" s="202"/>
      <c r="I10" s="202"/>
      <c r="J10" s="202"/>
      <c r="K10" s="202"/>
      <c r="L10" s="202"/>
      <c r="N10" s="202"/>
      <c r="O10" s="202"/>
      <c r="P10" s="202"/>
      <c r="S10" s="202"/>
    </row>
    <row r="11" spans="1:40" ht="15.75" customHeight="1" thickBot="1" x14ac:dyDescent="0.3">
      <c r="A11" s="251" t="s">
        <v>272</v>
      </c>
      <c r="B11" s="236"/>
      <c r="C11" s="236"/>
      <c r="D11" s="236"/>
      <c r="E11" s="202"/>
      <c r="AN11" s="300"/>
    </row>
    <row r="12" spans="1:40" ht="45" customHeight="1" x14ac:dyDescent="0.25">
      <c r="A12" s="267" t="s">
        <v>273</v>
      </c>
      <c r="B12" s="267" t="s">
        <v>274</v>
      </c>
      <c r="C12" s="263" t="s">
        <v>275</v>
      </c>
      <c r="D12" s="267" t="s">
        <v>276</v>
      </c>
      <c r="E12" s="263" t="s">
        <v>277</v>
      </c>
      <c r="F12" s="267" t="s">
        <v>278</v>
      </c>
      <c r="G12" s="267" t="s">
        <v>279</v>
      </c>
      <c r="H12" s="267" t="s">
        <v>222</v>
      </c>
      <c r="I12" s="267" t="s">
        <v>280</v>
      </c>
      <c r="J12" s="267" t="s">
        <v>281</v>
      </c>
      <c r="K12" s="267" t="s">
        <v>282</v>
      </c>
      <c r="L12" s="279" t="s">
        <v>283</v>
      </c>
      <c r="N12" s="267" t="s">
        <v>284</v>
      </c>
      <c r="O12" s="279" t="s">
        <v>285</v>
      </c>
      <c r="P12" s="202"/>
      <c r="Q12" s="264" t="s">
        <v>222</v>
      </c>
      <c r="R12" s="264" t="s">
        <v>286</v>
      </c>
      <c r="S12" s="264" t="s">
        <v>287</v>
      </c>
      <c r="T12" s="264" t="s">
        <v>288</v>
      </c>
      <c r="U12" s="264" t="s">
        <v>289</v>
      </c>
      <c r="V12" s="264" t="s">
        <v>290</v>
      </c>
      <c r="W12" s="267" t="s">
        <v>291</v>
      </c>
      <c r="X12" s="264" t="s">
        <v>292</v>
      </c>
      <c r="Y12" s="264" t="s">
        <v>293</v>
      </c>
      <c r="Z12" s="264" t="s">
        <v>294</v>
      </c>
      <c r="AA12" s="264" t="s">
        <v>295</v>
      </c>
      <c r="AB12" s="264" t="s">
        <v>296</v>
      </c>
      <c r="AC12" s="264" t="s">
        <v>297</v>
      </c>
      <c r="AD12" s="264" t="s">
        <v>298</v>
      </c>
      <c r="AE12" s="264" t="s">
        <v>299</v>
      </c>
      <c r="AG12" s="264" t="s">
        <v>859</v>
      </c>
      <c r="AH12" s="264" t="s">
        <v>300</v>
      </c>
      <c r="AI12" s="264" t="s">
        <v>301</v>
      </c>
      <c r="AJ12" s="264" t="s">
        <v>302</v>
      </c>
      <c r="AK12" s="264" t="s">
        <v>303</v>
      </c>
      <c r="AL12" s="264" t="s">
        <v>304</v>
      </c>
      <c r="AM12" s="264" t="s">
        <v>305</v>
      </c>
      <c r="AN12" s="212" t="s">
        <v>306</v>
      </c>
    </row>
    <row r="13" spans="1:40" x14ac:dyDescent="0.25">
      <c r="A13" s="203">
        <f>Alukset_Käynnit!A20</f>
        <v>0</v>
      </c>
      <c r="B13" s="203">
        <f>Alukset_Käynnit!B20</f>
        <v>0</v>
      </c>
      <c r="C13" s="262">
        <f>Alukset_Käynnit!C20</f>
        <v>0</v>
      </c>
      <c r="D13" s="266">
        <f>Alukset_Käynnit!D20</f>
        <v>0</v>
      </c>
      <c r="E13" s="262">
        <f>Alukset_Käynnit!E20</f>
        <v>0</v>
      </c>
      <c r="F13" s="262">
        <f>Alukset_Käynnit!F20</f>
        <v>0</v>
      </c>
      <c r="G13" s="262">
        <f>Alukset_Käynnit!G20</f>
        <v>0</v>
      </c>
      <c r="H13" s="262">
        <f>Alukset_Käynnit!H20</f>
        <v>0</v>
      </c>
      <c r="I13" s="262">
        <f>Alukset_Käynnit!I20</f>
        <v>0</v>
      </c>
      <c r="J13" s="262">
        <f>Alukset_Käynnit!J20</f>
        <v>0</v>
      </c>
      <c r="K13" s="262">
        <f>Alukset_Käynnit!K20</f>
        <v>0</v>
      </c>
      <c r="L13" s="205">
        <f>Alukset_Käynnit!L20</f>
        <v>0</v>
      </c>
      <c r="N13" s="273">
        <f t="shared" ref="N13:N44" si="0">(B13-A13)*1440</f>
        <v>0</v>
      </c>
      <c r="O13" s="274">
        <f>N13/60</f>
        <v>0</v>
      </c>
      <c r="P13" s="202"/>
      <c r="Q13" s="204">
        <f>IF(H13="Muu kuivalasti","Other dry cargo",IF(H13="Muu kuivalastialus","Other dry cargo",IF(H13="Hinaaja","Tugboat",IF(H13="Proomu","Barge",IF(H13="Pusku-Proomu","Barge",IF(H13="Säiliöalus","Tanker",IF(H13="Ro-Ro-Matkustaja-Alus","RoPax",IF(H13="Irtolastialus","Bulk carrier",IF(H13="Kaasusäiliöalus","Gas tanker",IF(H13="Kemikaalisäiliöalus","Chemical tanker",IF(H13="Muu Alus","Other Vessel",IF(H13="Ro-Ro-Lastialus","RoRo",IF(H13="Öljysäiliöalus","Oil tanker",IF(H13="Ajoneuvojenkuljetusalus","Vehicle carrier",IF(H13="Kuiva Bulk","Dry bulk",IF(H13="Konttialus","Container ship",H13))))))))))))))))</f>
        <v>0</v>
      </c>
      <c r="R13" s="202">
        <f>IF(Q13="Other dry cargo",L13*Alukset_fx!$B$71,IF(OR(Q13="Dry bulk",Q13="Bulk carrier"),L13*Alukset_fx!$B$69,IF(Q13="Tugboat",L13*Alukset_fx!$B$76,IF(OR(Q13="Tanker",Q13="Gas tanker",Q13="Chemical tanker",Q13="Oil tanker"),L13*Alukset_fx!$B$68,IF(OR(Q13="RoRo",Q13="Vehicle carrier"),L13*Alukset_fx!$B$72,IF(Q13="RoPax",L13*Alukset_fx!$B$73,IF(Q13="Container ship",L13*Alukset_fx!$B$70,IF(Q13="Barge",0,L13*Alukset_fx!$B$75))))))))</f>
        <v>0</v>
      </c>
      <c r="S13" s="210">
        <f>IF(L13=0,IF(Q13="Other dry cargo",Alukset_fx!$H$73*(Alukset_Käynnit_Lask!K13^Alukset_fx!$I$73),IF(OR(Q13="Dry Bulk",Q13="Bulk carrier"),Alukset_fx!$H$71*(Alukset_Käynnit_Lask!K13^Alukset_fx!$I$71),IF(Q13="Tugboat",Alukset_fx!$H$78*(Alukset_Käynnit_Lask!K13^Alukset_fx!$I$78),IF(OR(Q13="Tanker",Q13="Gas tanker",Q13="Chemical tanker",Q13="Oil tanker"),Alukset_fx!$H$70*(Alukset_Käynnit_Lask!K13^Alukset_fx!$I$70),IF(Q13="Container ship",Alukset_fx!$H$72*(Alukset_Käynnit_Lask!K13^Alukset_fx!$I$72),IF(Q13="Barge",0,IF(Q13="RoPax",Alukset_fx!$H$75*(Alukset_Käynnit_Lask!K13^Alukset_fx!$I$75),IF(OR(Q13="RoRo",Q13="Vehicle carrier"),Alukset_fx!$H$74*(Alukset_Käynnit_Lask!K13^Alukset_fx!$I$74),Alukset_fx!$H$77*(Alukset_Käynnit_Lask!K13^Alukset_fx!$I$77))))))))),"-")</f>
        <v>0</v>
      </c>
      <c r="T13" s="202">
        <f>IF(R13=0,IF(Q13="Other dry cargo",S13*Alukset_fx!$B$71,IF(OR(Q13="Dry bulk",Q13="Bulk carrier"),S13*Alukset_fx!$B$69,IF(Q13="Tugboat",S13*Alukset_fx!$B$76,IF(OR(Q13="Tanker",Q13="Gas tanker",Q13="Chemical tanker",Q13="Oil tanker"),S13*Alukset_fx!$B$68,IF(OR(Q13="RoRo",Q13="Vehicle carrier"),S13*Alukset_fx!$B$72,IF(Q13="RoPax",S13*Alukset_fx!$B$73,IF(Q13="Container ship",S13*Alukset_fx!$B$70,S13*Alukset_fx!$B$75))))))),"-")</f>
        <v>0</v>
      </c>
      <c r="U13" s="208">
        <f>IF(L13=0,S13,L13)</f>
        <v>0</v>
      </c>
      <c r="V13" s="208">
        <f>IF(R13=0,T13,R13)</f>
        <v>0</v>
      </c>
      <c r="W13" s="202">
        <f>Alukset_Käynnit!N20</f>
        <v>0</v>
      </c>
      <c r="X13" s="211">
        <f>IF(Q13="Other dry cargo", Alukset_fx!$C$52, IF(OR(Q13="Dry bulk",Q13="Bulk carrier"),Alukset_fx!$C$35,IF(OR(Q13="Tanker",Q13="Gas tanker",Q13="Oil tanker"),Alukset_fx!$C$57,IF(Q13="Chemical tanker",Alukset_fx!$C$56,IF(OR(Q13="Tugboat",Q13="Barge"),0,IF(Q13="Other vessel",Alukset_fx!$C$54,IF(Q13="Container ship",Alukset_fx!$C$37,IF(OR(Q13="RoPax",Q13="RoRo",Q13="Vehicle carrier"),Alukset_fx!$C$55,0))))))))</f>
        <v>0</v>
      </c>
      <c r="Y13" s="211">
        <f>IF(Q13="Other dry cargo", Alukset_fx!$Q$52, IF(OR(Q13="Dry bulk",Q13="Bulk carrier"),Alukset_fx!$Q$35,IF(OR(Q13="Tanker",Q13="Gas tanker",Q13="Oil tanker"),Alukset_fx!$Q$57,IF(Q13="Chemical tanker",Alukset_fx!$Q$56,IF(OR(Q13="Tugboat",Q13="Barge"),0,IF(Q13="Other vessel",Alukset_fx!$Q$54,IF(Q13="Container ship",Alukset_fx!$Q$37,IF(OR(Q13="RoPax",Q13="RoRo",Q13="Vehicle carrier"),Alukset_fx!$Q$55,0))))))))</f>
        <v>0</v>
      </c>
      <c r="Z13" t="str">
        <f>IF(Q13="Barge","-","MDO/MGO")</f>
        <v>MDO/MGO</v>
      </c>
      <c r="AA13" t="str">
        <f>IF(Q13="Container ship","SSD",IF(Q13="Tugboat","HSD",IF(Q13="Barge","-","MSD")))</f>
        <v>MSD</v>
      </c>
      <c r="AB13" t="str">
        <f>IF(Q13="Barge","-","MDO/MGO")</f>
        <v>MDO/MGO</v>
      </c>
      <c r="AC13" t="str">
        <f>IF(Q13="Barge","-","MSD")</f>
        <v>MSD</v>
      </c>
      <c r="AD13" t="str">
        <f>IF(OR(Q13="Tugboat",Q13="Barge"),"-","MDO/MGO")</f>
        <v>MDO/MGO</v>
      </c>
      <c r="AE13" t="str">
        <f>IF(OR(Q13="Barge",Q13="Tugboat"),"-","ST")</f>
        <v>ST</v>
      </c>
      <c r="AG13">
        <f>Alukset_Käynnit!O20</f>
        <v>0</v>
      </c>
      <c r="AH13" s="207">
        <f>IF(AA13="SSD",((U13*Alukset_fx!$B$24)*Alukset_Käynnit_Lask!W13*(Alukset_fx!$K$49)/1000),IF(AA13="MSD",((U13*Alukset_fx!$B$24)*Alukset_Käynnit_Lask!W13*(Alukset_fx!$K$52)/1000),IF(AA13="HSD",((U13*Alukset_fx!$B$24)*Alukset_Käynnit_Lask!W13*(Alukset_fx!$K$55)/1000),0)))</f>
        <v>0</v>
      </c>
      <c r="AI13" s="207">
        <f>IF(AC13="MSD",((V13*Alukset_fx!$B$25)*Alukset_Käynnit_Lask!W13*(Alukset_fx!$L$52)/1000),IF(AC13="HSD",((V13*Alukset_fx!$B$25)*Alukset_Käynnit_Lask!W13*(Alukset_fx!$L$55)/1000),0))</f>
        <v>0</v>
      </c>
      <c r="AJ13" s="207">
        <f>X13*W13*Alukset_fx!$K$61/1000</f>
        <v>0</v>
      </c>
      <c r="AK13">
        <v>0</v>
      </c>
      <c r="AL13" s="207">
        <f>IF(AG13="Käytetty",0,IF(AC13="MSD",((V13*Alukset_fx!$O$25)*Alukset_Käynnit_Lask!O13*(Alukset_fx!$L$52)/1000),IF(AC13="HSD",((V13*Alukset_fx!$O$25)*Alukset_Käynnit_Lask!O13*(Alukset_fx!$L$55)/1000),0)))</f>
        <v>0</v>
      </c>
      <c r="AM13" s="207">
        <f>IF(AG13="Käytetty",0,Y13*O13*Alukset_fx!$K$61/1000)</f>
        <v>0</v>
      </c>
      <c r="AN13" s="213">
        <f>SUM(AH13:AM13)/1000</f>
        <v>0</v>
      </c>
    </row>
    <row r="14" spans="1:40" x14ac:dyDescent="0.25">
      <c r="A14" s="203">
        <f>Alukset_Käynnit!A21</f>
        <v>0</v>
      </c>
      <c r="B14" s="203">
        <f>Alukset_Käynnit!B21</f>
        <v>0</v>
      </c>
      <c r="C14" s="262">
        <f>Alukset_Käynnit!C21</f>
        <v>0</v>
      </c>
      <c r="D14" s="266">
        <f>Alukset_Käynnit!D21</f>
        <v>0</v>
      </c>
      <c r="E14" s="262">
        <f>Alukset_Käynnit!E21</f>
        <v>0</v>
      </c>
      <c r="F14" s="262">
        <f>Alukset_Käynnit!F21</f>
        <v>0</v>
      </c>
      <c r="G14" s="262">
        <f>Alukset_Käynnit!G21</f>
        <v>0</v>
      </c>
      <c r="H14" s="262">
        <f>Alukset_Käynnit!H21</f>
        <v>0</v>
      </c>
      <c r="I14" s="262">
        <f>Alukset_Käynnit!I21</f>
        <v>0</v>
      </c>
      <c r="J14" s="262">
        <f>Alukset_Käynnit!J21</f>
        <v>0</v>
      </c>
      <c r="K14" s="262">
        <f>Alukset_Käynnit!K21</f>
        <v>0</v>
      </c>
      <c r="L14" s="205">
        <f>Alukset_Käynnit!L21</f>
        <v>0</v>
      </c>
      <c r="N14" s="273">
        <f t="shared" si="0"/>
        <v>0</v>
      </c>
      <c r="O14" s="274">
        <f>N14/60</f>
        <v>0</v>
      </c>
      <c r="P14" s="202"/>
      <c r="Q14" s="204">
        <f t="shared" ref="Q14:Q77" si="1">IF(H14="Muu kuivalasti","Other dry cargo",IF(H14="Muu kuivalastialus","Other dry cargo",IF(H14="Hinaaja","Tugboat",IF(H14="Proomu","Barge",IF(H14="Pusku-Proomu","Barge",IF(H14="Säiliöalus","Tanker",IF(H14="Ro-Ro-Matkustaja-Alus","RoPax",IF(H14="Irtolastialus","Bulk carrier",IF(H14="Kaasusäiliöalus","Gas tanker",IF(H14="Kemikaalisäiliöalus","Chemical tanker",IF(H14="Muu Alus","Other Vessel",IF(H14="Ro-Ro-Lastialus","RoRo",IF(H14="Öljysäiliöalus","Oil tanker",IF(H14="Ajoneuvojenkuljetusalus","Vehicle carrier",IF(H14="Kuiva Bulk","Dry bulk",IF(H14="Konttialus","Container ship",H14))))))))))))))))</f>
        <v>0</v>
      </c>
      <c r="R14" s="202">
        <f>IF(Q14="Other dry cargo",L14*Alukset_fx!$B$71,IF(OR(Q14="Dry bulk",Q14="Bulk carrier"),L14*Alukset_fx!$B$69,IF(Q14="Tugboat",L14*Alukset_fx!$B$76,IF(OR(Q14="Tanker",Q14="Gas tanker",Q14="Chemical tanker",Q14="Oil tanker"),L14*Alukset_fx!$B$68,IF(OR(Q14="RoRo",Q14="Vehicle carrier"),L14*Alukset_fx!$B$72,IF(Q14="RoPax",L14*Alukset_fx!$B$73,IF(Q14="Container ship",L14*Alukset_fx!$B$70,IF(Q14="Barge",0,L14*Alukset_fx!$B$75))))))))</f>
        <v>0</v>
      </c>
      <c r="S14" s="210">
        <f>IF(L14=0,IF(Q14="Other dry cargo",Alukset_fx!$H$73*(Alukset_Käynnit_Lask!K14^Alukset_fx!$I$73),IF(OR(Q14="Dry Bulk",Q14="Bulk carrier"),Alukset_fx!$H$71*(Alukset_Käynnit_Lask!K14^Alukset_fx!$I$71),IF(Q14="Tugboat",Alukset_fx!$H$78*(Alukset_Käynnit_Lask!K14^Alukset_fx!$I$78),IF(OR(Q14="Tanker",Q14="Gas tanker",Q14="Chemical tanker",Q14="Oil tanker"),Alukset_fx!$H$70*(Alukset_Käynnit_Lask!K14^Alukset_fx!$I$70),IF(Q14="Container ship",Alukset_fx!$H$72*(Alukset_Käynnit_Lask!K14^Alukset_fx!$I$72),IF(Q14="Barge",0,IF(Q14="RoPax",Alukset_fx!$H$75*(Alukset_Käynnit_Lask!K14^Alukset_fx!$I$75),IF(OR(Q14="RoRo",Q14="Vehicle carrier"),Alukset_fx!$H$74*(Alukset_Käynnit_Lask!K14^Alukset_fx!$I$74),Alukset_fx!$H$77*(Alukset_Käynnit_Lask!K14^Alukset_fx!$I$77))))))))),"-")</f>
        <v>0</v>
      </c>
      <c r="T14" s="202">
        <f>IF(R14=0,IF(Q14="Other dry cargo",S14*Alukset_fx!$B$71,IF(OR(Q14="Dry bulk",Q14="Bulk carrier"),S14*Alukset_fx!$B$69,IF(Q14="Tugboat",S14*Alukset_fx!$B$76,IF(OR(Q14="Tanker",Q14="Gas tanker",Q14="Chemical tanker",Q14="Oil tanker"),S14*Alukset_fx!$B$68,IF(OR(Q14="RoRo",Q14="Vehicle carrier"),S14*Alukset_fx!$B$72,IF(Q14="RoPax",S14*Alukset_fx!$B$73,IF(Q14="Container ship",S14*Alukset_fx!$B$70,S14*Alukset_fx!$B$75))))))),"-")</f>
        <v>0</v>
      </c>
      <c r="U14" s="208">
        <f t="shared" ref="U14:U77" si="2">IF(L14=0,S14,L14)</f>
        <v>0</v>
      </c>
      <c r="V14" s="208">
        <f t="shared" ref="V14:V77" si="3">IF(R14=0,T14,R14)</f>
        <v>0</v>
      </c>
      <c r="W14" s="202">
        <f>Alukset_Käynnit!N21</f>
        <v>0</v>
      </c>
      <c r="X14" s="211">
        <f>IF(Q14="Other dry cargo", Alukset_fx!$C$52, IF(OR(Q14="Dry bulk",Q14="Bulk carrier"),Alukset_fx!$C$35,IF(OR(Q14="Tanker",Q14="Gas tanker",Q14="Oil tanker"),Alukset_fx!$C$57,IF(Q14="Chemical tanker",Alukset_fx!$C$56,IF(OR(Q14="Tugboat",Q14="Barge"),0,IF(Q14="Other vessel",Alukset_fx!$C$54,IF(Q14="Container ship",Alukset_fx!$C$37,IF(OR(Q14="RoPax",Q14="RoRo",Q14="Vehicle carrier"),Alukset_fx!$C$55,0))))))))</f>
        <v>0</v>
      </c>
      <c r="Y14" s="211">
        <f>IF(Q14="Other dry cargo", Alukset_fx!$Q$52, IF(OR(Q14="Dry bulk",Q14="Bulk carrier"),Alukset_fx!$Q$35,IF(OR(Q14="Tanker",Q14="Gas tanker",Q14="Oil tanker"),Alukset_fx!$Q$57,IF(Q14="Chemical tanker",Alukset_fx!$Q$56,IF(OR(Q14="Tugboat",Q14="Barge"),0,IF(Q14="Other vessel",Alukset_fx!$Q$54,IF(Q14="Container ship",Alukset_fx!$Q$37,IF(OR(Q14="RoPax",Q14="RoRo",Q14="Vehicle carrier"),Alukset_fx!$Q$55,0))))))))</f>
        <v>0</v>
      </c>
      <c r="Z14" t="str">
        <f t="shared" ref="Z14:Z77" si="4">IF(Q14="Barge","-","MDO/MGO")</f>
        <v>MDO/MGO</v>
      </c>
      <c r="AA14" t="str">
        <f t="shared" ref="AA14:AA77" si="5">IF(Q14="Container ship","SSD",IF(Q14="Tugboat","HSD",IF(Q14="Barge","-","MSD")))</f>
        <v>MSD</v>
      </c>
      <c r="AB14" t="str">
        <f t="shared" ref="AB14:AB77" si="6">IF(Q14="Barge","-","MDO/MGO")</f>
        <v>MDO/MGO</v>
      </c>
      <c r="AC14" t="str">
        <f t="shared" ref="AC14:AC77" si="7">IF(Q14="Barge","-","MSD")</f>
        <v>MSD</v>
      </c>
      <c r="AD14" t="str">
        <f t="shared" ref="AD14:AD77" si="8">IF(OR(Q14="Tugboat",Q14="Barge"),"-","MDO/MGO")</f>
        <v>MDO/MGO</v>
      </c>
      <c r="AE14" t="str">
        <f t="shared" ref="AE14:AE77" si="9">IF(OR(Q14="Barge",Q14="Tugboat"),"-","ST")</f>
        <v>ST</v>
      </c>
      <c r="AG14">
        <f>Alukset_Käynnit!O21</f>
        <v>0</v>
      </c>
      <c r="AH14" s="207">
        <f>IF(AA14="SSD",((U14*Alukset_fx!$B$24)*Alukset_Käynnit_Lask!W14*(Alukset_fx!$K$49)/1000),IF(AA14="MSD",((U14*Alukset_fx!$B$24)*Alukset_Käynnit_Lask!W14*(Alukset_fx!$K$52)/1000),IF(AA14="HSD",((U14*Alukset_fx!$B$24)*Alukset_Käynnit_Lask!W14*(Alukset_fx!$K$55)/1000),0)))</f>
        <v>0</v>
      </c>
      <c r="AI14" s="207">
        <f>IF(AC14="MSD",((V14*Alukset_fx!$B$25)*Alukset_Käynnit_Lask!W14*(Alukset_fx!$L$52)/1000),IF(AC14="HSD",((V14*Alukset_fx!$B$25)*Alukset_Käynnit_Lask!W14*(Alukset_fx!$L$55)/1000),0))</f>
        <v>0</v>
      </c>
      <c r="AJ14" s="207">
        <f>X14*W14*Alukset_fx!$K$61/1000</f>
        <v>0</v>
      </c>
      <c r="AK14">
        <v>0</v>
      </c>
      <c r="AL14" s="207">
        <f>IF(AG14="Käytetty",0,IF(AC14="MSD",((V14*Alukset_fx!$O$25)*Alukset_Käynnit_Lask!O14*(Alukset_fx!$L$52)/1000),IF(AC14="HSD",((V14*Alukset_fx!$O$25)*Alukset_Käynnit_Lask!O14*(Alukset_fx!$L$55)/1000),0)))</f>
        <v>0</v>
      </c>
      <c r="AM14" s="207">
        <f>IF(AG14="Käytetty",0,Y14*O14*Alukset_fx!$K$61/1000)</f>
        <v>0</v>
      </c>
      <c r="AN14" s="213">
        <f t="shared" ref="AN14:AN77" si="10">SUM(AH14:AM14)/1000</f>
        <v>0</v>
      </c>
    </row>
    <row r="15" spans="1:40" x14ac:dyDescent="0.25">
      <c r="A15" s="203">
        <f>Alukset_Käynnit!A22</f>
        <v>0</v>
      </c>
      <c r="B15" s="203">
        <f>Alukset_Käynnit!B22</f>
        <v>0</v>
      </c>
      <c r="C15" s="262">
        <f>Alukset_Käynnit!C22</f>
        <v>0</v>
      </c>
      <c r="D15" s="266">
        <f>Alukset_Käynnit!D22</f>
        <v>0</v>
      </c>
      <c r="E15" s="262">
        <f>Alukset_Käynnit!E22</f>
        <v>0</v>
      </c>
      <c r="F15" s="262">
        <f>Alukset_Käynnit!F22</f>
        <v>0</v>
      </c>
      <c r="G15" s="262">
        <f>Alukset_Käynnit!G22</f>
        <v>0</v>
      </c>
      <c r="H15" s="262">
        <f>Alukset_Käynnit!H22</f>
        <v>0</v>
      </c>
      <c r="I15" s="262">
        <f>Alukset_Käynnit!I22</f>
        <v>0</v>
      </c>
      <c r="J15" s="262">
        <f>Alukset_Käynnit!J22</f>
        <v>0</v>
      </c>
      <c r="K15" s="262">
        <f>Alukset_Käynnit!K22</f>
        <v>0</v>
      </c>
      <c r="L15" s="205">
        <f>Alukset_Käynnit!L22</f>
        <v>0</v>
      </c>
      <c r="N15" s="273">
        <f t="shared" si="0"/>
        <v>0</v>
      </c>
      <c r="O15" s="274">
        <f t="shared" ref="O15:O78" si="11">N15/60</f>
        <v>0</v>
      </c>
      <c r="P15" s="202"/>
      <c r="Q15" s="204">
        <f t="shared" si="1"/>
        <v>0</v>
      </c>
      <c r="R15" s="202">
        <f>IF(Q15="Other dry cargo",L15*Alukset_fx!$B$71,IF(OR(Q15="Dry bulk",Q15="Bulk carrier"),L15*Alukset_fx!$B$69,IF(Q15="Tugboat",L15*Alukset_fx!$B$76,IF(OR(Q15="Tanker",Q15="Gas tanker",Q15="Chemical tanker",Q15="Oil tanker"),L15*Alukset_fx!$B$68,IF(OR(Q15="RoRo",Q15="Vehicle carrier"),L15*Alukset_fx!$B$72,IF(Q15="RoPax",L15*Alukset_fx!$B$73,IF(Q15="Container ship",L15*Alukset_fx!$B$70,IF(Q15="Barge",0,L15*Alukset_fx!$B$75))))))))</f>
        <v>0</v>
      </c>
      <c r="S15" s="210">
        <f>IF(L15=0,IF(Q15="Other dry cargo",Alukset_fx!$H$73*(Alukset_Käynnit_Lask!K15^Alukset_fx!$I$73),IF(OR(Q15="Dry Bulk",Q15="Bulk carrier"),Alukset_fx!$H$71*(Alukset_Käynnit_Lask!K15^Alukset_fx!$I$71),IF(Q15="Tugboat",Alukset_fx!$H$78*(Alukset_Käynnit_Lask!K15^Alukset_fx!$I$78),IF(OR(Q15="Tanker",Q15="Gas tanker",Q15="Chemical tanker",Q15="Oil tanker"),Alukset_fx!$H$70*(Alukset_Käynnit_Lask!K15^Alukset_fx!$I$70),IF(Q15="Container ship",Alukset_fx!$H$72*(Alukset_Käynnit_Lask!K15^Alukset_fx!$I$72),IF(Q15="Barge",0,IF(Q15="RoPax",Alukset_fx!$H$75*(Alukset_Käynnit_Lask!K15^Alukset_fx!$I$75),IF(OR(Q15="RoRo",Q15="Vehicle carrier"),Alukset_fx!$H$74*(Alukset_Käynnit_Lask!K15^Alukset_fx!$I$74),Alukset_fx!$H$77*(Alukset_Käynnit_Lask!K15^Alukset_fx!$I$77))))))))),"-")</f>
        <v>0</v>
      </c>
      <c r="T15" s="202">
        <f>IF(R15=0,IF(Q15="Other dry cargo",S15*Alukset_fx!$B$71,IF(OR(Q15="Dry bulk",Q15="Bulk carrier"),S15*Alukset_fx!$B$69,IF(Q15="Tugboat",S15*Alukset_fx!$B$76,IF(OR(Q15="Tanker",Q15="Gas tanker",Q15="Chemical tanker",Q15="Oil tanker"),S15*Alukset_fx!$B$68,IF(OR(Q15="RoRo",Q15="Vehicle carrier"),S15*Alukset_fx!$B$72,IF(Q15="RoPax",S15*Alukset_fx!$B$73,IF(Q15="Container ship",S15*Alukset_fx!$B$70,S15*Alukset_fx!$B$75))))))),"-")</f>
        <v>0</v>
      </c>
      <c r="U15" s="208">
        <f t="shared" si="2"/>
        <v>0</v>
      </c>
      <c r="V15" s="208">
        <f t="shared" si="3"/>
        <v>0</v>
      </c>
      <c r="W15" s="202">
        <f>Alukset_Käynnit!N22</f>
        <v>0</v>
      </c>
      <c r="X15" s="211">
        <f>IF(Q15="Other dry cargo", Alukset_fx!$C$52, IF(OR(Q15="Dry bulk",Q15="Bulk carrier"),Alukset_fx!$C$35,IF(OR(Q15="Tanker",Q15="Gas tanker",Q15="Oil tanker"),Alukset_fx!$C$57,IF(Q15="Chemical tanker",Alukset_fx!$C$56,IF(OR(Q15="Tugboat",Q15="Barge"),0,IF(Q15="Other vessel",Alukset_fx!$C$54,IF(Q15="Container ship",Alukset_fx!$C$37,IF(OR(Q15="RoPax",Q15="RoRo",Q15="Vehicle carrier"),Alukset_fx!$C$55,0))))))))</f>
        <v>0</v>
      </c>
      <c r="Y15" s="211">
        <f>IF(Q15="Other dry cargo", Alukset_fx!$Q$52, IF(OR(Q15="Dry bulk",Q15="Bulk carrier"),Alukset_fx!$Q$35,IF(OR(Q15="Tanker",Q15="Gas tanker",Q15="Oil tanker"),Alukset_fx!$Q$57,IF(Q15="Chemical tanker",Alukset_fx!$Q$56,IF(OR(Q15="Tugboat",Q15="Barge"),0,IF(Q15="Other vessel",Alukset_fx!$Q$54,IF(Q15="Container ship",Alukset_fx!$Q$37,IF(OR(Q15="RoPax",Q15="RoRo",Q15="Vehicle carrier"),Alukset_fx!$Q$55,0))))))))</f>
        <v>0</v>
      </c>
      <c r="Z15" t="str">
        <f t="shared" si="4"/>
        <v>MDO/MGO</v>
      </c>
      <c r="AA15" t="str">
        <f t="shared" si="5"/>
        <v>MSD</v>
      </c>
      <c r="AB15" t="str">
        <f t="shared" si="6"/>
        <v>MDO/MGO</v>
      </c>
      <c r="AC15" t="str">
        <f t="shared" si="7"/>
        <v>MSD</v>
      </c>
      <c r="AD15" t="str">
        <f t="shared" si="8"/>
        <v>MDO/MGO</v>
      </c>
      <c r="AE15" t="str">
        <f t="shared" si="9"/>
        <v>ST</v>
      </c>
      <c r="AG15">
        <f>Alukset_Käynnit!O22</f>
        <v>0</v>
      </c>
      <c r="AH15" s="207">
        <f>IF(AA15="SSD",((U15*Alukset_fx!$B$24)*Alukset_Käynnit_Lask!W15*(Alukset_fx!$K$49)/1000),IF(AA15="MSD",((U15*Alukset_fx!$B$24)*Alukset_Käynnit_Lask!W15*(Alukset_fx!$K$52)/1000),IF(AA15="HSD",((U15*Alukset_fx!$B$24)*Alukset_Käynnit_Lask!W15*(Alukset_fx!$K$55)/1000),0)))</f>
        <v>0</v>
      </c>
      <c r="AI15" s="207">
        <f>IF(AC15="MSD",((V15*Alukset_fx!$B$25)*Alukset_Käynnit_Lask!W15*(Alukset_fx!$L$52)/1000),IF(AC15="HSD",((V15*Alukset_fx!$B$25)*Alukset_Käynnit_Lask!W15*(Alukset_fx!$L$55)/1000),0))</f>
        <v>0</v>
      </c>
      <c r="AJ15" s="207">
        <f>X15*W15*Alukset_fx!$K$61/1000</f>
        <v>0</v>
      </c>
      <c r="AK15">
        <v>0</v>
      </c>
      <c r="AL15" s="207">
        <f>IF(AG15="Käytetty",0,IF(AC15="MSD",((V15*Alukset_fx!$O$25)*Alukset_Käynnit_Lask!O15*(Alukset_fx!$L$52)/1000),IF(AC15="HSD",((V15*Alukset_fx!$O$25)*Alukset_Käynnit_Lask!O15*(Alukset_fx!$L$55)/1000),0)))</f>
        <v>0</v>
      </c>
      <c r="AM15" s="207">
        <f>IF(AG15="Käytetty",0,Y15*O15*Alukset_fx!$K$61/1000)</f>
        <v>0</v>
      </c>
      <c r="AN15" s="213">
        <f t="shared" si="10"/>
        <v>0</v>
      </c>
    </row>
    <row r="16" spans="1:40" x14ac:dyDescent="0.25">
      <c r="A16" s="203">
        <f>Alukset_Käynnit!A23</f>
        <v>0</v>
      </c>
      <c r="B16" s="203">
        <f>Alukset_Käynnit!B23</f>
        <v>0</v>
      </c>
      <c r="C16" s="262">
        <f>Alukset_Käynnit!C23</f>
        <v>0</v>
      </c>
      <c r="D16" s="266">
        <f>Alukset_Käynnit!D23</f>
        <v>0</v>
      </c>
      <c r="E16" s="262">
        <f>Alukset_Käynnit!E23</f>
        <v>0</v>
      </c>
      <c r="F16" s="262">
        <f>Alukset_Käynnit!F23</f>
        <v>0</v>
      </c>
      <c r="G16" s="262">
        <f>Alukset_Käynnit!G23</f>
        <v>0</v>
      </c>
      <c r="H16" s="262">
        <f>Alukset_Käynnit!H23</f>
        <v>0</v>
      </c>
      <c r="I16" s="262">
        <f>Alukset_Käynnit!I23</f>
        <v>0</v>
      </c>
      <c r="J16" s="262">
        <f>Alukset_Käynnit!J23</f>
        <v>0</v>
      </c>
      <c r="K16" s="262">
        <f>Alukset_Käynnit!K23</f>
        <v>0</v>
      </c>
      <c r="L16" s="205">
        <f>Alukset_Käynnit!L23</f>
        <v>0</v>
      </c>
      <c r="N16" s="273">
        <f t="shared" si="0"/>
        <v>0</v>
      </c>
      <c r="O16" s="274">
        <f t="shared" si="11"/>
        <v>0</v>
      </c>
      <c r="P16" s="202"/>
      <c r="Q16" s="204">
        <f t="shared" si="1"/>
        <v>0</v>
      </c>
      <c r="R16" s="202">
        <f>IF(Q16="Other dry cargo",L16*Alukset_fx!$B$71,IF(OR(Q16="Dry bulk",Q16="Bulk carrier"),L16*Alukset_fx!$B$69,IF(Q16="Tugboat",L16*Alukset_fx!$B$76,IF(OR(Q16="Tanker",Q16="Gas tanker",Q16="Chemical tanker",Q16="Oil tanker"),L16*Alukset_fx!$B$68,IF(OR(Q16="RoRo",Q16="Vehicle carrier"),L16*Alukset_fx!$B$72,IF(Q16="RoPax",L16*Alukset_fx!$B$73,IF(Q16="Container ship",L16*Alukset_fx!$B$70,IF(Q16="Barge",0,L16*Alukset_fx!$B$75))))))))</f>
        <v>0</v>
      </c>
      <c r="S16" s="210">
        <f>IF(L16=0,IF(Q16="Other dry cargo",Alukset_fx!$H$73*(Alukset_Käynnit_Lask!K16^Alukset_fx!$I$73),IF(OR(Q16="Dry Bulk",Q16="Bulk carrier"),Alukset_fx!$H$71*(Alukset_Käynnit_Lask!K16^Alukset_fx!$I$71),IF(Q16="Tugboat",Alukset_fx!$H$78*(Alukset_Käynnit_Lask!K16^Alukset_fx!$I$78),IF(OR(Q16="Tanker",Q16="Gas tanker",Q16="Chemical tanker",Q16="Oil tanker"),Alukset_fx!$H$70*(Alukset_Käynnit_Lask!K16^Alukset_fx!$I$70),IF(Q16="Container ship",Alukset_fx!$H$72*(Alukset_Käynnit_Lask!K16^Alukset_fx!$I$72),IF(Q16="Barge",0,IF(Q16="RoPax",Alukset_fx!$H$75*(Alukset_Käynnit_Lask!K16^Alukset_fx!$I$75),IF(OR(Q16="RoRo",Q16="Vehicle carrier"),Alukset_fx!$H$74*(Alukset_Käynnit_Lask!K16^Alukset_fx!$I$74),Alukset_fx!$H$77*(Alukset_Käynnit_Lask!K16^Alukset_fx!$I$77))))))))),"-")</f>
        <v>0</v>
      </c>
      <c r="T16" s="202">
        <f>IF(R16=0,IF(Q16="Other dry cargo",S16*Alukset_fx!$B$71,IF(OR(Q16="Dry bulk",Q16="Bulk carrier"),S16*Alukset_fx!$B$69,IF(Q16="Tugboat",S16*Alukset_fx!$B$76,IF(OR(Q16="Tanker",Q16="Gas tanker",Q16="Chemical tanker",Q16="Oil tanker"),S16*Alukset_fx!$B$68,IF(OR(Q16="RoRo",Q16="Vehicle carrier"),S16*Alukset_fx!$B$72,IF(Q16="RoPax",S16*Alukset_fx!$B$73,IF(Q16="Container ship",S16*Alukset_fx!$B$70,S16*Alukset_fx!$B$75))))))),"-")</f>
        <v>0</v>
      </c>
      <c r="U16" s="208">
        <f t="shared" si="2"/>
        <v>0</v>
      </c>
      <c r="V16" s="208">
        <f t="shared" si="3"/>
        <v>0</v>
      </c>
      <c r="W16" s="202">
        <f>Alukset_Käynnit!N23</f>
        <v>0</v>
      </c>
      <c r="X16" s="211">
        <f>IF(Q16="Other dry cargo", Alukset_fx!$C$52, IF(OR(Q16="Dry bulk",Q16="Bulk carrier"),Alukset_fx!$C$35,IF(OR(Q16="Tanker",Q16="Gas tanker",Q16="Oil tanker"),Alukset_fx!$C$57,IF(Q16="Chemical tanker",Alukset_fx!$C$56,IF(OR(Q16="Tugboat",Q16="Barge"),0,IF(Q16="Other vessel",Alukset_fx!$C$54,IF(Q16="Container ship",Alukset_fx!$C$37,IF(OR(Q16="RoPax",Q16="RoRo",Q16="Vehicle carrier"),Alukset_fx!$C$55,0))))))))</f>
        <v>0</v>
      </c>
      <c r="Y16" s="211">
        <f>IF(Q16="Other dry cargo", Alukset_fx!$Q$52, IF(OR(Q16="Dry bulk",Q16="Bulk carrier"),Alukset_fx!$Q$35,IF(OR(Q16="Tanker",Q16="Gas tanker",Q16="Oil tanker"),Alukset_fx!$Q$57,IF(Q16="Chemical tanker",Alukset_fx!$Q$56,IF(OR(Q16="Tugboat",Q16="Barge"),0,IF(Q16="Other vessel",Alukset_fx!$Q$54,IF(Q16="Container ship",Alukset_fx!$Q$37,IF(OR(Q16="RoPax",Q16="RoRo",Q16="Vehicle carrier"),Alukset_fx!$Q$55,0))))))))</f>
        <v>0</v>
      </c>
      <c r="Z16" t="str">
        <f t="shared" si="4"/>
        <v>MDO/MGO</v>
      </c>
      <c r="AA16" t="str">
        <f t="shared" si="5"/>
        <v>MSD</v>
      </c>
      <c r="AB16" t="str">
        <f t="shared" si="6"/>
        <v>MDO/MGO</v>
      </c>
      <c r="AC16" t="str">
        <f t="shared" si="7"/>
        <v>MSD</v>
      </c>
      <c r="AD16" t="str">
        <f t="shared" si="8"/>
        <v>MDO/MGO</v>
      </c>
      <c r="AE16" t="str">
        <f t="shared" si="9"/>
        <v>ST</v>
      </c>
      <c r="AG16">
        <f>Alukset_Käynnit!O23</f>
        <v>0</v>
      </c>
      <c r="AH16" s="207">
        <f>IF(AA16="SSD",((U16*Alukset_fx!$B$24)*Alukset_Käynnit_Lask!W16*(Alukset_fx!$K$49)/1000),IF(AA16="MSD",((U16*Alukset_fx!$B$24)*Alukset_Käynnit_Lask!W16*(Alukset_fx!$K$52)/1000),IF(AA16="HSD",((U16*Alukset_fx!$B$24)*Alukset_Käynnit_Lask!W16*(Alukset_fx!$K$55)/1000),0)))</f>
        <v>0</v>
      </c>
      <c r="AI16" s="207">
        <f>IF(AC16="MSD",((V16*Alukset_fx!$B$25)*Alukset_Käynnit_Lask!W16*(Alukset_fx!$L$52)/1000),IF(AC16="HSD",((V16*Alukset_fx!$B$25)*Alukset_Käynnit_Lask!W16*(Alukset_fx!$L$55)/1000),0))</f>
        <v>0</v>
      </c>
      <c r="AJ16" s="207">
        <f>X16*W16*Alukset_fx!$K$61/1000</f>
        <v>0</v>
      </c>
      <c r="AK16">
        <v>0</v>
      </c>
      <c r="AL16" s="207">
        <f>IF(AG16="Käytetty",0,IF(AC16="MSD",((V16*Alukset_fx!$O$25)*Alukset_Käynnit_Lask!O16*(Alukset_fx!$L$52)/1000),IF(AC16="HSD",((V16*Alukset_fx!$O$25)*Alukset_Käynnit_Lask!O16*(Alukset_fx!$L$55)/1000),0)))</f>
        <v>0</v>
      </c>
      <c r="AM16" s="207">
        <f>IF(AG16="Käytetty",0,Y16*O16*Alukset_fx!$K$61/1000)</f>
        <v>0</v>
      </c>
      <c r="AN16" s="213">
        <f t="shared" si="10"/>
        <v>0</v>
      </c>
    </row>
    <row r="17" spans="1:40" x14ac:dyDescent="0.25">
      <c r="A17" s="203">
        <f>Alukset_Käynnit!A24</f>
        <v>0</v>
      </c>
      <c r="B17" s="203">
        <f>Alukset_Käynnit!B24</f>
        <v>0</v>
      </c>
      <c r="C17" s="262">
        <f>Alukset_Käynnit!C24</f>
        <v>0</v>
      </c>
      <c r="D17" s="266">
        <f>Alukset_Käynnit!D24</f>
        <v>0</v>
      </c>
      <c r="E17" s="262">
        <f>Alukset_Käynnit!E24</f>
        <v>0</v>
      </c>
      <c r="F17" s="262">
        <f>Alukset_Käynnit!F24</f>
        <v>0</v>
      </c>
      <c r="G17" s="262">
        <f>Alukset_Käynnit!G24</f>
        <v>0</v>
      </c>
      <c r="H17" s="262">
        <f>Alukset_Käynnit!H24</f>
        <v>0</v>
      </c>
      <c r="I17" s="262">
        <f>Alukset_Käynnit!I24</f>
        <v>0</v>
      </c>
      <c r="J17" s="262">
        <f>Alukset_Käynnit!J24</f>
        <v>0</v>
      </c>
      <c r="K17" s="262">
        <f>Alukset_Käynnit!K24</f>
        <v>0</v>
      </c>
      <c r="L17" s="205">
        <f>Alukset_Käynnit!L24</f>
        <v>0</v>
      </c>
      <c r="N17" s="275">
        <f t="shared" si="0"/>
        <v>0</v>
      </c>
      <c r="O17" s="276">
        <f t="shared" si="11"/>
        <v>0</v>
      </c>
      <c r="P17" s="202"/>
      <c r="Q17" s="204">
        <f t="shared" si="1"/>
        <v>0</v>
      </c>
      <c r="R17" s="202">
        <f>IF(Q17="Other dry cargo",L17*Alukset_fx!$B$71,IF(OR(Q17="Dry bulk",Q17="Bulk carrier"),L17*Alukset_fx!$B$69,IF(Q17="Tugboat",L17*Alukset_fx!$B$76,IF(OR(Q17="Tanker",Q17="Gas tanker",Q17="Chemical tanker",Q17="Oil tanker"),L17*Alukset_fx!$B$68,IF(OR(Q17="RoRo",Q17="Vehicle carrier"),L17*Alukset_fx!$B$72,IF(Q17="RoPax",L17*Alukset_fx!$B$73,IF(Q17="Container ship",L17*Alukset_fx!$B$70,IF(Q17="Barge",0,L17*Alukset_fx!$B$75))))))))</f>
        <v>0</v>
      </c>
      <c r="S17" s="210">
        <f>IF(L17=0,IF(Q17="Other dry cargo",Alukset_fx!$H$73*(Alukset_Käynnit_Lask!K17^Alukset_fx!$I$73),IF(OR(Q17="Dry Bulk",Q17="Bulk carrier"),Alukset_fx!$H$71*(Alukset_Käynnit_Lask!K17^Alukset_fx!$I$71),IF(Q17="Tugboat",Alukset_fx!$H$78*(Alukset_Käynnit_Lask!K17^Alukset_fx!$I$78),IF(OR(Q17="Tanker",Q17="Gas tanker",Q17="Chemical tanker",Q17="Oil tanker"),Alukset_fx!$H$70*(Alukset_Käynnit_Lask!K17^Alukset_fx!$I$70),IF(Q17="Container ship",Alukset_fx!$H$72*(Alukset_Käynnit_Lask!K17^Alukset_fx!$I$72),IF(Q17="Barge",0,IF(Q17="RoPax",Alukset_fx!$H$75*(Alukset_Käynnit_Lask!K17^Alukset_fx!$I$75),IF(OR(Q17="RoRo",Q17="Vehicle carrier"),Alukset_fx!$H$74*(Alukset_Käynnit_Lask!K17^Alukset_fx!$I$74),Alukset_fx!$H$77*(Alukset_Käynnit_Lask!K17^Alukset_fx!$I$77))))))))),"-")</f>
        <v>0</v>
      </c>
      <c r="T17" s="208">
        <f>IF(R17=0,IF(Q17="Other dry cargo",S17*Alukset_fx!$B$71,IF(OR(Q17="Dry bulk",Q17="Bulk carrier"),S17*Alukset_fx!$B$69,IF(Q17="Tugboat",S17*Alukset_fx!$B$76,IF(OR(Q17="Tanker",Q17="Gas tanker",Q17="Chemical tanker",Q17="Oil tanker"),S17*Alukset_fx!$B$68,IF(OR(Q17="RoRo",Q17="Vehicle carrier"),S17*Alukset_fx!$B$72,IF(Q17="RoPax",S17*Alukset_fx!$B$73,IF(Q17="Container ship",S17*Alukset_fx!$B$70,S17*Alukset_fx!$B$75))))))),"-")</f>
        <v>0</v>
      </c>
      <c r="U17" s="208">
        <f>IF(L17=0,S17,L17)</f>
        <v>0</v>
      </c>
      <c r="V17" s="208">
        <f t="shared" si="3"/>
        <v>0</v>
      </c>
      <c r="W17" s="202">
        <f>Alukset_Käynnit!N24</f>
        <v>0</v>
      </c>
      <c r="X17" s="211">
        <f>IF(Q17="Other dry cargo", Alukset_fx!$C$52, IF(OR(Q17="Dry bulk",Q17="Bulk carrier"),Alukset_fx!$C$35,IF(OR(Q17="Tanker",Q17="Gas tanker",Q17="Oil tanker"),Alukset_fx!$C$57,IF(Q17="Chemical tanker",Alukset_fx!$C$56,IF(OR(Q17="Tugboat",Q17="Barge"),0,IF(Q17="Other vessel",Alukset_fx!$C$54,IF(Q17="Container ship",Alukset_fx!$C$37,IF(OR(Q17="RoPax",Q17="RoRo",Q17="Vehicle carrier"),Alukset_fx!$C$55,0))))))))</f>
        <v>0</v>
      </c>
      <c r="Y17" s="211">
        <f>IF(Q17="Other dry cargo", Alukset_fx!$Q$52, IF(OR(Q17="Dry bulk",Q17="Bulk carrier"),Alukset_fx!$Q$35,IF(OR(Q17="Tanker",Q17="Gas tanker",Q17="Oil tanker"),Alukset_fx!$Q$57,IF(Q17="Chemical tanker",Alukset_fx!$Q$56,IF(OR(Q17="Tugboat",Q17="Barge"),0,IF(Q17="Other vessel",Alukset_fx!$Q$54,IF(Q17="Container ship",Alukset_fx!$Q$37,IF(OR(Q17="RoPax",Q17="RoRo",Q17="Vehicle carrier"),Alukset_fx!$Q$55,0))))))))</f>
        <v>0</v>
      </c>
      <c r="Z17" t="str">
        <f t="shared" si="4"/>
        <v>MDO/MGO</v>
      </c>
      <c r="AA17" t="str">
        <f t="shared" si="5"/>
        <v>MSD</v>
      </c>
      <c r="AB17" t="str">
        <f t="shared" si="6"/>
        <v>MDO/MGO</v>
      </c>
      <c r="AC17" t="str">
        <f t="shared" si="7"/>
        <v>MSD</v>
      </c>
      <c r="AD17" t="str">
        <f t="shared" si="8"/>
        <v>MDO/MGO</v>
      </c>
      <c r="AE17" t="str">
        <f t="shared" si="9"/>
        <v>ST</v>
      </c>
      <c r="AG17">
        <f>Alukset_Käynnit!O24</f>
        <v>0</v>
      </c>
      <c r="AH17" s="207">
        <f>IF(AA17="SSD",((U17*Alukset_fx!$B$24)*Alukset_Käynnit_Lask!W17*(Alukset_fx!$K$49)/1000),IF(AA17="MSD",((U17*Alukset_fx!$B$24)*Alukset_Käynnit_Lask!W17*(Alukset_fx!$K$52)/1000),IF(AA17="HSD",((U17*Alukset_fx!$B$24)*Alukset_Käynnit_Lask!W17*(Alukset_fx!$K$55)/1000),0)))</f>
        <v>0</v>
      </c>
      <c r="AI17" s="207">
        <f>IF(AC17="MSD",((V17*Alukset_fx!$B$25)*Alukset_Käynnit_Lask!W17*(Alukset_fx!$L$52)/1000),IF(AC17="HSD",((V17*Alukset_fx!$B$25)*Alukset_Käynnit_Lask!W17*(Alukset_fx!$L$55)/1000),0))</f>
        <v>0</v>
      </c>
      <c r="AJ17" s="207">
        <f>X17*W17*Alukset_fx!$K$61/1000</f>
        <v>0</v>
      </c>
      <c r="AK17">
        <v>0</v>
      </c>
      <c r="AL17" s="207">
        <f>IF(AG17="Käytetty",0,IF(AC17="MSD",((V17*Alukset_fx!$O$25)*Alukset_Käynnit_Lask!O17*(Alukset_fx!$L$52)/1000),IF(AC17="HSD",((V17*Alukset_fx!$O$25)*Alukset_Käynnit_Lask!O17*(Alukset_fx!$L$55)/1000),0)))</f>
        <v>0</v>
      </c>
      <c r="AM17" s="207">
        <f>IF(AG17="Käytetty",0,Y17*O17*Alukset_fx!$K$61/1000)</f>
        <v>0</v>
      </c>
      <c r="AN17" s="213">
        <f t="shared" si="10"/>
        <v>0</v>
      </c>
    </row>
    <row r="18" spans="1:40" x14ac:dyDescent="0.25">
      <c r="A18" s="203">
        <f>Alukset_Käynnit!A25</f>
        <v>0</v>
      </c>
      <c r="B18" s="203">
        <f>Alukset_Käynnit!B25</f>
        <v>0</v>
      </c>
      <c r="C18" s="262">
        <f>Alukset_Käynnit!C25</f>
        <v>0</v>
      </c>
      <c r="D18" s="266">
        <f>Alukset_Käynnit!D25</f>
        <v>0</v>
      </c>
      <c r="E18" s="262">
        <f>Alukset_Käynnit!E25</f>
        <v>0</v>
      </c>
      <c r="F18" s="262">
        <f>Alukset_Käynnit!F25</f>
        <v>0</v>
      </c>
      <c r="G18" s="262">
        <f>Alukset_Käynnit!G25</f>
        <v>0</v>
      </c>
      <c r="H18" s="262">
        <f>Alukset_Käynnit!H25</f>
        <v>0</v>
      </c>
      <c r="I18" s="262">
        <f>Alukset_Käynnit!I25</f>
        <v>0</v>
      </c>
      <c r="J18" s="262">
        <f>Alukset_Käynnit!J25</f>
        <v>0</v>
      </c>
      <c r="K18" s="262">
        <f>Alukset_Käynnit!K25</f>
        <v>0</v>
      </c>
      <c r="L18" s="205">
        <f>Alukset_Käynnit!L25</f>
        <v>0</v>
      </c>
      <c r="N18" s="273">
        <f t="shared" si="0"/>
        <v>0</v>
      </c>
      <c r="O18" s="274">
        <f t="shared" si="11"/>
        <v>0</v>
      </c>
      <c r="P18" s="202"/>
      <c r="Q18" s="204">
        <f t="shared" si="1"/>
        <v>0</v>
      </c>
      <c r="R18" s="202">
        <f>IF(Q18="Other dry cargo",L18*Alukset_fx!$B$71,IF(OR(Q18="Dry bulk",Q18="Bulk carrier"),L18*Alukset_fx!$B$69,IF(Q18="Tugboat",L18*Alukset_fx!$B$76,IF(OR(Q18="Tanker",Q18="Gas tanker",Q18="Chemical tanker",Q18="Oil tanker"),L18*Alukset_fx!$B$68,IF(OR(Q18="RoRo",Q18="Vehicle carrier"),L18*Alukset_fx!$B$72,IF(Q18="RoPax",L18*Alukset_fx!$B$73,IF(Q18="Container ship",L18*Alukset_fx!$B$70,IF(Q18="Barge",0,L18*Alukset_fx!$B$75))))))))</f>
        <v>0</v>
      </c>
      <c r="S18" s="210">
        <f>IF(L18=0,IF(Q18="Other dry cargo",Alukset_fx!$H$73*(Alukset_Käynnit_Lask!K18^Alukset_fx!$I$73),IF(OR(Q18="Dry Bulk",Q18="Bulk carrier"),Alukset_fx!$H$71*(Alukset_Käynnit_Lask!K18^Alukset_fx!$I$71),IF(Q18="Tugboat",Alukset_fx!$H$78*(Alukset_Käynnit_Lask!K18^Alukset_fx!$I$78),IF(OR(Q18="Tanker",Q18="Gas tanker",Q18="Chemical tanker",Q18="Oil tanker"),Alukset_fx!$H$70*(Alukset_Käynnit_Lask!K18^Alukset_fx!$I$70),IF(Q18="Container ship",Alukset_fx!$H$72*(Alukset_Käynnit_Lask!K18^Alukset_fx!$I$72),IF(Q18="Barge",0,IF(Q18="RoPax",Alukset_fx!$H$75*(Alukset_Käynnit_Lask!K18^Alukset_fx!$I$75),IF(OR(Q18="RoRo",Q18="Vehicle carrier"),Alukset_fx!$H$74*(Alukset_Käynnit_Lask!K18^Alukset_fx!$I$74),Alukset_fx!$H$77*(Alukset_Käynnit_Lask!K18^Alukset_fx!$I$77))))))))),"-")</f>
        <v>0</v>
      </c>
      <c r="T18" s="208">
        <f>IF(R18=0,IF(Q18="Other dry cargo",S18*Alukset_fx!$B$71,IF(OR(Q18="Dry bulk",Q18="Bulk carrier"),S18*Alukset_fx!$B$69,IF(Q18="Tugboat",S18*Alukset_fx!$B$76,IF(OR(Q18="Tanker",Q18="Gas tanker",Q18="Chemical tanker",Q18="Oil tanker"),S18*Alukset_fx!$B$68,IF(OR(Q18="RoRo",Q18="Vehicle carrier"),S18*Alukset_fx!$B$72,IF(Q18="RoPax",S18*Alukset_fx!$B$73,IF(Q18="Container ship",S18*Alukset_fx!$B$70,S18*Alukset_fx!$B$75))))))),"-")</f>
        <v>0</v>
      </c>
      <c r="U18" s="208">
        <f t="shared" si="2"/>
        <v>0</v>
      </c>
      <c r="V18" s="208">
        <f t="shared" si="3"/>
        <v>0</v>
      </c>
      <c r="W18" s="202">
        <f>Alukset_Käynnit!N25</f>
        <v>0</v>
      </c>
      <c r="X18" s="211">
        <f>IF(Q18="Other dry cargo", Alukset_fx!$C$52, IF(OR(Q18="Dry bulk",Q18="Bulk carrier"),Alukset_fx!$C$35,IF(OR(Q18="Tanker",Q18="Gas tanker",Q18="Oil tanker"),Alukset_fx!$C$57,IF(Q18="Chemical tanker",Alukset_fx!$C$56,IF(OR(Q18="Tugboat",Q18="Barge"),0,IF(Q18="Other vessel",Alukset_fx!$C$54,IF(Q18="Container ship",Alukset_fx!$C$37,IF(OR(Q18="RoPax",Q18="RoRo",Q18="Vehicle carrier"),Alukset_fx!$C$55,0))))))))</f>
        <v>0</v>
      </c>
      <c r="Y18" s="211">
        <f>IF(Q18="Other dry cargo", Alukset_fx!$Q$52, IF(OR(Q18="Dry bulk",Q18="Bulk carrier"),Alukset_fx!$Q$35,IF(OR(Q18="Tanker",Q18="Gas tanker",Q18="Oil tanker"),Alukset_fx!$Q$57,IF(Q18="Chemical tanker",Alukset_fx!$Q$56,IF(OR(Q18="Tugboat",Q18="Barge"),0,IF(Q18="Other vessel",Alukset_fx!$Q$54,IF(Q18="Container ship",Alukset_fx!$Q$37,IF(OR(Q18="RoPax",Q18="RoRo",Q18="Vehicle carrier"),Alukset_fx!$Q$55,0))))))))</f>
        <v>0</v>
      </c>
      <c r="Z18" t="str">
        <f t="shared" si="4"/>
        <v>MDO/MGO</v>
      </c>
      <c r="AA18" t="str">
        <f t="shared" si="5"/>
        <v>MSD</v>
      </c>
      <c r="AB18" t="str">
        <f t="shared" si="6"/>
        <v>MDO/MGO</v>
      </c>
      <c r="AC18" t="str">
        <f t="shared" si="7"/>
        <v>MSD</v>
      </c>
      <c r="AD18" t="str">
        <f t="shared" si="8"/>
        <v>MDO/MGO</v>
      </c>
      <c r="AE18" t="str">
        <f t="shared" si="9"/>
        <v>ST</v>
      </c>
      <c r="AG18">
        <f>Alukset_Käynnit!O25</f>
        <v>0</v>
      </c>
      <c r="AH18" s="207">
        <f>IF(AA18="SSD",((U18*Alukset_fx!$B$24)*Alukset_Käynnit_Lask!W18*(Alukset_fx!$K$49)/1000),IF(AA18="MSD",((U18*Alukset_fx!$B$24)*Alukset_Käynnit_Lask!W18*(Alukset_fx!$K$52)/1000),IF(AA18="HSD",((U18*Alukset_fx!$B$24)*Alukset_Käynnit_Lask!W18*(Alukset_fx!$K$55)/1000),0)))</f>
        <v>0</v>
      </c>
      <c r="AI18" s="207">
        <f>IF(AC18="MSD",((V18*Alukset_fx!$B$25)*Alukset_Käynnit_Lask!W18*(Alukset_fx!$L$52)/1000),IF(AC18="HSD",((V18*Alukset_fx!$B$25)*Alukset_Käynnit_Lask!W18*(Alukset_fx!$L$55)/1000),0))</f>
        <v>0</v>
      </c>
      <c r="AJ18" s="207">
        <f>X18*W18*Alukset_fx!$K$61/1000</f>
        <v>0</v>
      </c>
      <c r="AK18">
        <v>0</v>
      </c>
      <c r="AL18" s="207">
        <f>IF(AG18="Käytetty",0,IF(AC18="MSD",((V18*Alukset_fx!$O$25)*Alukset_Käynnit_Lask!O18*(Alukset_fx!$L$52)/1000),IF(AC18="HSD",((V18*Alukset_fx!$O$25)*Alukset_Käynnit_Lask!O18*(Alukset_fx!$L$55)/1000),0)))</f>
        <v>0</v>
      </c>
      <c r="AM18" s="207">
        <f>IF(AG18="Käytetty",0,Y18*O18*Alukset_fx!$K$61/1000)</f>
        <v>0</v>
      </c>
      <c r="AN18" s="213">
        <f t="shared" si="10"/>
        <v>0</v>
      </c>
    </row>
    <row r="19" spans="1:40" x14ac:dyDescent="0.25">
      <c r="A19" s="203">
        <f>Alukset_Käynnit!A26</f>
        <v>0</v>
      </c>
      <c r="B19" s="203">
        <f>Alukset_Käynnit!B26</f>
        <v>0</v>
      </c>
      <c r="C19" s="262">
        <f>Alukset_Käynnit!C26</f>
        <v>0</v>
      </c>
      <c r="D19" s="266">
        <f>Alukset_Käynnit!D26</f>
        <v>0</v>
      </c>
      <c r="E19" s="262">
        <f>Alukset_Käynnit!E26</f>
        <v>0</v>
      </c>
      <c r="F19" s="262">
        <f>Alukset_Käynnit!F26</f>
        <v>0</v>
      </c>
      <c r="G19" s="262">
        <f>Alukset_Käynnit!G26</f>
        <v>0</v>
      </c>
      <c r="H19" s="262">
        <f>Alukset_Käynnit!H26</f>
        <v>0</v>
      </c>
      <c r="I19" s="262">
        <f>Alukset_Käynnit!I26</f>
        <v>0</v>
      </c>
      <c r="J19" s="262">
        <f>Alukset_Käynnit!J26</f>
        <v>0</v>
      </c>
      <c r="K19" s="262">
        <f>Alukset_Käynnit!K26</f>
        <v>0</v>
      </c>
      <c r="L19" s="205">
        <f>Alukset_Käynnit!L26</f>
        <v>0</v>
      </c>
      <c r="N19" s="275">
        <f t="shared" si="0"/>
        <v>0</v>
      </c>
      <c r="O19" s="276">
        <f t="shared" si="11"/>
        <v>0</v>
      </c>
      <c r="P19" s="202"/>
      <c r="Q19" s="204">
        <f t="shared" si="1"/>
        <v>0</v>
      </c>
      <c r="R19" s="202">
        <f>IF(Q19="Other dry cargo",L19*Alukset_fx!$B$71,IF(OR(Q19="Dry bulk",Q19="Bulk carrier"),L19*Alukset_fx!$B$69,IF(Q19="Tugboat",L19*Alukset_fx!$B$76,IF(OR(Q19="Tanker",Q19="Gas tanker",Q19="Chemical tanker",Q19="Oil tanker"),L19*Alukset_fx!$B$68,IF(OR(Q19="RoRo",Q19="Vehicle carrier"),L19*Alukset_fx!$B$72,IF(Q19="RoPax",L19*Alukset_fx!$B$73,IF(Q19="Container ship",L19*Alukset_fx!$B$70,IF(Q19="Barge",0,L19*Alukset_fx!$B$75))))))))</f>
        <v>0</v>
      </c>
      <c r="S19" s="210">
        <f>IF(L19=0,IF(Q19="Other dry cargo",Alukset_fx!$H$73*(Alukset_Käynnit_Lask!K19^Alukset_fx!$I$73),IF(OR(Q19="Dry Bulk",Q19="Bulk carrier"),Alukset_fx!$H$71*(Alukset_Käynnit_Lask!K19^Alukset_fx!$I$71),IF(Q19="Tugboat",Alukset_fx!$H$78*(Alukset_Käynnit_Lask!K19^Alukset_fx!$I$78),IF(OR(Q19="Tanker",Q19="Gas tanker",Q19="Chemical tanker",Q19="Oil tanker"),Alukset_fx!$H$70*(Alukset_Käynnit_Lask!K19^Alukset_fx!$I$70),IF(Q19="Container ship",Alukset_fx!$H$72*(Alukset_Käynnit_Lask!K19^Alukset_fx!$I$72),IF(Q19="Barge",0,IF(Q19="RoPax",Alukset_fx!$H$75*(Alukset_Käynnit_Lask!K19^Alukset_fx!$I$75),IF(OR(Q19="RoRo",Q19="Vehicle carrier"),Alukset_fx!$H$74*(Alukset_Käynnit_Lask!K19^Alukset_fx!$I$74),Alukset_fx!$H$77*(Alukset_Käynnit_Lask!K19^Alukset_fx!$I$77))))))))),"-")</f>
        <v>0</v>
      </c>
      <c r="T19" s="208">
        <f>IF(R19=0,IF(Q19="Other dry cargo",S19*Alukset_fx!$B$71,IF(OR(Q19="Dry bulk",Q19="Bulk carrier"),S19*Alukset_fx!$B$69,IF(Q19="Tugboat",S19*Alukset_fx!$B$76,IF(OR(Q19="Tanker",Q19="Gas tanker",Q19="Chemical tanker",Q19="Oil tanker"),S19*Alukset_fx!$B$68,IF(OR(Q19="RoRo",Q19="Vehicle carrier"),S19*Alukset_fx!$B$72,IF(Q19="RoPax",S19*Alukset_fx!$B$73,IF(Q19="Container ship",S19*Alukset_fx!$B$70,S19*Alukset_fx!$B$75))))))),"-")</f>
        <v>0</v>
      </c>
      <c r="U19" s="208">
        <f t="shared" si="2"/>
        <v>0</v>
      </c>
      <c r="V19" s="208">
        <f t="shared" si="3"/>
        <v>0</v>
      </c>
      <c r="W19" s="202">
        <f>Alukset_Käynnit!N26</f>
        <v>0</v>
      </c>
      <c r="X19" s="211">
        <f>IF(Q19="Other dry cargo", Alukset_fx!$C$52, IF(OR(Q19="Dry bulk",Q19="Bulk carrier"),Alukset_fx!$C$35,IF(OR(Q19="Tanker",Q19="Gas tanker",Q19="Oil tanker"),Alukset_fx!$C$57,IF(Q19="Chemical tanker",Alukset_fx!$C$56,IF(OR(Q19="Tugboat",Q19="Barge"),0,IF(Q19="Other vessel",Alukset_fx!$C$54,IF(Q19="Container ship",Alukset_fx!$C$37,IF(OR(Q19="RoPax",Q19="RoRo",Q19="Vehicle carrier"),Alukset_fx!$C$55,0))))))))</f>
        <v>0</v>
      </c>
      <c r="Y19" s="211">
        <f>IF(Q19="Other dry cargo", Alukset_fx!$Q$52, IF(OR(Q19="Dry bulk",Q19="Bulk carrier"),Alukset_fx!$Q$35,IF(OR(Q19="Tanker",Q19="Gas tanker",Q19="Oil tanker"),Alukset_fx!$Q$57,IF(Q19="Chemical tanker",Alukset_fx!$Q$56,IF(OR(Q19="Tugboat",Q19="Barge"),0,IF(Q19="Other vessel",Alukset_fx!$Q$54,IF(Q19="Container ship",Alukset_fx!$Q$37,IF(OR(Q19="RoPax",Q19="RoRo",Q19="Vehicle carrier"),Alukset_fx!$Q$55,0))))))))</f>
        <v>0</v>
      </c>
      <c r="Z19" t="str">
        <f t="shared" si="4"/>
        <v>MDO/MGO</v>
      </c>
      <c r="AA19" t="str">
        <f t="shared" si="5"/>
        <v>MSD</v>
      </c>
      <c r="AB19" t="str">
        <f t="shared" si="6"/>
        <v>MDO/MGO</v>
      </c>
      <c r="AC19" t="str">
        <f t="shared" si="7"/>
        <v>MSD</v>
      </c>
      <c r="AD19" t="str">
        <f t="shared" si="8"/>
        <v>MDO/MGO</v>
      </c>
      <c r="AE19" t="str">
        <f t="shared" si="9"/>
        <v>ST</v>
      </c>
      <c r="AG19">
        <f>Alukset_Käynnit!O26</f>
        <v>0</v>
      </c>
      <c r="AH19" s="207">
        <f>IF(AA19="SSD",((U19*Alukset_fx!$B$24)*Alukset_Käynnit_Lask!W19*(Alukset_fx!$K$49)/1000),IF(AA19="MSD",((U19*Alukset_fx!$B$24)*Alukset_Käynnit_Lask!W19*(Alukset_fx!$K$52)/1000),IF(AA19="HSD",((U19*Alukset_fx!$B$24)*Alukset_Käynnit_Lask!W19*(Alukset_fx!$K$55)/1000),0)))</f>
        <v>0</v>
      </c>
      <c r="AI19" s="207">
        <f>IF(AC19="MSD",((V19*Alukset_fx!$B$25)*Alukset_Käynnit_Lask!W19*(Alukset_fx!$L$52)/1000),IF(AC19="HSD",((V19*Alukset_fx!$B$25)*Alukset_Käynnit_Lask!W19*(Alukset_fx!$L$55)/1000),0))</f>
        <v>0</v>
      </c>
      <c r="AJ19" s="207">
        <f>X19*W19*Alukset_fx!$K$61/1000</f>
        <v>0</v>
      </c>
      <c r="AK19">
        <v>0</v>
      </c>
      <c r="AL19" s="207">
        <f>IF(AG19="Käytetty",0,IF(AC19="MSD",((V19*Alukset_fx!$O$25)*Alukset_Käynnit_Lask!O19*(Alukset_fx!$L$52)/1000),IF(AC19="HSD",((V19*Alukset_fx!$O$25)*Alukset_Käynnit_Lask!O19*(Alukset_fx!$L$55)/1000),0)))</f>
        <v>0</v>
      </c>
      <c r="AM19" s="207">
        <f>IF(AG19="Käytetty",0,Y19*O19*Alukset_fx!$K$61/1000)</f>
        <v>0</v>
      </c>
      <c r="AN19" s="213">
        <f t="shared" si="10"/>
        <v>0</v>
      </c>
    </row>
    <row r="20" spans="1:40" x14ac:dyDescent="0.25">
      <c r="A20" s="203">
        <f>Alukset_Käynnit!A27</f>
        <v>0</v>
      </c>
      <c r="B20" s="203">
        <f>Alukset_Käynnit!B27</f>
        <v>0</v>
      </c>
      <c r="C20" s="262">
        <f>Alukset_Käynnit!C27</f>
        <v>0</v>
      </c>
      <c r="D20" s="266">
        <f>Alukset_Käynnit!D27</f>
        <v>0</v>
      </c>
      <c r="E20" s="262">
        <f>Alukset_Käynnit!E27</f>
        <v>0</v>
      </c>
      <c r="F20" s="262">
        <f>Alukset_Käynnit!F27</f>
        <v>0</v>
      </c>
      <c r="G20" s="262">
        <f>Alukset_Käynnit!G27</f>
        <v>0</v>
      </c>
      <c r="H20" s="262">
        <f>Alukset_Käynnit!H27</f>
        <v>0</v>
      </c>
      <c r="I20" s="262">
        <f>Alukset_Käynnit!I27</f>
        <v>0</v>
      </c>
      <c r="J20" s="262">
        <f>Alukset_Käynnit!J27</f>
        <v>0</v>
      </c>
      <c r="K20" s="262">
        <f>Alukset_Käynnit!K27</f>
        <v>0</v>
      </c>
      <c r="L20" s="205">
        <f>Alukset_Käynnit!L27</f>
        <v>0</v>
      </c>
      <c r="N20" s="273">
        <f t="shared" si="0"/>
        <v>0</v>
      </c>
      <c r="O20" s="274">
        <f t="shared" si="11"/>
        <v>0</v>
      </c>
      <c r="P20" s="202"/>
      <c r="Q20" s="204">
        <f t="shared" si="1"/>
        <v>0</v>
      </c>
      <c r="R20" s="202">
        <f>IF(Q20="Other dry cargo",L20*Alukset_fx!$B$71,IF(OR(Q20="Dry bulk",Q20="Bulk carrier"),L20*Alukset_fx!$B$69,IF(Q20="Tugboat",L20*Alukset_fx!$B$76,IF(OR(Q20="Tanker",Q20="Gas tanker",Q20="Chemical tanker",Q20="Oil tanker"),L20*Alukset_fx!$B$68,IF(OR(Q20="RoRo",Q20="Vehicle carrier"),L20*Alukset_fx!$B$72,IF(Q20="RoPax",L20*Alukset_fx!$B$73,IF(Q20="Container ship",L20*Alukset_fx!$B$70,IF(Q20="Barge",0,L20*Alukset_fx!$B$75))))))))</f>
        <v>0</v>
      </c>
      <c r="S20" s="210">
        <f>IF(L20=0,IF(Q20="Other dry cargo",Alukset_fx!$H$73*(Alukset_Käynnit_Lask!K20^Alukset_fx!$I$73),IF(OR(Q20="Dry Bulk",Q20="Bulk carrier"),Alukset_fx!$H$71*(Alukset_Käynnit_Lask!K20^Alukset_fx!$I$71),IF(Q20="Tugboat",Alukset_fx!$H$78*(Alukset_Käynnit_Lask!K20^Alukset_fx!$I$78),IF(OR(Q20="Tanker",Q20="Gas tanker",Q20="Chemical tanker",Q20="Oil tanker"),Alukset_fx!$H$70*(Alukset_Käynnit_Lask!K20^Alukset_fx!$I$70),IF(Q20="Container ship",Alukset_fx!$H$72*(Alukset_Käynnit_Lask!K20^Alukset_fx!$I$72),IF(Q20="Barge",0,IF(Q20="RoPax",Alukset_fx!$H$75*(Alukset_Käynnit_Lask!K20^Alukset_fx!$I$75),IF(OR(Q20="RoRo",Q20="Vehicle carrier"),Alukset_fx!$H$74*(Alukset_Käynnit_Lask!K20^Alukset_fx!$I$74),Alukset_fx!$H$77*(Alukset_Käynnit_Lask!K20^Alukset_fx!$I$77))))))))),"-")</f>
        <v>0</v>
      </c>
      <c r="T20" s="208">
        <f>IF(R20=0,IF(Q20="Other dry cargo",S20*Alukset_fx!$B$71,IF(OR(Q20="Dry bulk",Q20="Bulk carrier"),S20*Alukset_fx!$B$69,IF(Q20="Tugboat",S20*Alukset_fx!$B$76,IF(OR(Q20="Tanker",Q20="Gas tanker",Q20="Chemical tanker",Q20="Oil tanker"),S20*Alukset_fx!$B$68,IF(OR(Q20="RoRo",Q20="Vehicle carrier"),S20*Alukset_fx!$B$72,IF(Q20="RoPax",S20*Alukset_fx!$B$73,IF(Q20="Container ship",S20*Alukset_fx!$B$70,S20*Alukset_fx!$B$75))))))),"-")</f>
        <v>0</v>
      </c>
      <c r="U20" s="208">
        <f t="shared" si="2"/>
        <v>0</v>
      </c>
      <c r="V20" s="208">
        <f t="shared" si="3"/>
        <v>0</v>
      </c>
      <c r="W20" s="202">
        <f>Alukset_Käynnit!N27</f>
        <v>0</v>
      </c>
      <c r="X20" s="211">
        <f>IF(Q20="Other dry cargo", Alukset_fx!$C$52, IF(OR(Q20="Dry bulk",Q20="Bulk carrier"),Alukset_fx!$C$35,IF(OR(Q20="Tanker",Q20="Gas tanker",Q20="Oil tanker"),Alukset_fx!$C$57,IF(Q20="Chemical tanker",Alukset_fx!$C$56,IF(OR(Q20="Tugboat",Q20="Barge"),0,IF(Q20="Other vessel",Alukset_fx!$C$54,IF(Q20="Container ship",Alukset_fx!$C$37,IF(OR(Q20="RoPax",Q20="RoRo",Q20="Vehicle carrier"),Alukset_fx!$C$55,0))))))))</f>
        <v>0</v>
      </c>
      <c r="Y20" s="211">
        <f>IF(Q20="Other dry cargo", Alukset_fx!$Q$52, IF(OR(Q20="Dry bulk",Q20="Bulk carrier"),Alukset_fx!$Q$35,IF(OR(Q20="Tanker",Q20="Gas tanker",Q20="Oil tanker"),Alukset_fx!$Q$57,IF(Q20="Chemical tanker",Alukset_fx!$Q$56,IF(OR(Q20="Tugboat",Q20="Barge"),0,IF(Q20="Other vessel",Alukset_fx!$Q$54,IF(Q20="Container ship",Alukset_fx!$Q$37,IF(OR(Q20="RoPax",Q20="RoRo",Q20="Vehicle carrier"),Alukset_fx!$Q$55,0))))))))</f>
        <v>0</v>
      </c>
      <c r="Z20" t="str">
        <f t="shared" si="4"/>
        <v>MDO/MGO</v>
      </c>
      <c r="AA20" t="str">
        <f t="shared" si="5"/>
        <v>MSD</v>
      </c>
      <c r="AB20" t="str">
        <f t="shared" si="6"/>
        <v>MDO/MGO</v>
      </c>
      <c r="AC20" t="str">
        <f t="shared" si="7"/>
        <v>MSD</v>
      </c>
      <c r="AD20" t="str">
        <f t="shared" si="8"/>
        <v>MDO/MGO</v>
      </c>
      <c r="AE20" t="str">
        <f t="shared" si="9"/>
        <v>ST</v>
      </c>
      <c r="AG20">
        <f>Alukset_Käynnit!O27</f>
        <v>0</v>
      </c>
      <c r="AH20" s="207">
        <f>IF(AA20="SSD",((U20*Alukset_fx!$B$24)*Alukset_Käynnit_Lask!W20*(Alukset_fx!$K$49)/1000),IF(AA20="MSD",((U20*Alukset_fx!$B$24)*Alukset_Käynnit_Lask!W20*(Alukset_fx!$K$52)/1000),IF(AA20="HSD",((U20*Alukset_fx!$B$24)*Alukset_Käynnit_Lask!W20*(Alukset_fx!$K$55)/1000),0)))</f>
        <v>0</v>
      </c>
      <c r="AI20" s="207">
        <f>IF(AC20="MSD",((V20*Alukset_fx!$B$25)*Alukset_Käynnit_Lask!W20*(Alukset_fx!$L$52)/1000),IF(AC20="HSD",((V20*Alukset_fx!$B$25)*Alukset_Käynnit_Lask!W20*(Alukset_fx!$L$55)/1000),0))</f>
        <v>0</v>
      </c>
      <c r="AJ20" s="207">
        <f>X20*W20*Alukset_fx!$K$61/1000</f>
        <v>0</v>
      </c>
      <c r="AK20">
        <v>0</v>
      </c>
      <c r="AL20" s="207">
        <f>IF(AG20="Käytetty",0,IF(AC20="MSD",((V20*Alukset_fx!$O$25)*Alukset_Käynnit_Lask!O20*(Alukset_fx!$L$52)/1000),IF(AC20="HSD",((V20*Alukset_fx!$O$25)*Alukset_Käynnit_Lask!O20*(Alukset_fx!$L$55)/1000),0)))</f>
        <v>0</v>
      </c>
      <c r="AM20" s="207">
        <f>IF(AG20="Käytetty",0,Y20*O20*Alukset_fx!$K$61/1000)</f>
        <v>0</v>
      </c>
      <c r="AN20" s="213">
        <f t="shared" si="10"/>
        <v>0</v>
      </c>
    </row>
    <row r="21" spans="1:40" x14ac:dyDescent="0.25">
      <c r="A21" s="203">
        <f>Alukset_Käynnit!A28</f>
        <v>0</v>
      </c>
      <c r="B21" s="203">
        <f>Alukset_Käynnit!B28</f>
        <v>0</v>
      </c>
      <c r="C21" s="262">
        <f>Alukset_Käynnit!C28</f>
        <v>0</v>
      </c>
      <c r="D21" s="266">
        <f>Alukset_Käynnit!D28</f>
        <v>0</v>
      </c>
      <c r="E21" s="262">
        <f>Alukset_Käynnit!E28</f>
        <v>0</v>
      </c>
      <c r="F21" s="262">
        <f>Alukset_Käynnit!F28</f>
        <v>0</v>
      </c>
      <c r="G21" s="262">
        <f>Alukset_Käynnit!G28</f>
        <v>0</v>
      </c>
      <c r="H21" s="262">
        <f>Alukset_Käynnit!H28</f>
        <v>0</v>
      </c>
      <c r="I21" s="262">
        <f>Alukset_Käynnit!I28</f>
        <v>0</v>
      </c>
      <c r="J21" s="262">
        <f>Alukset_Käynnit!J28</f>
        <v>0</v>
      </c>
      <c r="K21" s="262">
        <f>Alukset_Käynnit!K28</f>
        <v>0</v>
      </c>
      <c r="L21" s="205">
        <f>Alukset_Käynnit!L28</f>
        <v>0</v>
      </c>
      <c r="N21" s="273">
        <f t="shared" si="0"/>
        <v>0</v>
      </c>
      <c r="O21" s="274">
        <f t="shared" si="11"/>
        <v>0</v>
      </c>
      <c r="P21" s="202"/>
      <c r="Q21" s="204">
        <f t="shared" si="1"/>
        <v>0</v>
      </c>
      <c r="R21" s="202">
        <f>IF(Q21="Other dry cargo",L21*Alukset_fx!$B$71,IF(OR(Q21="Dry bulk",Q21="Bulk carrier"),L21*Alukset_fx!$B$69,IF(Q21="Tugboat",L21*Alukset_fx!$B$76,IF(OR(Q21="Tanker",Q21="Gas tanker",Q21="Chemical tanker",Q21="Oil tanker"),L21*Alukset_fx!$B$68,IF(OR(Q21="RoRo",Q21="Vehicle carrier"),L21*Alukset_fx!$B$72,IF(Q21="RoPax",L21*Alukset_fx!$B$73,IF(Q21="Container ship",L21*Alukset_fx!$B$70,IF(Q21="Barge",0,L21*Alukset_fx!$B$75))))))))</f>
        <v>0</v>
      </c>
      <c r="S21" s="210">
        <f>IF(L21=0,IF(Q21="Other dry cargo",Alukset_fx!$H$73*(Alukset_Käynnit_Lask!K21^Alukset_fx!$I$73),IF(OR(Q21="Dry Bulk",Q21="Bulk carrier"),Alukset_fx!$H$71*(Alukset_Käynnit_Lask!K21^Alukset_fx!$I$71),IF(Q21="Tugboat",Alukset_fx!$H$78*(Alukset_Käynnit_Lask!K21^Alukset_fx!$I$78),IF(OR(Q21="Tanker",Q21="Gas tanker",Q21="Chemical tanker",Q21="Oil tanker"),Alukset_fx!$H$70*(Alukset_Käynnit_Lask!K21^Alukset_fx!$I$70),IF(Q21="Container ship",Alukset_fx!$H$72*(Alukset_Käynnit_Lask!K21^Alukset_fx!$I$72),IF(Q21="Barge",0,IF(Q21="RoPax",Alukset_fx!$H$75*(Alukset_Käynnit_Lask!K21^Alukset_fx!$I$75),IF(OR(Q21="RoRo",Q21="Vehicle carrier"),Alukset_fx!$H$74*(Alukset_Käynnit_Lask!K21^Alukset_fx!$I$74),Alukset_fx!$H$77*(Alukset_Käynnit_Lask!K21^Alukset_fx!$I$77))))))))),"-")</f>
        <v>0</v>
      </c>
      <c r="T21" s="208">
        <f>IF(R21=0,IF(Q21="Other dry cargo",S21*Alukset_fx!$B$71,IF(OR(Q21="Dry bulk",Q21="Bulk carrier"),S21*Alukset_fx!$B$69,IF(Q21="Tugboat",S21*Alukset_fx!$B$76,IF(OR(Q21="Tanker",Q21="Gas tanker",Q21="Chemical tanker",Q21="Oil tanker"),S21*Alukset_fx!$B$68,IF(OR(Q21="RoRo",Q21="Vehicle carrier"),S21*Alukset_fx!$B$72,IF(Q21="RoPax",S21*Alukset_fx!$B$73,IF(Q21="Container ship",S21*Alukset_fx!$B$70,S21*Alukset_fx!$B$75))))))),"-")</f>
        <v>0</v>
      </c>
      <c r="U21" s="208">
        <f t="shared" si="2"/>
        <v>0</v>
      </c>
      <c r="V21" s="208">
        <f t="shared" si="3"/>
        <v>0</v>
      </c>
      <c r="W21" s="202">
        <f>Alukset_Käynnit!N28</f>
        <v>0</v>
      </c>
      <c r="X21" s="211">
        <f>IF(Q21="Other dry cargo", Alukset_fx!$C$52, IF(OR(Q21="Dry bulk",Q21="Bulk carrier"),Alukset_fx!$C$35,IF(OR(Q21="Tanker",Q21="Gas tanker",Q21="Oil tanker"),Alukset_fx!$C$57,IF(Q21="Chemical tanker",Alukset_fx!$C$56,IF(OR(Q21="Tugboat",Q21="Barge"),0,IF(Q21="Other vessel",Alukset_fx!$C$54,IF(Q21="Container ship",Alukset_fx!$C$37,IF(OR(Q21="RoPax",Q21="RoRo",Q21="Vehicle carrier"),Alukset_fx!$C$55,0))))))))</f>
        <v>0</v>
      </c>
      <c r="Y21" s="211">
        <f>IF(Q21="Other dry cargo", Alukset_fx!$Q$52, IF(OR(Q21="Dry bulk",Q21="Bulk carrier"),Alukset_fx!$Q$35,IF(OR(Q21="Tanker",Q21="Gas tanker",Q21="Oil tanker"),Alukset_fx!$Q$57,IF(Q21="Chemical tanker",Alukset_fx!$Q$56,IF(OR(Q21="Tugboat",Q21="Barge"),0,IF(Q21="Other vessel",Alukset_fx!$Q$54,IF(Q21="Container ship",Alukset_fx!$Q$37,IF(OR(Q21="RoPax",Q21="RoRo",Q21="Vehicle carrier"),Alukset_fx!$Q$55,0))))))))</f>
        <v>0</v>
      </c>
      <c r="Z21" t="str">
        <f t="shared" si="4"/>
        <v>MDO/MGO</v>
      </c>
      <c r="AA21" t="str">
        <f t="shared" si="5"/>
        <v>MSD</v>
      </c>
      <c r="AB21" t="str">
        <f t="shared" si="6"/>
        <v>MDO/MGO</v>
      </c>
      <c r="AC21" t="str">
        <f t="shared" si="7"/>
        <v>MSD</v>
      </c>
      <c r="AD21" t="str">
        <f t="shared" si="8"/>
        <v>MDO/MGO</v>
      </c>
      <c r="AE21" t="str">
        <f t="shared" si="9"/>
        <v>ST</v>
      </c>
      <c r="AG21">
        <f>Alukset_Käynnit!O28</f>
        <v>0</v>
      </c>
      <c r="AH21" s="207">
        <f>IF(AA21="SSD",((U21*Alukset_fx!$B$24)*Alukset_Käynnit_Lask!W21*(Alukset_fx!$K$49)/1000),IF(AA21="MSD",((U21*Alukset_fx!$B$24)*Alukset_Käynnit_Lask!W21*(Alukset_fx!$K$52)/1000),IF(AA21="HSD",((U21*Alukset_fx!$B$24)*Alukset_Käynnit_Lask!W21*(Alukset_fx!$K$55)/1000),0)))</f>
        <v>0</v>
      </c>
      <c r="AI21" s="207">
        <f>IF(AC21="MSD",((V21*Alukset_fx!$B$25)*Alukset_Käynnit_Lask!W21*(Alukset_fx!$L$52)/1000),IF(AC21="HSD",((V21*Alukset_fx!$B$25)*Alukset_Käynnit_Lask!W21*(Alukset_fx!$L$55)/1000),0))</f>
        <v>0</v>
      </c>
      <c r="AJ21" s="207">
        <f>X21*W21*Alukset_fx!$K$61/1000</f>
        <v>0</v>
      </c>
      <c r="AK21">
        <v>0</v>
      </c>
      <c r="AL21" s="207">
        <f>IF(AG21="Käytetty",0,IF(AC21="MSD",((V21*Alukset_fx!$O$25)*Alukset_Käynnit_Lask!O21*(Alukset_fx!$L$52)/1000),IF(AC21="HSD",((V21*Alukset_fx!$O$25)*Alukset_Käynnit_Lask!O21*(Alukset_fx!$L$55)/1000),0)))</f>
        <v>0</v>
      </c>
      <c r="AM21" s="207">
        <f>IF(AG21="Käytetty",0,Y21*O21*Alukset_fx!$K$61/1000)</f>
        <v>0</v>
      </c>
      <c r="AN21" s="213">
        <f t="shared" si="10"/>
        <v>0</v>
      </c>
    </row>
    <row r="22" spans="1:40" x14ac:dyDescent="0.25">
      <c r="A22" s="203">
        <f>Alukset_Käynnit!A29</f>
        <v>0</v>
      </c>
      <c r="B22" s="203">
        <f>Alukset_Käynnit!B29</f>
        <v>0</v>
      </c>
      <c r="C22" s="262">
        <f>Alukset_Käynnit!C29</f>
        <v>0</v>
      </c>
      <c r="D22" s="266">
        <f>Alukset_Käynnit!D29</f>
        <v>0</v>
      </c>
      <c r="E22" s="262">
        <f>Alukset_Käynnit!E29</f>
        <v>0</v>
      </c>
      <c r="F22" s="262">
        <f>Alukset_Käynnit!F29</f>
        <v>0</v>
      </c>
      <c r="G22" s="262">
        <f>Alukset_Käynnit!G29</f>
        <v>0</v>
      </c>
      <c r="H22" s="262">
        <f>Alukset_Käynnit!H29</f>
        <v>0</v>
      </c>
      <c r="I22" s="262">
        <f>Alukset_Käynnit!I29</f>
        <v>0</v>
      </c>
      <c r="J22" s="262">
        <f>Alukset_Käynnit!J29</f>
        <v>0</v>
      </c>
      <c r="K22" s="262">
        <f>Alukset_Käynnit!K29</f>
        <v>0</v>
      </c>
      <c r="L22" s="205">
        <f>Alukset_Käynnit!L29</f>
        <v>0</v>
      </c>
      <c r="N22" s="273">
        <f t="shared" si="0"/>
        <v>0</v>
      </c>
      <c r="O22" s="274">
        <f t="shared" si="11"/>
        <v>0</v>
      </c>
      <c r="P22" s="202"/>
      <c r="Q22" s="204">
        <f t="shared" si="1"/>
        <v>0</v>
      </c>
      <c r="R22" s="202">
        <f>IF(Q22="Other dry cargo",L22*Alukset_fx!$B$71,IF(OR(Q22="Dry bulk",Q22="Bulk carrier"),L22*Alukset_fx!$B$69,IF(Q22="Tugboat",L22*Alukset_fx!$B$76,IF(OR(Q22="Tanker",Q22="Gas tanker",Q22="Chemical tanker",Q22="Oil tanker"),L22*Alukset_fx!$B$68,IF(OR(Q22="RoRo",Q22="Vehicle carrier"),L22*Alukset_fx!$B$72,IF(Q22="RoPax",L22*Alukset_fx!$B$73,IF(Q22="Container ship",L22*Alukset_fx!$B$70,IF(Q22="Barge",0,L22*Alukset_fx!$B$75))))))))</f>
        <v>0</v>
      </c>
      <c r="S22" s="210">
        <f>IF(L22=0,IF(Q22="Other dry cargo",Alukset_fx!$H$73*(Alukset_Käynnit_Lask!K22^Alukset_fx!$I$73),IF(OR(Q22="Dry Bulk",Q22="Bulk carrier"),Alukset_fx!$H$71*(Alukset_Käynnit_Lask!K22^Alukset_fx!$I$71),IF(Q22="Tugboat",Alukset_fx!$H$78*(Alukset_Käynnit_Lask!K22^Alukset_fx!$I$78),IF(OR(Q22="Tanker",Q22="Gas tanker",Q22="Chemical tanker",Q22="Oil tanker"),Alukset_fx!$H$70*(Alukset_Käynnit_Lask!K22^Alukset_fx!$I$70),IF(Q22="Container ship",Alukset_fx!$H$72*(Alukset_Käynnit_Lask!K22^Alukset_fx!$I$72),IF(Q22="Barge",0,IF(Q22="RoPax",Alukset_fx!$H$75*(Alukset_Käynnit_Lask!K22^Alukset_fx!$I$75),IF(OR(Q22="RoRo",Q22="Vehicle carrier"),Alukset_fx!$H$74*(Alukset_Käynnit_Lask!K22^Alukset_fx!$I$74),Alukset_fx!$H$77*(Alukset_Käynnit_Lask!K22^Alukset_fx!$I$77))))))))),"-")</f>
        <v>0</v>
      </c>
      <c r="T22" s="208">
        <f>IF(R22=0,IF(Q22="Other dry cargo",S22*Alukset_fx!$B$71,IF(OR(Q22="Dry bulk",Q22="Bulk carrier"),S22*Alukset_fx!$B$69,IF(Q22="Tugboat",S22*Alukset_fx!$B$76,IF(OR(Q22="Tanker",Q22="Gas tanker",Q22="Chemical tanker",Q22="Oil tanker"),S22*Alukset_fx!$B$68,IF(OR(Q22="RoRo",Q22="Vehicle carrier"),S22*Alukset_fx!$B$72,IF(Q22="RoPax",S22*Alukset_fx!$B$73,IF(Q22="Container ship",S22*Alukset_fx!$B$70,S22*Alukset_fx!$B$75))))))),"-")</f>
        <v>0</v>
      </c>
      <c r="U22" s="208">
        <f t="shared" si="2"/>
        <v>0</v>
      </c>
      <c r="V22" s="208">
        <f t="shared" si="3"/>
        <v>0</v>
      </c>
      <c r="W22" s="202">
        <f>Alukset_Käynnit!N29</f>
        <v>0</v>
      </c>
      <c r="X22" s="211">
        <f>IF(Q22="Other dry cargo", Alukset_fx!$C$52, IF(OR(Q22="Dry bulk",Q22="Bulk carrier"),Alukset_fx!$C$35,IF(OR(Q22="Tanker",Q22="Gas tanker",Q22="Oil tanker"),Alukset_fx!$C$57,IF(Q22="Chemical tanker",Alukset_fx!$C$56,IF(OR(Q22="Tugboat",Q22="Barge"),0,IF(Q22="Other vessel",Alukset_fx!$C$54,IF(Q22="Container ship",Alukset_fx!$C$37,IF(OR(Q22="RoPax",Q22="RoRo",Q22="Vehicle carrier"),Alukset_fx!$C$55,0))))))))</f>
        <v>0</v>
      </c>
      <c r="Y22" s="211">
        <f>IF(Q22="Other dry cargo", Alukset_fx!$Q$52, IF(OR(Q22="Dry bulk",Q22="Bulk carrier"),Alukset_fx!$Q$35,IF(OR(Q22="Tanker",Q22="Gas tanker",Q22="Oil tanker"),Alukset_fx!$Q$57,IF(Q22="Chemical tanker",Alukset_fx!$Q$56,IF(OR(Q22="Tugboat",Q22="Barge"),0,IF(Q22="Other vessel",Alukset_fx!$Q$54,IF(Q22="Container ship",Alukset_fx!$Q$37,IF(OR(Q22="RoPax",Q22="RoRo",Q22="Vehicle carrier"),Alukset_fx!$Q$55,0))))))))</f>
        <v>0</v>
      </c>
      <c r="Z22" t="str">
        <f t="shared" si="4"/>
        <v>MDO/MGO</v>
      </c>
      <c r="AA22" t="str">
        <f t="shared" si="5"/>
        <v>MSD</v>
      </c>
      <c r="AB22" t="str">
        <f t="shared" si="6"/>
        <v>MDO/MGO</v>
      </c>
      <c r="AC22" t="str">
        <f t="shared" si="7"/>
        <v>MSD</v>
      </c>
      <c r="AD22" t="str">
        <f t="shared" si="8"/>
        <v>MDO/MGO</v>
      </c>
      <c r="AE22" t="str">
        <f t="shared" si="9"/>
        <v>ST</v>
      </c>
      <c r="AG22">
        <f>Alukset_Käynnit!O29</f>
        <v>0</v>
      </c>
      <c r="AH22" s="207">
        <f>IF(AA22="SSD",((U22*Alukset_fx!$B$24)*Alukset_Käynnit_Lask!W22*(Alukset_fx!$K$49)/1000),IF(AA22="MSD",((U22*Alukset_fx!$B$24)*Alukset_Käynnit_Lask!W22*(Alukset_fx!$K$52)/1000),IF(AA22="HSD",((U22*Alukset_fx!$B$24)*Alukset_Käynnit_Lask!W22*(Alukset_fx!$K$55)/1000),0)))</f>
        <v>0</v>
      </c>
      <c r="AI22" s="207">
        <f>IF(AC22="MSD",((V22*Alukset_fx!$B$25)*Alukset_Käynnit_Lask!W22*(Alukset_fx!$L$52)/1000),IF(AC22="HSD",((V22*Alukset_fx!$B$25)*Alukset_Käynnit_Lask!W22*(Alukset_fx!$L$55)/1000),0))</f>
        <v>0</v>
      </c>
      <c r="AJ22" s="207">
        <f>X22*W22*Alukset_fx!$K$61/1000</f>
        <v>0</v>
      </c>
      <c r="AK22">
        <v>0</v>
      </c>
      <c r="AL22" s="207">
        <f>IF(AG22="Käytetty",0,IF(AC22="MSD",((V22*Alukset_fx!$O$25)*Alukset_Käynnit_Lask!O22*(Alukset_fx!$L$52)/1000),IF(AC22="HSD",((V22*Alukset_fx!$O$25)*Alukset_Käynnit_Lask!O22*(Alukset_fx!$L$55)/1000),0)))</f>
        <v>0</v>
      </c>
      <c r="AM22" s="207">
        <f>IF(AG22="Käytetty",0,Y22*O22*Alukset_fx!$K$61/1000)</f>
        <v>0</v>
      </c>
      <c r="AN22" s="213">
        <f t="shared" si="10"/>
        <v>0</v>
      </c>
    </row>
    <row r="23" spans="1:40" x14ac:dyDescent="0.25">
      <c r="A23" s="203">
        <f>Alukset_Käynnit!A30</f>
        <v>0</v>
      </c>
      <c r="B23" s="203">
        <f>Alukset_Käynnit!B30</f>
        <v>0</v>
      </c>
      <c r="C23" s="262">
        <f>Alukset_Käynnit!C30</f>
        <v>0</v>
      </c>
      <c r="D23" s="266">
        <f>Alukset_Käynnit!D30</f>
        <v>0</v>
      </c>
      <c r="E23" s="262">
        <f>Alukset_Käynnit!E30</f>
        <v>0</v>
      </c>
      <c r="F23" s="262">
        <f>Alukset_Käynnit!F30</f>
        <v>0</v>
      </c>
      <c r="G23" s="262">
        <f>Alukset_Käynnit!G30</f>
        <v>0</v>
      </c>
      <c r="H23" s="262">
        <f>Alukset_Käynnit!H30</f>
        <v>0</v>
      </c>
      <c r="I23" s="262">
        <f>Alukset_Käynnit!I30</f>
        <v>0</v>
      </c>
      <c r="J23" s="262">
        <f>Alukset_Käynnit!J30</f>
        <v>0</v>
      </c>
      <c r="K23" s="262">
        <f>Alukset_Käynnit!K30</f>
        <v>0</v>
      </c>
      <c r="L23" s="205">
        <f>Alukset_Käynnit!L30</f>
        <v>0</v>
      </c>
      <c r="N23" s="273">
        <f t="shared" si="0"/>
        <v>0</v>
      </c>
      <c r="O23" s="274">
        <f t="shared" si="11"/>
        <v>0</v>
      </c>
      <c r="P23" s="202"/>
      <c r="Q23" s="204">
        <f t="shared" si="1"/>
        <v>0</v>
      </c>
      <c r="R23" s="202">
        <f>IF(Q23="Other dry cargo",L23*Alukset_fx!$B$71,IF(OR(Q23="Dry bulk",Q23="Bulk carrier"),L23*Alukset_fx!$B$69,IF(Q23="Tugboat",L23*Alukset_fx!$B$76,IF(OR(Q23="Tanker",Q23="Gas tanker",Q23="Chemical tanker",Q23="Oil tanker"),L23*Alukset_fx!$B$68,IF(OR(Q23="RoRo",Q23="Vehicle carrier"),L23*Alukset_fx!$B$72,IF(Q23="RoPax",L23*Alukset_fx!$B$73,IF(Q23="Container ship",L23*Alukset_fx!$B$70,IF(Q23="Barge",0,L23*Alukset_fx!$B$75))))))))</f>
        <v>0</v>
      </c>
      <c r="S23" s="210">
        <f>IF(L23=0,IF(Q23="Other dry cargo",Alukset_fx!$H$73*(Alukset_Käynnit_Lask!K23^Alukset_fx!$I$73),IF(OR(Q23="Dry Bulk",Q23="Bulk carrier"),Alukset_fx!$H$71*(Alukset_Käynnit_Lask!K23^Alukset_fx!$I$71),IF(Q23="Tugboat",Alukset_fx!$H$78*(Alukset_Käynnit_Lask!K23^Alukset_fx!$I$78),IF(OR(Q23="Tanker",Q23="Gas tanker",Q23="Chemical tanker",Q23="Oil tanker"),Alukset_fx!$H$70*(Alukset_Käynnit_Lask!K23^Alukset_fx!$I$70),IF(Q23="Container ship",Alukset_fx!$H$72*(Alukset_Käynnit_Lask!K23^Alukset_fx!$I$72),IF(Q23="Barge",0,IF(Q23="RoPax",Alukset_fx!$H$75*(Alukset_Käynnit_Lask!K23^Alukset_fx!$I$75),IF(OR(Q23="RoRo",Q23="Vehicle carrier"),Alukset_fx!$H$74*(Alukset_Käynnit_Lask!K23^Alukset_fx!$I$74),Alukset_fx!$H$77*(Alukset_Käynnit_Lask!K23^Alukset_fx!$I$77))))))))),"-")</f>
        <v>0</v>
      </c>
      <c r="T23" s="208">
        <f>IF(R23=0,IF(Q23="Other dry cargo",S23*Alukset_fx!$B$71,IF(OR(Q23="Dry bulk",Q23="Bulk carrier"),S23*Alukset_fx!$B$69,IF(Q23="Tugboat",S23*Alukset_fx!$B$76,IF(OR(Q23="Tanker",Q23="Gas tanker",Q23="Chemical tanker",Q23="Oil tanker"),S23*Alukset_fx!$B$68,IF(OR(Q23="RoRo",Q23="Vehicle carrier"),S23*Alukset_fx!$B$72,IF(Q23="RoPax",S23*Alukset_fx!$B$73,IF(Q23="Container ship",S23*Alukset_fx!$B$70,S23*Alukset_fx!$B$75))))))),"-")</f>
        <v>0</v>
      </c>
      <c r="U23" s="208">
        <f t="shared" si="2"/>
        <v>0</v>
      </c>
      <c r="V23" s="208">
        <f t="shared" si="3"/>
        <v>0</v>
      </c>
      <c r="W23" s="202">
        <f>Alukset_Käynnit!N30</f>
        <v>0</v>
      </c>
      <c r="X23" s="211">
        <f>IF(Q23="Other dry cargo", Alukset_fx!$C$52, IF(OR(Q23="Dry bulk",Q23="Bulk carrier"),Alukset_fx!$C$35,IF(OR(Q23="Tanker",Q23="Gas tanker",Q23="Oil tanker"),Alukset_fx!$C$57,IF(Q23="Chemical tanker",Alukset_fx!$C$56,IF(OR(Q23="Tugboat",Q23="Barge"),0,IF(Q23="Other vessel",Alukset_fx!$C$54,IF(Q23="Container ship",Alukset_fx!$C$37,IF(OR(Q23="RoPax",Q23="RoRo",Q23="Vehicle carrier"),Alukset_fx!$C$55,0))))))))</f>
        <v>0</v>
      </c>
      <c r="Y23" s="211">
        <f>IF(Q23="Other dry cargo", Alukset_fx!$Q$52, IF(OR(Q23="Dry bulk",Q23="Bulk carrier"),Alukset_fx!$Q$35,IF(OR(Q23="Tanker",Q23="Gas tanker",Q23="Oil tanker"),Alukset_fx!$Q$57,IF(Q23="Chemical tanker",Alukset_fx!$Q$56,IF(OR(Q23="Tugboat",Q23="Barge"),0,IF(Q23="Other vessel",Alukset_fx!$Q$54,IF(Q23="Container ship",Alukset_fx!$Q$37,IF(OR(Q23="RoPax",Q23="RoRo",Q23="Vehicle carrier"),Alukset_fx!$Q$55,0))))))))</f>
        <v>0</v>
      </c>
      <c r="Z23" t="str">
        <f t="shared" si="4"/>
        <v>MDO/MGO</v>
      </c>
      <c r="AA23" t="str">
        <f t="shared" si="5"/>
        <v>MSD</v>
      </c>
      <c r="AB23" t="str">
        <f t="shared" si="6"/>
        <v>MDO/MGO</v>
      </c>
      <c r="AC23" t="str">
        <f t="shared" si="7"/>
        <v>MSD</v>
      </c>
      <c r="AD23" t="str">
        <f t="shared" si="8"/>
        <v>MDO/MGO</v>
      </c>
      <c r="AE23" t="str">
        <f t="shared" si="9"/>
        <v>ST</v>
      </c>
      <c r="AG23">
        <f>Alukset_Käynnit!O30</f>
        <v>0</v>
      </c>
      <c r="AH23" s="207">
        <f>IF(AA23="SSD",((U23*Alukset_fx!$B$24)*Alukset_Käynnit_Lask!W23*(Alukset_fx!$K$49)/1000),IF(AA23="MSD",((U23*Alukset_fx!$B$24)*Alukset_Käynnit_Lask!W23*(Alukset_fx!$K$52)/1000),IF(AA23="HSD",((U23*Alukset_fx!$B$24)*Alukset_Käynnit_Lask!W23*(Alukset_fx!$K$55)/1000),0)))</f>
        <v>0</v>
      </c>
      <c r="AI23" s="207">
        <f>IF(AC23="MSD",((V23*Alukset_fx!$B$25)*Alukset_Käynnit_Lask!W23*(Alukset_fx!$L$52)/1000),IF(AC23="HSD",((V23*Alukset_fx!$B$25)*Alukset_Käynnit_Lask!W23*(Alukset_fx!$L$55)/1000),0))</f>
        <v>0</v>
      </c>
      <c r="AJ23" s="207">
        <f>X23*W23*Alukset_fx!$K$61/1000</f>
        <v>0</v>
      </c>
      <c r="AK23">
        <v>0</v>
      </c>
      <c r="AL23" s="207">
        <f>IF(AG23="Käytetty",0,IF(AC23="MSD",((V23*Alukset_fx!$O$25)*Alukset_Käynnit_Lask!O23*(Alukset_fx!$L$52)/1000),IF(AC23="HSD",((V23*Alukset_fx!$O$25)*Alukset_Käynnit_Lask!O23*(Alukset_fx!$L$55)/1000),0)))</f>
        <v>0</v>
      </c>
      <c r="AM23" s="207">
        <f>IF(AG23="Käytetty",0,Y23*O23*Alukset_fx!$K$61/1000)</f>
        <v>0</v>
      </c>
      <c r="AN23" s="213">
        <f t="shared" si="10"/>
        <v>0</v>
      </c>
    </row>
    <row r="24" spans="1:40" x14ac:dyDescent="0.25">
      <c r="A24" s="203">
        <f>Alukset_Käynnit!A31</f>
        <v>0</v>
      </c>
      <c r="B24" s="203">
        <f>Alukset_Käynnit!B31</f>
        <v>0</v>
      </c>
      <c r="C24" s="262">
        <f>Alukset_Käynnit!C31</f>
        <v>0</v>
      </c>
      <c r="D24" s="266">
        <f>Alukset_Käynnit!D31</f>
        <v>0</v>
      </c>
      <c r="E24" s="262">
        <f>Alukset_Käynnit!E31</f>
        <v>0</v>
      </c>
      <c r="F24" s="262">
        <f>Alukset_Käynnit!F31</f>
        <v>0</v>
      </c>
      <c r="G24" s="262">
        <f>Alukset_Käynnit!G31</f>
        <v>0</v>
      </c>
      <c r="H24" s="262">
        <f>Alukset_Käynnit!H31</f>
        <v>0</v>
      </c>
      <c r="I24" s="262">
        <f>Alukset_Käynnit!I31</f>
        <v>0</v>
      </c>
      <c r="J24" s="262">
        <f>Alukset_Käynnit!J31</f>
        <v>0</v>
      </c>
      <c r="K24" s="262">
        <f>Alukset_Käynnit!K31</f>
        <v>0</v>
      </c>
      <c r="L24" s="205">
        <f>Alukset_Käynnit!L31</f>
        <v>0</v>
      </c>
      <c r="N24" s="275">
        <f t="shared" si="0"/>
        <v>0</v>
      </c>
      <c r="O24" s="276">
        <f t="shared" si="11"/>
        <v>0</v>
      </c>
      <c r="P24" s="202"/>
      <c r="Q24" s="204">
        <f t="shared" si="1"/>
        <v>0</v>
      </c>
      <c r="R24" s="202">
        <f>IF(Q24="Other dry cargo",L24*Alukset_fx!$B$71,IF(OR(Q24="Dry bulk",Q24="Bulk carrier"),L24*Alukset_fx!$B$69,IF(Q24="Tugboat",L24*Alukset_fx!$B$76,IF(OR(Q24="Tanker",Q24="Gas tanker",Q24="Chemical tanker",Q24="Oil tanker"),L24*Alukset_fx!$B$68,IF(OR(Q24="RoRo",Q24="Vehicle carrier"),L24*Alukset_fx!$B$72,IF(Q24="RoPax",L24*Alukset_fx!$B$73,IF(Q24="Container ship",L24*Alukset_fx!$B$70,IF(Q24="Barge",0,L24*Alukset_fx!$B$75))))))))</f>
        <v>0</v>
      </c>
      <c r="S24" s="210">
        <f>IF(L24=0,IF(Q24="Other dry cargo",Alukset_fx!$H$73*(Alukset_Käynnit_Lask!K24^Alukset_fx!$I$73),IF(OR(Q24="Dry Bulk",Q24="Bulk carrier"),Alukset_fx!$H$71*(Alukset_Käynnit_Lask!K24^Alukset_fx!$I$71),IF(Q24="Tugboat",Alukset_fx!$H$78*(Alukset_Käynnit_Lask!K24^Alukset_fx!$I$78),IF(OR(Q24="Tanker",Q24="Gas tanker",Q24="Chemical tanker",Q24="Oil tanker"),Alukset_fx!$H$70*(Alukset_Käynnit_Lask!K24^Alukset_fx!$I$70),IF(Q24="Container ship",Alukset_fx!$H$72*(Alukset_Käynnit_Lask!K24^Alukset_fx!$I$72),IF(Q24="Barge",0,IF(Q24="RoPax",Alukset_fx!$H$75*(Alukset_Käynnit_Lask!K24^Alukset_fx!$I$75),IF(OR(Q24="RoRo",Q24="Vehicle carrier"),Alukset_fx!$H$74*(Alukset_Käynnit_Lask!K24^Alukset_fx!$I$74),Alukset_fx!$H$77*(Alukset_Käynnit_Lask!K24^Alukset_fx!$I$77))))))))),"-")</f>
        <v>0</v>
      </c>
      <c r="T24" s="208">
        <f>IF(R24=0,IF(Q24="Other dry cargo",S24*Alukset_fx!$B$71,IF(OR(Q24="Dry bulk",Q24="Bulk carrier"),S24*Alukset_fx!$B$69,IF(Q24="Tugboat",S24*Alukset_fx!$B$76,IF(OR(Q24="Tanker",Q24="Gas tanker",Q24="Chemical tanker",Q24="Oil tanker"),S24*Alukset_fx!$B$68,IF(OR(Q24="RoRo",Q24="Vehicle carrier"),S24*Alukset_fx!$B$72,IF(Q24="RoPax",S24*Alukset_fx!$B$73,IF(Q24="Container ship",S24*Alukset_fx!$B$70,S24*Alukset_fx!$B$75))))))),"-")</f>
        <v>0</v>
      </c>
      <c r="U24" s="208">
        <f t="shared" si="2"/>
        <v>0</v>
      </c>
      <c r="V24" s="208">
        <f t="shared" si="3"/>
        <v>0</v>
      </c>
      <c r="W24" s="202">
        <f>Alukset_Käynnit!N31</f>
        <v>0</v>
      </c>
      <c r="X24" s="211">
        <f>IF(Q24="Other dry cargo", Alukset_fx!$C$52, IF(OR(Q24="Dry bulk",Q24="Bulk carrier"),Alukset_fx!$C$35,IF(OR(Q24="Tanker",Q24="Gas tanker",Q24="Oil tanker"),Alukset_fx!$C$57,IF(Q24="Chemical tanker",Alukset_fx!$C$56,IF(OR(Q24="Tugboat",Q24="Barge"),0,IF(Q24="Other vessel",Alukset_fx!$C$54,IF(Q24="Container ship",Alukset_fx!$C$37,IF(OR(Q24="RoPax",Q24="RoRo",Q24="Vehicle carrier"),Alukset_fx!$C$55,0))))))))</f>
        <v>0</v>
      </c>
      <c r="Y24" s="211">
        <f>IF(Q24="Other dry cargo", Alukset_fx!$Q$52, IF(OR(Q24="Dry bulk",Q24="Bulk carrier"),Alukset_fx!$Q$35,IF(OR(Q24="Tanker",Q24="Gas tanker",Q24="Oil tanker"),Alukset_fx!$Q$57,IF(Q24="Chemical tanker",Alukset_fx!$Q$56,IF(OR(Q24="Tugboat",Q24="Barge"),0,IF(Q24="Other vessel",Alukset_fx!$Q$54,IF(Q24="Container ship",Alukset_fx!$Q$37,IF(OR(Q24="RoPax",Q24="RoRo",Q24="Vehicle carrier"),Alukset_fx!$Q$55,0))))))))</f>
        <v>0</v>
      </c>
      <c r="Z24" t="str">
        <f t="shared" si="4"/>
        <v>MDO/MGO</v>
      </c>
      <c r="AA24" t="str">
        <f t="shared" si="5"/>
        <v>MSD</v>
      </c>
      <c r="AB24" t="str">
        <f t="shared" si="6"/>
        <v>MDO/MGO</v>
      </c>
      <c r="AC24" t="str">
        <f t="shared" si="7"/>
        <v>MSD</v>
      </c>
      <c r="AD24" t="str">
        <f t="shared" si="8"/>
        <v>MDO/MGO</v>
      </c>
      <c r="AE24" t="str">
        <f t="shared" si="9"/>
        <v>ST</v>
      </c>
      <c r="AG24">
        <f>Alukset_Käynnit!O31</f>
        <v>0</v>
      </c>
      <c r="AH24" s="207">
        <f>IF(AA24="SSD",((U24*Alukset_fx!$B$24)*Alukset_Käynnit_Lask!W24*(Alukset_fx!$K$49)/1000),IF(AA24="MSD",((U24*Alukset_fx!$B$24)*Alukset_Käynnit_Lask!W24*(Alukset_fx!$K$52)/1000),IF(AA24="HSD",((U24*Alukset_fx!$B$24)*Alukset_Käynnit_Lask!W24*(Alukset_fx!$K$55)/1000),0)))</f>
        <v>0</v>
      </c>
      <c r="AI24" s="207">
        <f>IF(AC24="MSD",((V24*Alukset_fx!$B$25)*Alukset_Käynnit_Lask!W24*(Alukset_fx!$L$52)/1000),IF(AC24="HSD",((V24*Alukset_fx!$B$25)*Alukset_Käynnit_Lask!W24*(Alukset_fx!$L$55)/1000),0))</f>
        <v>0</v>
      </c>
      <c r="AJ24" s="207">
        <f>X24*W24*Alukset_fx!$K$61/1000</f>
        <v>0</v>
      </c>
      <c r="AK24">
        <v>0</v>
      </c>
      <c r="AL24" s="207">
        <f>IF(AG24="Käytetty",0,IF(AC24="MSD",((V24*Alukset_fx!$O$25)*Alukset_Käynnit_Lask!O24*(Alukset_fx!$L$52)/1000),IF(AC24="HSD",((V24*Alukset_fx!$O$25)*Alukset_Käynnit_Lask!O24*(Alukset_fx!$L$55)/1000),0)))</f>
        <v>0</v>
      </c>
      <c r="AM24" s="207">
        <f>IF(AG24="Käytetty",0,Y24*O24*Alukset_fx!$K$61/1000)</f>
        <v>0</v>
      </c>
      <c r="AN24" s="213">
        <f t="shared" si="10"/>
        <v>0</v>
      </c>
    </row>
    <row r="25" spans="1:40" x14ac:dyDescent="0.25">
      <c r="A25" s="203">
        <f>Alukset_Käynnit!A32</f>
        <v>0</v>
      </c>
      <c r="B25" s="203">
        <f>Alukset_Käynnit!B32</f>
        <v>0</v>
      </c>
      <c r="C25" s="262">
        <f>Alukset_Käynnit!C32</f>
        <v>0</v>
      </c>
      <c r="D25" s="266">
        <f>Alukset_Käynnit!D32</f>
        <v>0</v>
      </c>
      <c r="E25" s="262">
        <f>Alukset_Käynnit!E32</f>
        <v>0</v>
      </c>
      <c r="F25" s="262">
        <f>Alukset_Käynnit!F32</f>
        <v>0</v>
      </c>
      <c r="G25" s="262">
        <f>Alukset_Käynnit!G32</f>
        <v>0</v>
      </c>
      <c r="H25" s="262">
        <f>Alukset_Käynnit!H32</f>
        <v>0</v>
      </c>
      <c r="I25" s="262">
        <f>Alukset_Käynnit!I32</f>
        <v>0</v>
      </c>
      <c r="J25" s="262">
        <f>Alukset_Käynnit!J32</f>
        <v>0</v>
      </c>
      <c r="K25" s="262">
        <f>Alukset_Käynnit!K32</f>
        <v>0</v>
      </c>
      <c r="L25" s="205">
        <f>Alukset_Käynnit!L32</f>
        <v>0</v>
      </c>
      <c r="N25" s="273">
        <f t="shared" si="0"/>
        <v>0</v>
      </c>
      <c r="O25" s="274">
        <f t="shared" si="11"/>
        <v>0</v>
      </c>
      <c r="P25" s="202"/>
      <c r="Q25" s="204">
        <f t="shared" si="1"/>
        <v>0</v>
      </c>
      <c r="R25" s="202">
        <f>IF(Q25="Other dry cargo",L25*Alukset_fx!$B$71,IF(OR(Q25="Dry bulk",Q25="Bulk carrier"),L25*Alukset_fx!$B$69,IF(Q25="Tugboat",L25*Alukset_fx!$B$76,IF(OR(Q25="Tanker",Q25="Gas tanker",Q25="Chemical tanker",Q25="Oil tanker"),L25*Alukset_fx!$B$68,IF(OR(Q25="RoRo",Q25="Vehicle carrier"),L25*Alukset_fx!$B$72,IF(Q25="RoPax",L25*Alukset_fx!$B$73,IF(Q25="Container ship",L25*Alukset_fx!$B$70,IF(Q25="Barge",0,L25*Alukset_fx!$B$75))))))))</f>
        <v>0</v>
      </c>
      <c r="S25" s="210">
        <f>IF(L25=0,IF(Q25="Other dry cargo",Alukset_fx!$H$73*(Alukset_Käynnit_Lask!K25^Alukset_fx!$I$73),IF(OR(Q25="Dry Bulk",Q25="Bulk carrier"),Alukset_fx!$H$71*(Alukset_Käynnit_Lask!K25^Alukset_fx!$I$71),IF(Q25="Tugboat",Alukset_fx!$H$78*(Alukset_Käynnit_Lask!K25^Alukset_fx!$I$78),IF(OR(Q25="Tanker",Q25="Gas tanker",Q25="Chemical tanker",Q25="Oil tanker"),Alukset_fx!$H$70*(Alukset_Käynnit_Lask!K25^Alukset_fx!$I$70),IF(Q25="Container ship",Alukset_fx!$H$72*(Alukset_Käynnit_Lask!K25^Alukset_fx!$I$72),IF(Q25="Barge",0,IF(Q25="RoPax",Alukset_fx!$H$75*(Alukset_Käynnit_Lask!K25^Alukset_fx!$I$75),IF(OR(Q25="RoRo",Q25="Vehicle carrier"),Alukset_fx!$H$74*(Alukset_Käynnit_Lask!K25^Alukset_fx!$I$74),Alukset_fx!$H$77*(Alukset_Käynnit_Lask!K25^Alukset_fx!$I$77))))))))),"-")</f>
        <v>0</v>
      </c>
      <c r="T25" s="208">
        <f>IF(R25=0,IF(Q25="Other dry cargo",S25*Alukset_fx!$B$71,IF(OR(Q25="Dry bulk",Q25="Bulk carrier"),S25*Alukset_fx!$B$69,IF(Q25="Tugboat",S25*Alukset_fx!$B$76,IF(OR(Q25="Tanker",Q25="Gas tanker",Q25="Chemical tanker",Q25="Oil tanker"),S25*Alukset_fx!$B$68,IF(OR(Q25="RoRo",Q25="Vehicle carrier"),S25*Alukset_fx!$B$72,IF(Q25="RoPax",S25*Alukset_fx!$B$73,IF(Q25="Container ship",S25*Alukset_fx!$B$70,S25*Alukset_fx!$B$75))))))),"-")</f>
        <v>0</v>
      </c>
      <c r="U25" s="208">
        <f t="shared" si="2"/>
        <v>0</v>
      </c>
      <c r="V25" s="208">
        <f t="shared" si="3"/>
        <v>0</v>
      </c>
      <c r="W25" s="202">
        <f>Alukset_Käynnit!N32</f>
        <v>0</v>
      </c>
      <c r="X25" s="211">
        <f>IF(Q25="Other dry cargo", Alukset_fx!$C$52, IF(OR(Q25="Dry bulk",Q25="Bulk carrier"),Alukset_fx!$C$35,IF(OR(Q25="Tanker",Q25="Gas tanker",Q25="Oil tanker"),Alukset_fx!$C$57,IF(Q25="Chemical tanker",Alukset_fx!$C$56,IF(OR(Q25="Tugboat",Q25="Barge"),0,IF(Q25="Other vessel",Alukset_fx!$C$54,IF(Q25="Container ship",Alukset_fx!$C$37,IF(OR(Q25="RoPax",Q25="RoRo",Q25="Vehicle carrier"),Alukset_fx!$C$55,0))))))))</f>
        <v>0</v>
      </c>
      <c r="Y25" s="211">
        <f>IF(Q25="Other dry cargo", Alukset_fx!$Q$52, IF(OR(Q25="Dry bulk",Q25="Bulk carrier"),Alukset_fx!$Q$35,IF(OR(Q25="Tanker",Q25="Gas tanker",Q25="Oil tanker"),Alukset_fx!$Q$57,IF(Q25="Chemical tanker",Alukset_fx!$Q$56,IF(OR(Q25="Tugboat",Q25="Barge"),0,IF(Q25="Other vessel",Alukset_fx!$Q$54,IF(Q25="Container ship",Alukset_fx!$Q$37,IF(OR(Q25="RoPax",Q25="RoRo",Q25="Vehicle carrier"),Alukset_fx!$Q$55,0))))))))</f>
        <v>0</v>
      </c>
      <c r="Z25" t="str">
        <f t="shared" si="4"/>
        <v>MDO/MGO</v>
      </c>
      <c r="AA25" t="str">
        <f t="shared" si="5"/>
        <v>MSD</v>
      </c>
      <c r="AB25" t="str">
        <f t="shared" si="6"/>
        <v>MDO/MGO</v>
      </c>
      <c r="AC25" t="str">
        <f t="shared" si="7"/>
        <v>MSD</v>
      </c>
      <c r="AD25" t="str">
        <f t="shared" si="8"/>
        <v>MDO/MGO</v>
      </c>
      <c r="AE25" t="str">
        <f t="shared" si="9"/>
        <v>ST</v>
      </c>
      <c r="AG25">
        <f>Alukset_Käynnit!O32</f>
        <v>0</v>
      </c>
      <c r="AH25" s="207">
        <f>IF(AA25="SSD",((U25*Alukset_fx!$B$24)*Alukset_Käynnit_Lask!W25*(Alukset_fx!$K$49)/1000),IF(AA25="MSD",((U25*Alukset_fx!$B$24)*Alukset_Käynnit_Lask!W25*(Alukset_fx!$K$52)/1000),IF(AA25="HSD",((U25*Alukset_fx!$B$24)*Alukset_Käynnit_Lask!W25*(Alukset_fx!$K$55)/1000),0)))</f>
        <v>0</v>
      </c>
      <c r="AI25" s="207">
        <f>IF(AC25="MSD",((V25*Alukset_fx!$B$25)*Alukset_Käynnit_Lask!W25*(Alukset_fx!$L$52)/1000),IF(AC25="HSD",((V25*Alukset_fx!$B$25)*Alukset_Käynnit_Lask!W25*(Alukset_fx!$L$55)/1000),0))</f>
        <v>0</v>
      </c>
      <c r="AJ25" s="207">
        <f>X25*W25*Alukset_fx!$K$61/1000</f>
        <v>0</v>
      </c>
      <c r="AK25">
        <v>0</v>
      </c>
      <c r="AL25" s="207">
        <f>IF(AG25="Käytetty",0,IF(AC25="MSD",((V25*Alukset_fx!$O$25)*Alukset_Käynnit_Lask!O25*(Alukset_fx!$L$52)/1000),IF(AC25="HSD",((V25*Alukset_fx!$O$25)*Alukset_Käynnit_Lask!O25*(Alukset_fx!$L$55)/1000),0)))</f>
        <v>0</v>
      </c>
      <c r="AM25" s="207">
        <f>IF(AG25="Käytetty",0,Y25*O25*Alukset_fx!$K$61/1000)</f>
        <v>0</v>
      </c>
      <c r="AN25" s="213">
        <f t="shared" si="10"/>
        <v>0</v>
      </c>
    </row>
    <row r="26" spans="1:40" x14ac:dyDescent="0.25">
      <c r="A26" s="203">
        <f>Alukset_Käynnit!A33</f>
        <v>0</v>
      </c>
      <c r="B26" s="203">
        <f>Alukset_Käynnit!B33</f>
        <v>0</v>
      </c>
      <c r="C26" s="262">
        <f>Alukset_Käynnit!C33</f>
        <v>0</v>
      </c>
      <c r="D26" s="266">
        <f>Alukset_Käynnit!D33</f>
        <v>0</v>
      </c>
      <c r="E26" s="262">
        <f>Alukset_Käynnit!E33</f>
        <v>0</v>
      </c>
      <c r="F26" s="262">
        <f>Alukset_Käynnit!F33</f>
        <v>0</v>
      </c>
      <c r="G26" s="262">
        <f>Alukset_Käynnit!G33</f>
        <v>0</v>
      </c>
      <c r="H26" s="262">
        <f>Alukset_Käynnit!H33</f>
        <v>0</v>
      </c>
      <c r="I26" s="262">
        <f>Alukset_Käynnit!I33</f>
        <v>0</v>
      </c>
      <c r="J26" s="262">
        <f>Alukset_Käynnit!J33</f>
        <v>0</v>
      </c>
      <c r="K26" s="262">
        <f>Alukset_Käynnit!K33</f>
        <v>0</v>
      </c>
      <c r="L26" s="205">
        <f>Alukset_Käynnit!L33</f>
        <v>0</v>
      </c>
      <c r="N26" s="273">
        <f t="shared" si="0"/>
        <v>0</v>
      </c>
      <c r="O26" s="274">
        <f t="shared" si="11"/>
        <v>0</v>
      </c>
      <c r="P26" s="202"/>
      <c r="Q26" s="204">
        <f t="shared" si="1"/>
        <v>0</v>
      </c>
      <c r="R26" s="202">
        <f>IF(Q26="Other dry cargo",L26*Alukset_fx!$B$71,IF(OR(Q26="Dry bulk",Q26="Bulk carrier"),L26*Alukset_fx!$B$69,IF(Q26="Tugboat",L26*Alukset_fx!$B$76,IF(OR(Q26="Tanker",Q26="Gas tanker",Q26="Chemical tanker",Q26="Oil tanker"),L26*Alukset_fx!$B$68,IF(OR(Q26="RoRo",Q26="Vehicle carrier"),L26*Alukset_fx!$B$72,IF(Q26="RoPax",L26*Alukset_fx!$B$73,IF(Q26="Container ship",L26*Alukset_fx!$B$70,IF(Q26="Barge",0,L26*Alukset_fx!$B$75))))))))</f>
        <v>0</v>
      </c>
      <c r="S26" s="210">
        <f>IF(L26=0,IF(Q26="Other dry cargo",Alukset_fx!$H$73*(Alukset_Käynnit_Lask!K26^Alukset_fx!$I$73),IF(OR(Q26="Dry Bulk",Q26="Bulk carrier"),Alukset_fx!$H$71*(Alukset_Käynnit_Lask!K26^Alukset_fx!$I$71),IF(Q26="Tugboat",Alukset_fx!$H$78*(Alukset_Käynnit_Lask!K26^Alukset_fx!$I$78),IF(OR(Q26="Tanker",Q26="Gas tanker",Q26="Chemical tanker",Q26="Oil tanker"),Alukset_fx!$H$70*(Alukset_Käynnit_Lask!K26^Alukset_fx!$I$70),IF(Q26="Container ship",Alukset_fx!$H$72*(Alukset_Käynnit_Lask!K26^Alukset_fx!$I$72),IF(Q26="Barge",0,IF(Q26="RoPax",Alukset_fx!$H$75*(Alukset_Käynnit_Lask!K26^Alukset_fx!$I$75),IF(OR(Q26="RoRo",Q26="Vehicle carrier"),Alukset_fx!$H$74*(Alukset_Käynnit_Lask!K26^Alukset_fx!$I$74),Alukset_fx!$H$77*(Alukset_Käynnit_Lask!K26^Alukset_fx!$I$77))))))))),"-")</f>
        <v>0</v>
      </c>
      <c r="T26" s="208">
        <f>IF(R26=0,IF(Q26="Other dry cargo",S26*Alukset_fx!$B$71,IF(OR(Q26="Dry bulk",Q26="Bulk carrier"),S26*Alukset_fx!$B$69,IF(Q26="Tugboat",S26*Alukset_fx!$B$76,IF(OR(Q26="Tanker",Q26="Gas tanker",Q26="Chemical tanker",Q26="Oil tanker"),S26*Alukset_fx!$B$68,IF(OR(Q26="RoRo",Q26="Vehicle carrier"),S26*Alukset_fx!$B$72,IF(Q26="RoPax",S26*Alukset_fx!$B$73,IF(Q26="Container ship",S26*Alukset_fx!$B$70,S26*Alukset_fx!$B$75))))))),"-")</f>
        <v>0</v>
      </c>
      <c r="U26" s="208">
        <f t="shared" si="2"/>
        <v>0</v>
      </c>
      <c r="V26" s="208">
        <f t="shared" si="3"/>
        <v>0</v>
      </c>
      <c r="W26" s="202">
        <f>Alukset_Käynnit!N33</f>
        <v>0</v>
      </c>
      <c r="X26" s="211">
        <f>IF(Q26="Other dry cargo", Alukset_fx!$C$52, IF(OR(Q26="Dry bulk",Q26="Bulk carrier"),Alukset_fx!$C$35,IF(OR(Q26="Tanker",Q26="Gas tanker",Q26="Oil tanker"),Alukset_fx!$C$57,IF(Q26="Chemical tanker",Alukset_fx!$C$56,IF(OR(Q26="Tugboat",Q26="Barge"),0,IF(Q26="Other vessel",Alukset_fx!$C$54,IF(Q26="Container ship",Alukset_fx!$C$37,IF(OR(Q26="RoPax",Q26="RoRo",Q26="Vehicle carrier"),Alukset_fx!$C$55,0))))))))</f>
        <v>0</v>
      </c>
      <c r="Y26" s="211">
        <f>IF(Q26="Other dry cargo", Alukset_fx!$Q$52, IF(OR(Q26="Dry bulk",Q26="Bulk carrier"),Alukset_fx!$Q$35,IF(OR(Q26="Tanker",Q26="Gas tanker",Q26="Oil tanker"),Alukset_fx!$Q$57,IF(Q26="Chemical tanker",Alukset_fx!$Q$56,IF(OR(Q26="Tugboat",Q26="Barge"),0,IF(Q26="Other vessel",Alukset_fx!$Q$54,IF(Q26="Container ship",Alukset_fx!$Q$37,IF(OR(Q26="RoPax",Q26="RoRo",Q26="Vehicle carrier"),Alukset_fx!$Q$55,0))))))))</f>
        <v>0</v>
      </c>
      <c r="Z26" t="str">
        <f t="shared" si="4"/>
        <v>MDO/MGO</v>
      </c>
      <c r="AA26" t="str">
        <f t="shared" si="5"/>
        <v>MSD</v>
      </c>
      <c r="AB26" t="str">
        <f t="shared" si="6"/>
        <v>MDO/MGO</v>
      </c>
      <c r="AC26" t="str">
        <f t="shared" si="7"/>
        <v>MSD</v>
      </c>
      <c r="AD26" t="str">
        <f t="shared" si="8"/>
        <v>MDO/MGO</v>
      </c>
      <c r="AE26" t="str">
        <f t="shared" si="9"/>
        <v>ST</v>
      </c>
      <c r="AG26">
        <f>Alukset_Käynnit!O33</f>
        <v>0</v>
      </c>
      <c r="AH26" s="207">
        <f>IF(AA26="SSD",((U26*Alukset_fx!$B$24)*Alukset_Käynnit_Lask!W26*(Alukset_fx!$K$49)/1000),IF(AA26="MSD",((U26*Alukset_fx!$B$24)*Alukset_Käynnit_Lask!W26*(Alukset_fx!$K$52)/1000),IF(AA26="HSD",((U26*Alukset_fx!$B$24)*Alukset_Käynnit_Lask!W26*(Alukset_fx!$K$55)/1000),0)))</f>
        <v>0</v>
      </c>
      <c r="AI26" s="207">
        <f>IF(AC26="MSD",((V26*Alukset_fx!$B$25)*Alukset_Käynnit_Lask!W26*(Alukset_fx!$L$52)/1000),IF(AC26="HSD",((V26*Alukset_fx!$B$25)*Alukset_Käynnit_Lask!W26*(Alukset_fx!$L$55)/1000),0))</f>
        <v>0</v>
      </c>
      <c r="AJ26" s="207">
        <f>X26*W26*Alukset_fx!$K$61/1000</f>
        <v>0</v>
      </c>
      <c r="AK26">
        <v>0</v>
      </c>
      <c r="AL26" s="207">
        <f>IF(AG26="Käytetty",0,IF(AC26="MSD",((V26*Alukset_fx!$O$25)*Alukset_Käynnit_Lask!O26*(Alukset_fx!$L$52)/1000),IF(AC26="HSD",((V26*Alukset_fx!$O$25)*Alukset_Käynnit_Lask!O26*(Alukset_fx!$L$55)/1000),0)))</f>
        <v>0</v>
      </c>
      <c r="AM26" s="207">
        <f>IF(AG26="Käytetty",0,Y26*O26*Alukset_fx!$K$61/1000)</f>
        <v>0</v>
      </c>
      <c r="AN26" s="213">
        <f t="shared" si="10"/>
        <v>0</v>
      </c>
    </row>
    <row r="27" spans="1:40" x14ac:dyDescent="0.25">
      <c r="A27" s="203">
        <f>Alukset_Käynnit!A34</f>
        <v>0</v>
      </c>
      <c r="B27" s="203">
        <f>Alukset_Käynnit!B34</f>
        <v>0</v>
      </c>
      <c r="C27" s="262">
        <f>Alukset_Käynnit!C34</f>
        <v>0</v>
      </c>
      <c r="D27" s="266">
        <f>Alukset_Käynnit!D34</f>
        <v>0</v>
      </c>
      <c r="E27" s="262">
        <f>Alukset_Käynnit!E34</f>
        <v>0</v>
      </c>
      <c r="F27" s="262">
        <f>Alukset_Käynnit!F34</f>
        <v>0</v>
      </c>
      <c r="G27" s="262">
        <f>Alukset_Käynnit!G34</f>
        <v>0</v>
      </c>
      <c r="H27" s="262">
        <f>Alukset_Käynnit!H34</f>
        <v>0</v>
      </c>
      <c r="I27" s="262">
        <f>Alukset_Käynnit!I34</f>
        <v>0</v>
      </c>
      <c r="J27" s="262">
        <f>Alukset_Käynnit!J34</f>
        <v>0</v>
      </c>
      <c r="K27" s="262">
        <f>Alukset_Käynnit!K34</f>
        <v>0</v>
      </c>
      <c r="L27" s="205">
        <f>Alukset_Käynnit!L34</f>
        <v>0</v>
      </c>
      <c r="N27" s="275">
        <f t="shared" si="0"/>
        <v>0</v>
      </c>
      <c r="O27" s="276">
        <f t="shared" si="11"/>
        <v>0</v>
      </c>
      <c r="P27" s="202"/>
      <c r="Q27" s="204">
        <f t="shared" si="1"/>
        <v>0</v>
      </c>
      <c r="R27" s="202">
        <f>IF(Q27="Other dry cargo",L27*Alukset_fx!$B$71,IF(OR(Q27="Dry bulk",Q27="Bulk carrier"),L27*Alukset_fx!$B$69,IF(Q27="Tugboat",L27*Alukset_fx!$B$76,IF(OR(Q27="Tanker",Q27="Gas tanker",Q27="Chemical tanker",Q27="Oil tanker"),L27*Alukset_fx!$B$68,IF(OR(Q27="RoRo",Q27="Vehicle carrier"),L27*Alukset_fx!$B$72,IF(Q27="RoPax",L27*Alukset_fx!$B$73,IF(Q27="Container ship",L27*Alukset_fx!$B$70,IF(Q27="Barge",0,L27*Alukset_fx!$B$75))))))))</f>
        <v>0</v>
      </c>
      <c r="S27" s="210">
        <f>IF(L27=0,IF(Q27="Other dry cargo",Alukset_fx!$H$73*(Alukset_Käynnit_Lask!K27^Alukset_fx!$I$73),IF(OR(Q27="Dry Bulk",Q27="Bulk carrier"),Alukset_fx!$H$71*(Alukset_Käynnit_Lask!K27^Alukset_fx!$I$71),IF(Q27="Tugboat",Alukset_fx!$H$78*(Alukset_Käynnit_Lask!K27^Alukset_fx!$I$78),IF(OR(Q27="Tanker",Q27="Gas tanker",Q27="Chemical tanker",Q27="Oil tanker"),Alukset_fx!$H$70*(Alukset_Käynnit_Lask!K27^Alukset_fx!$I$70),IF(Q27="Container ship",Alukset_fx!$H$72*(Alukset_Käynnit_Lask!K27^Alukset_fx!$I$72),IF(Q27="Barge",0,IF(Q27="RoPax",Alukset_fx!$H$75*(Alukset_Käynnit_Lask!K27^Alukset_fx!$I$75),IF(OR(Q27="RoRo",Q27="Vehicle carrier"),Alukset_fx!$H$74*(Alukset_Käynnit_Lask!K27^Alukset_fx!$I$74),Alukset_fx!$H$77*(Alukset_Käynnit_Lask!K27^Alukset_fx!$I$77))))))))),"-")</f>
        <v>0</v>
      </c>
      <c r="T27" s="208">
        <f>IF(R27=0,IF(Q27="Other dry cargo",S27*Alukset_fx!$B$71,IF(OR(Q27="Dry bulk",Q27="Bulk carrier"),S27*Alukset_fx!$B$69,IF(Q27="Tugboat",S27*Alukset_fx!$B$76,IF(OR(Q27="Tanker",Q27="Gas tanker",Q27="Chemical tanker",Q27="Oil tanker"),S27*Alukset_fx!$B$68,IF(OR(Q27="RoRo",Q27="Vehicle carrier"),S27*Alukset_fx!$B$72,IF(Q27="RoPax",S27*Alukset_fx!$B$73,IF(Q27="Container ship",S27*Alukset_fx!$B$70,S27*Alukset_fx!$B$75))))))),"-")</f>
        <v>0</v>
      </c>
      <c r="U27" s="208">
        <f t="shared" si="2"/>
        <v>0</v>
      </c>
      <c r="V27" s="208">
        <f t="shared" si="3"/>
        <v>0</v>
      </c>
      <c r="W27" s="202">
        <f>Alukset_Käynnit!N34</f>
        <v>0</v>
      </c>
      <c r="X27" s="211">
        <f>IF(Q27="Other dry cargo", Alukset_fx!$C$52, IF(OR(Q27="Dry bulk",Q27="Bulk carrier"),Alukset_fx!$C$35,IF(OR(Q27="Tanker",Q27="Gas tanker",Q27="Oil tanker"),Alukset_fx!$C$57,IF(Q27="Chemical tanker",Alukset_fx!$C$56,IF(OR(Q27="Tugboat",Q27="Barge"),0,IF(Q27="Other vessel",Alukset_fx!$C$54,IF(Q27="Container ship",Alukset_fx!$C$37,IF(OR(Q27="RoPax",Q27="RoRo",Q27="Vehicle carrier"),Alukset_fx!$C$55,0))))))))</f>
        <v>0</v>
      </c>
      <c r="Y27" s="211">
        <f>IF(Q27="Other dry cargo", Alukset_fx!$Q$52, IF(OR(Q27="Dry bulk",Q27="Bulk carrier"),Alukset_fx!$Q$35,IF(OR(Q27="Tanker",Q27="Gas tanker",Q27="Oil tanker"),Alukset_fx!$Q$57,IF(Q27="Chemical tanker",Alukset_fx!$Q$56,IF(OR(Q27="Tugboat",Q27="Barge"),0,IF(Q27="Other vessel",Alukset_fx!$Q$54,IF(Q27="Container ship",Alukset_fx!$Q$37,IF(OR(Q27="RoPax",Q27="RoRo",Q27="Vehicle carrier"),Alukset_fx!$Q$55,0))))))))</f>
        <v>0</v>
      </c>
      <c r="Z27" t="str">
        <f t="shared" si="4"/>
        <v>MDO/MGO</v>
      </c>
      <c r="AA27" t="str">
        <f t="shared" si="5"/>
        <v>MSD</v>
      </c>
      <c r="AB27" t="str">
        <f t="shared" si="6"/>
        <v>MDO/MGO</v>
      </c>
      <c r="AC27" t="str">
        <f t="shared" si="7"/>
        <v>MSD</v>
      </c>
      <c r="AD27" t="str">
        <f t="shared" si="8"/>
        <v>MDO/MGO</v>
      </c>
      <c r="AE27" t="str">
        <f t="shared" si="9"/>
        <v>ST</v>
      </c>
      <c r="AG27">
        <f>Alukset_Käynnit!O34</f>
        <v>0</v>
      </c>
      <c r="AH27" s="207">
        <f>IF(AA27="SSD",((U27*Alukset_fx!$B$24)*Alukset_Käynnit_Lask!W27*(Alukset_fx!$K$49)/1000),IF(AA27="MSD",((U27*Alukset_fx!$B$24)*Alukset_Käynnit_Lask!W27*(Alukset_fx!$K$52)/1000),IF(AA27="HSD",((U27*Alukset_fx!$B$24)*Alukset_Käynnit_Lask!W27*(Alukset_fx!$K$55)/1000),0)))</f>
        <v>0</v>
      </c>
      <c r="AI27" s="207">
        <f>IF(AC27="MSD",((V27*Alukset_fx!$B$25)*Alukset_Käynnit_Lask!W27*(Alukset_fx!$L$52)/1000),IF(AC27="HSD",((V27*Alukset_fx!$B$25)*Alukset_Käynnit_Lask!W27*(Alukset_fx!$L$55)/1000),0))</f>
        <v>0</v>
      </c>
      <c r="AJ27" s="207">
        <f>X27*W27*Alukset_fx!$K$61/1000</f>
        <v>0</v>
      </c>
      <c r="AK27">
        <v>0</v>
      </c>
      <c r="AL27" s="207">
        <f>IF(AG27="Käytetty",0,IF(AC27="MSD",((V27*Alukset_fx!$O$25)*Alukset_Käynnit_Lask!O27*(Alukset_fx!$L$52)/1000),IF(AC27="HSD",((V27*Alukset_fx!$O$25)*Alukset_Käynnit_Lask!O27*(Alukset_fx!$L$55)/1000),0)))</f>
        <v>0</v>
      </c>
      <c r="AM27" s="207">
        <f>IF(AG27="Käytetty",0,Y27*O27*Alukset_fx!$K$61/1000)</f>
        <v>0</v>
      </c>
      <c r="AN27" s="213">
        <f t="shared" si="10"/>
        <v>0</v>
      </c>
    </row>
    <row r="28" spans="1:40" x14ac:dyDescent="0.25">
      <c r="A28" s="203">
        <f>Alukset_Käynnit!A35</f>
        <v>0</v>
      </c>
      <c r="B28" s="203">
        <f>Alukset_Käynnit!B35</f>
        <v>0</v>
      </c>
      <c r="C28" s="262">
        <f>Alukset_Käynnit!C35</f>
        <v>0</v>
      </c>
      <c r="D28" s="266">
        <f>Alukset_Käynnit!D35</f>
        <v>0</v>
      </c>
      <c r="E28" s="262">
        <f>Alukset_Käynnit!E35</f>
        <v>0</v>
      </c>
      <c r="F28" s="262">
        <f>Alukset_Käynnit!F35</f>
        <v>0</v>
      </c>
      <c r="G28" s="262">
        <f>Alukset_Käynnit!G35</f>
        <v>0</v>
      </c>
      <c r="H28" s="262">
        <f>Alukset_Käynnit!H35</f>
        <v>0</v>
      </c>
      <c r="I28" s="262">
        <f>Alukset_Käynnit!I35</f>
        <v>0</v>
      </c>
      <c r="J28" s="262">
        <f>Alukset_Käynnit!J35</f>
        <v>0</v>
      </c>
      <c r="K28" s="262">
        <f>Alukset_Käynnit!K35</f>
        <v>0</v>
      </c>
      <c r="L28" s="205">
        <f>Alukset_Käynnit!L35</f>
        <v>0</v>
      </c>
      <c r="N28" s="273">
        <f t="shared" si="0"/>
        <v>0</v>
      </c>
      <c r="O28" s="274">
        <f t="shared" si="11"/>
        <v>0</v>
      </c>
      <c r="P28" s="202"/>
      <c r="Q28" s="204">
        <f t="shared" si="1"/>
        <v>0</v>
      </c>
      <c r="R28" s="202">
        <f>IF(Q28="Other dry cargo",L28*Alukset_fx!$B$71,IF(OR(Q28="Dry bulk",Q28="Bulk carrier"),L28*Alukset_fx!$B$69,IF(Q28="Tugboat",L28*Alukset_fx!$B$76,IF(OR(Q28="Tanker",Q28="Gas tanker",Q28="Chemical tanker",Q28="Oil tanker"),L28*Alukset_fx!$B$68,IF(OR(Q28="RoRo",Q28="Vehicle carrier"),L28*Alukset_fx!$B$72,IF(Q28="RoPax",L28*Alukset_fx!$B$73,IF(Q28="Container ship",L28*Alukset_fx!$B$70,IF(Q28="Barge",0,L28*Alukset_fx!$B$75))))))))</f>
        <v>0</v>
      </c>
      <c r="S28" s="210">
        <f>IF(L28=0,IF(Q28="Other dry cargo",Alukset_fx!$H$73*(Alukset_Käynnit_Lask!K28^Alukset_fx!$I$73),IF(OR(Q28="Dry Bulk",Q28="Bulk carrier"),Alukset_fx!$H$71*(Alukset_Käynnit_Lask!K28^Alukset_fx!$I$71),IF(Q28="Tugboat",Alukset_fx!$H$78*(Alukset_Käynnit_Lask!K28^Alukset_fx!$I$78),IF(OR(Q28="Tanker",Q28="Gas tanker",Q28="Chemical tanker",Q28="Oil tanker"),Alukset_fx!$H$70*(Alukset_Käynnit_Lask!K28^Alukset_fx!$I$70),IF(Q28="Container ship",Alukset_fx!$H$72*(Alukset_Käynnit_Lask!K28^Alukset_fx!$I$72),IF(Q28="Barge",0,IF(Q28="RoPax",Alukset_fx!$H$75*(Alukset_Käynnit_Lask!K28^Alukset_fx!$I$75),IF(OR(Q28="RoRo",Q28="Vehicle carrier"),Alukset_fx!$H$74*(Alukset_Käynnit_Lask!K28^Alukset_fx!$I$74),Alukset_fx!$H$77*(Alukset_Käynnit_Lask!K28^Alukset_fx!$I$77))))))))),"-")</f>
        <v>0</v>
      </c>
      <c r="T28" s="208">
        <f>IF(R28=0,IF(Q28="Other dry cargo",S28*Alukset_fx!$B$71,IF(OR(Q28="Dry bulk",Q28="Bulk carrier"),S28*Alukset_fx!$B$69,IF(Q28="Tugboat",S28*Alukset_fx!$B$76,IF(OR(Q28="Tanker",Q28="Gas tanker",Q28="Chemical tanker",Q28="Oil tanker"),S28*Alukset_fx!$B$68,IF(OR(Q28="RoRo",Q28="Vehicle carrier"),S28*Alukset_fx!$B$72,IF(Q28="RoPax",S28*Alukset_fx!$B$73,IF(Q28="Container ship",S28*Alukset_fx!$B$70,S28*Alukset_fx!$B$75))))))),"-")</f>
        <v>0</v>
      </c>
      <c r="U28" s="208">
        <f t="shared" si="2"/>
        <v>0</v>
      </c>
      <c r="V28" s="208">
        <f t="shared" si="3"/>
        <v>0</v>
      </c>
      <c r="W28" s="202">
        <f>Alukset_Käynnit!N35</f>
        <v>0</v>
      </c>
      <c r="X28" s="211">
        <f>IF(Q28="Other dry cargo", Alukset_fx!$C$52, IF(OR(Q28="Dry bulk",Q28="Bulk carrier"),Alukset_fx!$C$35,IF(OR(Q28="Tanker",Q28="Gas tanker",Q28="Oil tanker"),Alukset_fx!$C$57,IF(Q28="Chemical tanker",Alukset_fx!$C$56,IF(OR(Q28="Tugboat",Q28="Barge"),0,IF(Q28="Other vessel",Alukset_fx!$C$54,IF(Q28="Container ship",Alukset_fx!$C$37,IF(OR(Q28="RoPax",Q28="RoRo",Q28="Vehicle carrier"),Alukset_fx!$C$55,0))))))))</f>
        <v>0</v>
      </c>
      <c r="Y28" s="211">
        <f>IF(Q28="Other dry cargo", Alukset_fx!$Q$52, IF(OR(Q28="Dry bulk",Q28="Bulk carrier"),Alukset_fx!$Q$35,IF(OR(Q28="Tanker",Q28="Gas tanker",Q28="Oil tanker"),Alukset_fx!$Q$57,IF(Q28="Chemical tanker",Alukset_fx!$Q$56,IF(OR(Q28="Tugboat",Q28="Barge"),0,IF(Q28="Other vessel",Alukset_fx!$Q$54,IF(Q28="Container ship",Alukset_fx!$Q$37,IF(OR(Q28="RoPax",Q28="RoRo",Q28="Vehicle carrier"),Alukset_fx!$Q$55,0))))))))</f>
        <v>0</v>
      </c>
      <c r="Z28" t="str">
        <f t="shared" si="4"/>
        <v>MDO/MGO</v>
      </c>
      <c r="AA28" t="str">
        <f t="shared" si="5"/>
        <v>MSD</v>
      </c>
      <c r="AB28" t="str">
        <f t="shared" si="6"/>
        <v>MDO/MGO</v>
      </c>
      <c r="AC28" t="str">
        <f t="shared" si="7"/>
        <v>MSD</v>
      </c>
      <c r="AD28" t="str">
        <f t="shared" si="8"/>
        <v>MDO/MGO</v>
      </c>
      <c r="AE28" t="str">
        <f t="shared" si="9"/>
        <v>ST</v>
      </c>
      <c r="AG28">
        <f>Alukset_Käynnit!O35</f>
        <v>0</v>
      </c>
      <c r="AH28" s="207">
        <f>IF(AA28="SSD",((U28*Alukset_fx!$B$24)*Alukset_Käynnit_Lask!W28*(Alukset_fx!$K$49)/1000),IF(AA28="MSD",((U28*Alukset_fx!$B$24)*Alukset_Käynnit_Lask!W28*(Alukset_fx!$K$52)/1000),IF(AA28="HSD",((U28*Alukset_fx!$B$24)*Alukset_Käynnit_Lask!W28*(Alukset_fx!$K$55)/1000),0)))</f>
        <v>0</v>
      </c>
      <c r="AI28" s="207">
        <f>IF(AC28="MSD",((V28*Alukset_fx!$B$25)*Alukset_Käynnit_Lask!W28*(Alukset_fx!$L$52)/1000),IF(AC28="HSD",((V28*Alukset_fx!$B$25)*Alukset_Käynnit_Lask!W28*(Alukset_fx!$L$55)/1000),0))</f>
        <v>0</v>
      </c>
      <c r="AJ28" s="207">
        <f>X28*W28*Alukset_fx!$K$61/1000</f>
        <v>0</v>
      </c>
      <c r="AK28">
        <v>0</v>
      </c>
      <c r="AL28" s="207">
        <f>IF(AG28="Käytetty",0,IF(AC28="MSD",((V28*Alukset_fx!$O$25)*Alukset_Käynnit_Lask!O28*(Alukset_fx!$L$52)/1000),IF(AC28="HSD",((V28*Alukset_fx!$O$25)*Alukset_Käynnit_Lask!O28*(Alukset_fx!$L$55)/1000),0)))</f>
        <v>0</v>
      </c>
      <c r="AM28" s="207">
        <f>IF(AG28="Käytetty",0,Y28*O28*Alukset_fx!$K$61/1000)</f>
        <v>0</v>
      </c>
      <c r="AN28" s="213">
        <f t="shared" si="10"/>
        <v>0</v>
      </c>
    </row>
    <row r="29" spans="1:40" x14ac:dyDescent="0.25">
      <c r="A29" s="203">
        <f>Alukset_Käynnit!A36</f>
        <v>0</v>
      </c>
      <c r="B29" s="203">
        <f>Alukset_Käynnit!B36</f>
        <v>0</v>
      </c>
      <c r="C29" s="262">
        <f>Alukset_Käynnit!C36</f>
        <v>0</v>
      </c>
      <c r="D29" s="266">
        <f>Alukset_Käynnit!D36</f>
        <v>0</v>
      </c>
      <c r="E29" s="262">
        <f>Alukset_Käynnit!E36</f>
        <v>0</v>
      </c>
      <c r="F29" s="262">
        <f>Alukset_Käynnit!F36</f>
        <v>0</v>
      </c>
      <c r="G29" s="262">
        <f>Alukset_Käynnit!G36</f>
        <v>0</v>
      </c>
      <c r="H29" s="262">
        <f>Alukset_Käynnit!H36</f>
        <v>0</v>
      </c>
      <c r="I29" s="262">
        <f>Alukset_Käynnit!I36</f>
        <v>0</v>
      </c>
      <c r="J29" s="262">
        <f>Alukset_Käynnit!J36</f>
        <v>0</v>
      </c>
      <c r="K29" s="262">
        <f>Alukset_Käynnit!K36</f>
        <v>0</v>
      </c>
      <c r="L29" s="205">
        <f>Alukset_Käynnit!L36</f>
        <v>0</v>
      </c>
      <c r="N29" s="273">
        <f t="shared" si="0"/>
        <v>0</v>
      </c>
      <c r="O29" s="274">
        <f t="shared" si="11"/>
        <v>0</v>
      </c>
      <c r="P29" s="202"/>
      <c r="Q29" s="204">
        <f t="shared" si="1"/>
        <v>0</v>
      </c>
      <c r="R29" s="202">
        <f>IF(Q29="Other dry cargo",L29*Alukset_fx!$B$71,IF(OR(Q29="Dry bulk",Q29="Bulk carrier"),L29*Alukset_fx!$B$69,IF(Q29="Tugboat",L29*Alukset_fx!$B$76,IF(OR(Q29="Tanker",Q29="Gas tanker",Q29="Chemical tanker",Q29="Oil tanker"),L29*Alukset_fx!$B$68,IF(OR(Q29="RoRo",Q29="Vehicle carrier"),L29*Alukset_fx!$B$72,IF(Q29="RoPax",L29*Alukset_fx!$B$73,IF(Q29="Container ship",L29*Alukset_fx!$B$70,IF(Q29="Barge",0,L29*Alukset_fx!$B$75))))))))</f>
        <v>0</v>
      </c>
      <c r="S29" s="210">
        <f>IF(L29=0,IF(Q29="Other dry cargo",Alukset_fx!$H$73*(Alukset_Käynnit_Lask!K29^Alukset_fx!$I$73),IF(OR(Q29="Dry Bulk",Q29="Bulk carrier"),Alukset_fx!$H$71*(Alukset_Käynnit_Lask!K29^Alukset_fx!$I$71),IF(Q29="Tugboat",Alukset_fx!$H$78*(Alukset_Käynnit_Lask!K29^Alukset_fx!$I$78),IF(OR(Q29="Tanker",Q29="Gas tanker",Q29="Chemical tanker",Q29="Oil tanker"),Alukset_fx!$H$70*(Alukset_Käynnit_Lask!K29^Alukset_fx!$I$70),IF(Q29="Container ship",Alukset_fx!$H$72*(Alukset_Käynnit_Lask!K29^Alukset_fx!$I$72),IF(Q29="Barge",0,IF(Q29="RoPax",Alukset_fx!$H$75*(Alukset_Käynnit_Lask!K29^Alukset_fx!$I$75),IF(OR(Q29="RoRo",Q29="Vehicle carrier"),Alukset_fx!$H$74*(Alukset_Käynnit_Lask!K29^Alukset_fx!$I$74),Alukset_fx!$H$77*(Alukset_Käynnit_Lask!K29^Alukset_fx!$I$77))))))))),"-")</f>
        <v>0</v>
      </c>
      <c r="T29" s="208">
        <f>IF(R29=0,IF(Q29="Other dry cargo",S29*Alukset_fx!$B$71,IF(OR(Q29="Dry bulk",Q29="Bulk carrier"),S29*Alukset_fx!$B$69,IF(Q29="Tugboat",S29*Alukset_fx!$B$76,IF(OR(Q29="Tanker",Q29="Gas tanker",Q29="Chemical tanker",Q29="Oil tanker"),S29*Alukset_fx!$B$68,IF(OR(Q29="RoRo",Q29="Vehicle carrier"),S29*Alukset_fx!$B$72,IF(Q29="RoPax",S29*Alukset_fx!$B$73,IF(Q29="Container ship",S29*Alukset_fx!$B$70,S29*Alukset_fx!$B$75))))))),"-")</f>
        <v>0</v>
      </c>
      <c r="U29" s="208">
        <f t="shared" si="2"/>
        <v>0</v>
      </c>
      <c r="V29" s="208">
        <f t="shared" si="3"/>
        <v>0</v>
      </c>
      <c r="W29" s="202">
        <f>Alukset_Käynnit!N36</f>
        <v>0</v>
      </c>
      <c r="X29" s="211">
        <f>IF(Q29="Other dry cargo", Alukset_fx!$C$52, IF(OR(Q29="Dry bulk",Q29="Bulk carrier"),Alukset_fx!$C$35,IF(OR(Q29="Tanker",Q29="Gas tanker",Q29="Oil tanker"),Alukset_fx!$C$57,IF(Q29="Chemical tanker",Alukset_fx!$C$56,IF(OR(Q29="Tugboat",Q29="Barge"),0,IF(Q29="Other vessel",Alukset_fx!$C$54,IF(Q29="Container ship",Alukset_fx!$C$37,IF(OR(Q29="RoPax",Q29="RoRo",Q29="Vehicle carrier"),Alukset_fx!$C$55,0))))))))</f>
        <v>0</v>
      </c>
      <c r="Y29" s="211">
        <f>IF(Q29="Other dry cargo", Alukset_fx!$Q$52, IF(OR(Q29="Dry bulk",Q29="Bulk carrier"),Alukset_fx!$Q$35,IF(OR(Q29="Tanker",Q29="Gas tanker",Q29="Oil tanker"),Alukset_fx!$Q$57,IF(Q29="Chemical tanker",Alukset_fx!$Q$56,IF(OR(Q29="Tugboat",Q29="Barge"),0,IF(Q29="Other vessel",Alukset_fx!$Q$54,IF(Q29="Container ship",Alukset_fx!$Q$37,IF(OR(Q29="RoPax",Q29="RoRo",Q29="Vehicle carrier"),Alukset_fx!$Q$55,0))))))))</f>
        <v>0</v>
      </c>
      <c r="Z29" t="str">
        <f t="shared" si="4"/>
        <v>MDO/MGO</v>
      </c>
      <c r="AA29" t="str">
        <f t="shared" si="5"/>
        <v>MSD</v>
      </c>
      <c r="AB29" t="str">
        <f t="shared" si="6"/>
        <v>MDO/MGO</v>
      </c>
      <c r="AC29" t="str">
        <f t="shared" si="7"/>
        <v>MSD</v>
      </c>
      <c r="AD29" t="str">
        <f t="shared" si="8"/>
        <v>MDO/MGO</v>
      </c>
      <c r="AE29" t="str">
        <f t="shared" si="9"/>
        <v>ST</v>
      </c>
      <c r="AG29">
        <f>Alukset_Käynnit!O36</f>
        <v>0</v>
      </c>
      <c r="AH29" s="207">
        <f>IF(AA29="SSD",((U29*Alukset_fx!$B$24)*Alukset_Käynnit_Lask!W29*(Alukset_fx!$K$49)/1000),IF(AA29="MSD",((U29*Alukset_fx!$B$24)*Alukset_Käynnit_Lask!W29*(Alukset_fx!$K$52)/1000),IF(AA29="HSD",((U29*Alukset_fx!$B$24)*Alukset_Käynnit_Lask!W29*(Alukset_fx!$K$55)/1000),0)))</f>
        <v>0</v>
      </c>
      <c r="AI29" s="207">
        <f>IF(AC29="MSD",((V29*Alukset_fx!$B$25)*Alukset_Käynnit_Lask!W29*(Alukset_fx!$L$52)/1000),IF(AC29="HSD",((V29*Alukset_fx!$B$25)*Alukset_Käynnit_Lask!W29*(Alukset_fx!$L$55)/1000),0))</f>
        <v>0</v>
      </c>
      <c r="AJ29" s="207">
        <f>X29*W29*Alukset_fx!$K$61/1000</f>
        <v>0</v>
      </c>
      <c r="AK29">
        <v>0</v>
      </c>
      <c r="AL29" s="207">
        <f>IF(AG29="Käytetty",0,IF(AC29="MSD",((V29*Alukset_fx!$O$25)*Alukset_Käynnit_Lask!O29*(Alukset_fx!$L$52)/1000),IF(AC29="HSD",((V29*Alukset_fx!$O$25)*Alukset_Käynnit_Lask!O29*(Alukset_fx!$L$55)/1000),0)))</f>
        <v>0</v>
      </c>
      <c r="AM29" s="207">
        <f>IF(AG29="Käytetty",0,Y29*O29*Alukset_fx!$K$61/1000)</f>
        <v>0</v>
      </c>
      <c r="AN29" s="213">
        <f t="shared" si="10"/>
        <v>0</v>
      </c>
    </row>
    <row r="30" spans="1:40" x14ac:dyDescent="0.25">
      <c r="A30" s="203">
        <f>Alukset_Käynnit!A37</f>
        <v>0</v>
      </c>
      <c r="B30" s="203">
        <f>Alukset_Käynnit!B37</f>
        <v>0</v>
      </c>
      <c r="C30" s="262">
        <f>Alukset_Käynnit!C37</f>
        <v>0</v>
      </c>
      <c r="D30" s="266">
        <f>Alukset_Käynnit!D37</f>
        <v>0</v>
      </c>
      <c r="E30" s="262">
        <f>Alukset_Käynnit!E37</f>
        <v>0</v>
      </c>
      <c r="F30" s="262">
        <f>Alukset_Käynnit!F37</f>
        <v>0</v>
      </c>
      <c r="G30" s="262">
        <f>Alukset_Käynnit!G37</f>
        <v>0</v>
      </c>
      <c r="H30" s="262">
        <f>Alukset_Käynnit!H37</f>
        <v>0</v>
      </c>
      <c r="I30" s="262">
        <f>Alukset_Käynnit!I37</f>
        <v>0</v>
      </c>
      <c r="J30" s="262">
        <f>Alukset_Käynnit!J37</f>
        <v>0</v>
      </c>
      <c r="K30" s="262">
        <f>Alukset_Käynnit!K37</f>
        <v>0</v>
      </c>
      <c r="L30" s="205">
        <f>Alukset_Käynnit!L37</f>
        <v>0</v>
      </c>
      <c r="N30" s="275">
        <f t="shared" si="0"/>
        <v>0</v>
      </c>
      <c r="O30" s="276">
        <f t="shared" si="11"/>
        <v>0</v>
      </c>
      <c r="P30" s="202"/>
      <c r="Q30" s="204">
        <f t="shared" si="1"/>
        <v>0</v>
      </c>
      <c r="R30" s="202">
        <f>IF(Q30="Other dry cargo",L30*Alukset_fx!$B$71,IF(OR(Q30="Dry bulk",Q30="Bulk carrier"),L30*Alukset_fx!$B$69,IF(Q30="Tugboat",L30*Alukset_fx!$B$76,IF(OR(Q30="Tanker",Q30="Gas tanker",Q30="Chemical tanker",Q30="Oil tanker"),L30*Alukset_fx!$B$68,IF(OR(Q30="RoRo",Q30="Vehicle carrier"),L30*Alukset_fx!$B$72,IF(Q30="RoPax",L30*Alukset_fx!$B$73,IF(Q30="Container ship",L30*Alukset_fx!$B$70,IF(Q30="Barge",0,L30*Alukset_fx!$B$75))))))))</f>
        <v>0</v>
      </c>
      <c r="S30" s="210">
        <f>IF(L30=0,IF(Q30="Other dry cargo",Alukset_fx!$H$73*(Alukset_Käynnit_Lask!K30^Alukset_fx!$I$73),IF(OR(Q30="Dry Bulk",Q30="Bulk carrier"),Alukset_fx!$H$71*(Alukset_Käynnit_Lask!K30^Alukset_fx!$I$71),IF(Q30="Tugboat",Alukset_fx!$H$78*(Alukset_Käynnit_Lask!K30^Alukset_fx!$I$78),IF(OR(Q30="Tanker",Q30="Gas tanker",Q30="Chemical tanker",Q30="Oil tanker"),Alukset_fx!$H$70*(Alukset_Käynnit_Lask!K30^Alukset_fx!$I$70),IF(Q30="Container ship",Alukset_fx!$H$72*(Alukset_Käynnit_Lask!K30^Alukset_fx!$I$72),IF(Q30="Barge",0,IF(Q30="RoPax",Alukset_fx!$H$75*(Alukset_Käynnit_Lask!K30^Alukset_fx!$I$75),IF(OR(Q30="RoRo",Q30="Vehicle carrier"),Alukset_fx!$H$74*(Alukset_Käynnit_Lask!K30^Alukset_fx!$I$74),Alukset_fx!$H$77*(Alukset_Käynnit_Lask!K30^Alukset_fx!$I$77))))))))),"-")</f>
        <v>0</v>
      </c>
      <c r="T30" s="208">
        <f>IF(R30=0,IF(Q30="Other dry cargo",S30*Alukset_fx!$B$71,IF(OR(Q30="Dry bulk",Q30="Bulk carrier"),S30*Alukset_fx!$B$69,IF(Q30="Tugboat",S30*Alukset_fx!$B$76,IF(OR(Q30="Tanker",Q30="Gas tanker",Q30="Chemical tanker",Q30="Oil tanker"),S30*Alukset_fx!$B$68,IF(OR(Q30="RoRo",Q30="Vehicle carrier"),S30*Alukset_fx!$B$72,IF(Q30="RoPax",S30*Alukset_fx!$B$73,IF(Q30="Container ship",S30*Alukset_fx!$B$70,S30*Alukset_fx!$B$75))))))),"-")</f>
        <v>0</v>
      </c>
      <c r="U30" s="208">
        <f t="shared" si="2"/>
        <v>0</v>
      </c>
      <c r="V30" s="208">
        <f t="shared" si="3"/>
        <v>0</v>
      </c>
      <c r="W30" s="202">
        <f>Alukset_Käynnit!N37</f>
        <v>0</v>
      </c>
      <c r="X30" s="211">
        <f>IF(Q30="Other dry cargo", Alukset_fx!$C$52, IF(OR(Q30="Dry bulk",Q30="Bulk carrier"),Alukset_fx!$C$35,IF(OR(Q30="Tanker",Q30="Gas tanker",Q30="Oil tanker"),Alukset_fx!$C$57,IF(Q30="Chemical tanker",Alukset_fx!$C$56,IF(OR(Q30="Tugboat",Q30="Barge"),0,IF(Q30="Other vessel",Alukset_fx!$C$54,IF(Q30="Container ship",Alukset_fx!$C$37,IF(OR(Q30="RoPax",Q30="RoRo",Q30="Vehicle carrier"),Alukset_fx!$C$55,0))))))))</f>
        <v>0</v>
      </c>
      <c r="Y30" s="211">
        <f>IF(Q30="Other dry cargo", Alukset_fx!$Q$52, IF(OR(Q30="Dry bulk",Q30="Bulk carrier"),Alukset_fx!$Q$35,IF(OR(Q30="Tanker",Q30="Gas tanker",Q30="Oil tanker"),Alukset_fx!$Q$57,IF(Q30="Chemical tanker",Alukset_fx!$Q$56,IF(OR(Q30="Tugboat",Q30="Barge"),0,IF(Q30="Other vessel",Alukset_fx!$Q$54,IF(Q30="Container ship",Alukset_fx!$Q$37,IF(OR(Q30="RoPax",Q30="RoRo",Q30="Vehicle carrier"),Alukset_fx!$Q$55,0))))))))</f>
        <v>0</v>
      </c>
      <c r="Z30" t="str">
        <f t="shared" si="4"/>
        <v>MDO/MGO</v>
      </c>
      <c r="AA30" t="str">
        <f t="shared" si="5"/>
        <v>MSD</v>
      </c>
      <c r="AB30" t="str">
        <f t="shared" si="6"/>
        <v>MDO/MGO</v>
      </c>
      <c r="AC30" t="str">
        <f t="shared" si="7"/>
        <v>MSD</v>
      </c>
      <c r="AD30" t="str">
        <f t="shared" si="8"/>
        <v>MDO/MGO</v>
      </c>
      <c r="AE30" t="str">
        <f t="shared" si="9"/>
        <v>ST</v>
      </c>
      <c r="AG30">
        <f>Alukset_Käynnit!O37</f>
        <v>0</v>
      </c>
      <c r="AH30" s="207">
        <f>IF(AA30="SSD",((U30*Alukset_fx!$B$24)*Alukset_Käynnit_Lask!W30*(Alukset_fx!$K$49)/1000),IF(AA30="MSD",((U30*Alukset_fx!$B$24)*Alukset_Käynnit_Lask!W30*(Alukset_fx!$K$52)/1000),IF(AA30="HSD",((U30*Alukset_fx!$B$24)*Alukset_Käynnit_Lask!W30*(Alukset_fx!$K$55)/1000),0)))</f>
        <v>0</v>
      </c>
      <c r="AI30" s="207">
        <f>IF(AC30="MSD",((V30*Alukset_fx!$B$25)*Alukset_Käynnit_Lask!W30*(Alukset_fx!$L$52)/1000),IF(AC30="HSD",((V30*Alukset_fx!$B$25)*Alukset_Käynnit_Lask!W30*(Alukset_fx!$L$55)/1000),0))</f>
        <v>0</v>
      </c>
      <c r="AJ30" s="207">
        <f>X30*W30*Alukset_fx!$K$61/1000</f>
        <v>0</v>
      </c>
      <c r="AK30">
        <v>0</v>
      </c>
      <c r="AL30" s="207">
        <f>IF(AG30="Käytetty",0,IF(AC30="MSD",((V30*Alukset_fx!$O$25)*Alukset_Käynnit_Lask!O30*(Alukset_fx!$L$52)/1000),IF(AC30="HSD",((V30*Alukset_fx!$O$25)*Alukset_Käynnit_Lask!O30*(Alukset_fx!$L$55)/1000),0)))</f>
        <v>0</v>
      </c>
      <c r="AM30" s="207">
        <f>IF(AG30="Käytetty",0,Y30*O30*Alukset_fx!$K$61/1000)</f>
        <v>0</v>
      </c>
      <c r="AN30" s="213">
        <f t="shared" si="10"/>
        <v>0</v>
      </c>
    </row>
    <row r="31" spans="1:40" x14ac:dyDescent="0.25">
      <c r="A31" s="203">
        <f>Alukset_Käynnit!A38</f>
        <v>0</v>
      </c>
      <c r="B31" s="203">
        <f>Alukset_Käynnit!B38</f>
        <v>0</v>
      </c>
      <c r="C31" s="262">
        <f>Alukset_Käynnit!C38</f>
        <v>0</v>
      </c>
      <c r="D31" s="266">
        <f>Alukset_Käynnit!D38</f>
        <v>0</v>
      </c>
      <c r="E31" s="262">
        <f>Alukset_Käynnit!E38</f>
        <v>0</v>
      </c>
      <c r="F31" s="262">
        <f>Alukset_Käynnit!F38</f>
        <v>0</v>
      </c>
      <c r="G31" s="262">
        <f>Alukset_Käynnit!G38</f>
        <v>0</v>
      </c>
      <c r="H31" s="262">
        <f>Alukset_Käynnit!H38</f>
        <v>0</v>
      </c>
      <c r="I31" s="262">
        <f>Alukset_Käynnit!I38</f>
        <v>0</v>
      </c>
      <c r="J31" s="262">
        <f>Alukset_Käynnit!J38</f>
        <v>0</v>
      </c>
      <c r="K31" s="262">
        <f>Alukset_Käynnit!K38</f>
        <v>0</v>
      </c>
      <c r="L31" s="205">
        <f>Alukset_Käynnit!L38</f>
        <v>0</v>
      </c>
      <c r="N31" s="275">
        <f t="shared" si="0"/>
        <v>0</v>
      </c>
      <c r="O31" s="276">
        <f t="shared" si="11"/>
        <v>0</v>
      </c>
      <c r="P31" s="202"/>
      <c r="Q31" s="204">
        <f t="shared" si="1"/>
        <v>0</v>
      </c>
      <c r="R31" s="202">
        <f>IF(Q31="Other dry cargo",L31*Alukset_fx!$B$71,IF(OR(Q31="Dry bulk",Q31="Bulk carrier"),L31*Alukset_fx!$B$69,IF(Q31="Tugboat",L31*Alukset_fx!$B$76,IF(OR(Q31="Tanker",Q31="Gas tanker",Q31="Chemical tanker",Q31="Oil tanker"),L31*Alukset_fx!$B$68,IF(OR(Q31="RoRo",Q31="Vehicle carrier"),L31*Alukset_fx!$B$72,IF(Q31="RoPax",L31*Alukset_fx!$B$73,IF(Q31="Container ship",L31*Alukset_fx!$B$70,IF(Q31="Barge",0,L31*Alukset_fx!$B$75))))))))</f>
        <v>0</v>
      </c>
      <c r="S31" s="210">
        <f>IF(L31=0,IF(Q31="Other dry cargo",Alukset_fx!$H$73*(Alukset_Käynnit_Lask!K31^Alukset_fx!$I$73),IF(OR(Q31="Dry Bulk",Q31="Bulk carrier"),Alukset_fx!$H$71*(Alukset_Käynnit_Lask!K31^Alukset_fx!$I$71),IF(Q31="Tugboat",Alukset_fx!$H$78*(Alukset_Käynnit_Lask!K31^Alukset_fx!$I$78),IF(OR(Q31="Tanker",Q31="Gas tanker",Q31="Chemical tanker",Q31="Oil tanker"),Alukset_fx!$H$70*(Alukset_Käynnit_Lask!K31^Alukset_fx!$I$70),IF(Q31="Container ship",Alukset_fx!$H$72*(Alukset_Käynnit_Lask!K31^Alukset_fx!$I$72),IF(Q31="Barge",0,IF(Q31="RoPax",Alukset_fx!$H$75*(Alukset_Käynnit_Lask!K31^Alukset_fx!$I$75),IF(OR(Q31="RoRo",Q31="Vehicle carrier"),Alukset_fx!$H$74*(Alukset_Käynnit_Lask!K31^Alukset_fx!$I$74),Alukset_fx!$H$77*(Alukset_Käynnit_Lask!K31^Alukset_fx!$I$77))))))))),"-")</f>
        <v>0</v>
      </c>
      <c r="T31" s="208">
        <f>IF(R31=0,IF(Q31="Other dry cargo",S31*Alukset_fx!$B$71,IF(OR(Q31="Dry bulk",Q31="Bulk carrier"),S31*Alukset_fx!$B$69,IF(Q31="Tugboat",S31*Alukset_fx!$B$76,IF(OR(Q31="Tanker",Q31="Gas tanker",Q31="Chemical tanker",Q31="Oil tanker"),S31*Alukset_fx!$B$68,IF(OR(Q31="RoRo",Q31="Vehicle carrier"),S31*Alukset_fx!$B$72,IF(Q31="RoPax",S31*Alukset_fx!$B$73,IF(Q31="Container ship",S31*Alukset_fx!$B$70,S31*Alukset_fx!$B$75))))))),"-")</f>
        <v>0</v>
      </c>
      <c r="U31" s="208">
        <f t="shared" si="2"/>
        <v>0</v>
      </c>
      <c r="V31" s="208">
        <f t="shared" si="3"/>
        <v>0</v>
      </c>
      <c r="W31" s="202">
        <f>Alukset_Käynnit!N38</f>
        <v>0</v>
      </c>
      <c r="X31" s="211">
        <f>IF(Q31="Other dry cargo", Alukset_fx!$C$52, IF(OR(Q31="Dry bulk",Q31="Bulk carrier"),Alukset_fx!$C$35,IF(OR(Q31="Tanker",Q31="Gas tanker",Q31="Oil tanker"),Alukset_fx!$C$57,IF(Q31="Chemical tanker",Alukset_fx!$C$56,IF(OR(Q31="Tugboat",Q31="Barge"),0,IF(Q31="Other vessel",Alukset_fx!$C$54,IF(Q31="Container ship",Alukset_fx!$C$37,IF(OR(Q31="RoPax",Q31="RoRo",Q31="Vehicle carrier"),Alukset_fx!$C$55,0))))))))</f>
        <v>0</v>
      </c>
      <c r="Y31" s="211">
        <f>IF(Q31="Other dry cargo", Alukset_fx!$Q$52, IF(OR(Q31="Dry bulk",Q31="Bulk carrier"),Alukset_fx!$Q$35,IF(OR(Q31="Tanker",Q31="Gas tanker",Q31="Oil tanker"),Alukset_fx!$Q$57,IF(Q31="Chemical tanker",Alukset_fx!$Q$56,IF(OR(Q31="Tugboat",Q31="Barge"),0,IF(Q31="Other vessel",Alukset_fx!$Q$54,IF(Q31="Container ship",Alukset_fx!$Q$37,IF(OR(Q31="RoPax",Q31="RoRo",Q31="Vehicle carrier"),Alukset_fx!$Q$55,0))))))))</f>
        <v>0</v>
      </c>
      <c r="Z31" t="str">
        <f t="shared" si="4"/>
        <v>MDO/MGO</v>
      </c>
      <c r="AA31" t="str">
        <f t="shared" si="5"/>
        <v>MSD</v>
      </c>
      <c r="AB31" t="str">
        <f t="shared" si="6"/>
        <v>MDO/MGO</v>
      </c>
      <c r="AC31" t="str">
        <f t="shared" si="7"/>
        <v>MSD</v>
      </c>
      <c r="AD31" t="str">
        <f t="shared" si="8"/>
        <v>MDO/MGO</v>
      </c>
      <c r="AE31" t="str">
        <f t="shared" si="9"/>
        <v>ST</v>
      </c>
      <c r="AG31">
        <f>Alukset_Käynnit!O38</f>
        <v>0</v>
      </c>
      <c r="AH31" s="207">
        <f>IF(AA31="SSD",((U31*Alukset_fx!$B$24)*Alukset_Käynnit_Lask!W31*(Alukset_fx!$K$49)/1000),IF(AA31="MSD",((U31*Alukset_fx!$B$24)*Alukset_Käynnit_Lask!W31*(Alukset_fx!$K$52)/1000),IF(AA31="HSD",((U31*Alukset_fx!$B$24)*Alukset_Käynnit_Lask!W31*(Alukset_fx!$K$55)/1000),0)))</f>
        <v>0</v>
      </c>
      <c r="AI31" s="207">
        <f>IF(AC31="MSD",((V31*Alukset_fx!$B$25)*Alukset_Käynnit_Lask!W31*(Alukset_fx!$L$52)/1000),IF(AC31="HSD",((V31*Alukset_fx!$B$25)*Alukset_Käynnit_Lask!W31*(Alukset_fx!$L$55)/1000),0))</f>
        <v>0</v>
      </c>
      <c r="AJ31" s="207">
        <f>X31*W31*Alukset_fx!$K$61/1000</f>
        <v>0</v>
      </c>
      <c r="AK31">
        <v>0</v>
      </c>
      <c r="AL31" s="207">
        <f>IF(AG31="Käytetty",0,IF(AC31="MSD",((V31*Alukset_fx!$O$25)*Alukset_Käynnit_Lask!O31*(Alukset_fx!$L$52)/1000),IF(AC31="HSD",((V31*Alukset_fx!$O$25)*Alukset_Käynnit_Lask!O31*(Alukset_fx!$L$55)/1000),0)))</f>
        <v>0</v>
      </c>
      <c r="AM31" s="207">
        <f>IF(AG31="Käytetty",0,Y31*O31*Alukset_fx!$K$61/1000)</f>
        <v>0</v>
      </c>
      <c r="AN31" s="213">
        <f t="shared" si="10"/>
        <v>0</v>
      </c>
    </row>
    <row r="32" spans="1:40" x14ac:dyDescent="0.25">
      <c r="A32" s="203">
        <f>Alukset_Käynnit!A39</f>
        <v>0</v>
      </c>
      <c r="B32" s="203">
        <f>Alukset_Käynnit!B39</f>
        <v>0</v>
      </c>
      <c r="C32" s="262">
        <f>Alukset_Käynnit!C39</f>
        <v>0</v>
      </c>
      <c r="D32" s="266">
        <f>Alukset_Käynnit!D39</f>
        <v>0</v>
      </c>
      <c r="E32" s="262">
        <f>Alukset_Käynnit!E39</f>
        <v>0</v>
      </c>
      <c r="F32" s="262">
        <f>Alukset_Käynnit!F39</f>
        <v>0</v>
      </c>
      <c r="G32" s="262">
        <f>Alukset_Käynnit!G39</f>
        <v>0</v>
      </c>
      <c r="H32" s="262">
        <f>Alukset_Käynnit!H39</f>
        <v>0</v>
      </c>
      <c r="I32" s="262">
        <f>Alukset_Käynnit!I39</f>
        <v>0</v>
      </c>
      <c r="J32" s="262">
        <f>Alukset_Käynnit!J39</f>
        <v>0</v>
      </c>
      <c r="K32" s="262">
        <f>Alukset_Käynnit!K39</f>
        <v>0</v>
      </c>
      <c r="L32" s="205">
        <f>Alukset_Käynnit!L39</f>
        <v>0</v>
      </c>
      <c r="N32" s="273">
        <f t="shared" si="0"/>
        <v>0</v>
      </c>
      <c r="O32" s="274">
        <f t="shared" si="11"/>
        <v>0</v>
      </c>
      <c r="P32" s="202"/>
      <c r="Q32" s="204">
        <f t="shared" si="1"/>
        <v>0</v>
      </c>
      <c r="R32" s="202">
        <f>IF(Q32="Other dry cargo",L32*Alukset_fx!$B$71,IF(OR(Q32="Dry bulk",Q32="Bulk carrier"),L32*Alukset_fx!$B$69,IF(Q32="Tugboat",L32*Alukset_fx!$B$76,IF(OR(Q32="Tanker",Q32="Gas tanker",Q32="Chemical tanker",Q32="Oil tanker"),L32*Alukset_fx!$B$68,IF(OR(Q32="RoRo",Q32="Vehicle carrier"),L32*Alukset_fx!$B$72,IF(Q32="RoPax",L32*Alukset_fx!$B$73,IF(Q32="Container ship",L32*Alukset_fx!$B$70,IF(Q32="Barge",0,L32*Alukset_fx!$B$75))))))))</f>
        <v>0</v>
      </c>
      <c r="S32" s="210">
        <f>IF(L32=0,IF(Q32="Other dry cargo",Alukset_fx!$H$73*(Alukset_Käynnit_Lask!K32^Alukset_fx!$I$73),IF(OR(Q32="Dry Bulk",Q32="Bulk carrier"),Alukset_fx!$H$71*(Alukset_Käynnit_Lask!K32^Alukset_fx!$I$71),IF(Q32="Tugboat",Alukset_fx!$H$78*(Alukset_Käynnit_Lask!K32^Alukset_fx!$I$78),IF(OR(Q32="Tanker",Q32="Gas tanker",Q32="Chemical tanker",Q32="Oil tanker"),Alukset_fx!$H$70*(Alukset_Käynnit_Lask!K32^Alukset_fx!$I$70),IF(Q32="Container ship",Alukset_fx!$H$72*(Alukset_Käynnit_Lask!K32^Alukset_fx!$I$72),IF(Q32="Barge",0,IF(Q32="RoPax",Alukset_fx!$H$75*(Alukset_Käynnit_Lask!K32^Alukset_fx!$I$75),IF(OR(Q32="RoRo",Q32="Vehicle carrier"),Alukset_fx!$H$74*(Alukset_Käynnit_Lask!K32^Alukset_fx!$I$74),Alukset_fx!$H$77*(Alukset_Käynnit_Lask!K32^Alukset_fx!$I$77))))))))),"-")</f>
        <v>0</v>
      </c>
      <c r="T32" s="208">
        <f>IF(R32=0,IF(Q32="Other dry cargo",S32*Alukset_fx!$B$71,IF(OR(Q32="Dry bulk",Q32="Bulk carrier"),S32*Alukset_fx!$B$69,IF(Q32="Tugboat",S32*Alukset_fx!$B$76,IF(OR(Q32="Tanker",Q32="Gas tanker",Q32="Chemical tanker",Q32="Oil tanker"),S32*Alukset_fx!$B$68,IF(OR(Q32="RoRo",Q32="Vehicle carrier"),S32*Alukset_fx!$B$72,IF(Q32="RoPax",S32*Alukset_fx!$B$73,IF(Q32="Container ship",S32*Alukset_fx!$B$70,S32*Alukset_fx!$B$75))))))),"-")</f>
        <v>0</v>
      </c>
      <c r="U32" s="208">
        <f t="shared" si="2"/>
        <v>0</v>
      </c>
      <c r="V32" s="208">
        <f t="shared" si="3"/>
        <v>0</v>
      </c>
      <c r="W32" s="202">
        <f>Alukset_Käynnit!N39</f>
        <v>0</v>
      </c>
      <c r="X32" s="211">
        <f>IF(Q32="Other dry cargo", Alukset_fx!$C$52, IF(OR(Q32="Dry bulk",Q32="Bulk carrier"),Alukset_fx!$C$35,IF(OR(Q32="Tanker",Q32="Gas tanker",Q32="Oil tanker"),Alukset_fx!$C$57,IF(Q32="Chemical tanker",Alukset_fx!$C$56,IF(OR(Q32="Tugboat",Q32="Barge"),0,IF(Q32="Other vessel",Alukset_fx!$C$54,IF(Q32="Container ship",Alukset_fx!$C$37,IF(OR(Q32="RoPax",Q32="RoRo",Q32="Vehicle carrier"),Alukset_fx!$C$55,0))))))))</f>
        <v>0</v>
      </c>
      <c r="Y32" s="211">
        <f>IF(Q32="Other dry cargo", Alukset_fx!$Q$52, IF(OR(Q32="Dry bulk",Q32="Bulk carrier"),Alukset_fx!$Q$35,IF(OR(Q32="Tanker",Q32="Gas tanker",Q32="Oil tanker"),Alukset_fx!$Q$57,IF(Q32="Chemical tanker",Alukset_fx!$Q$56,IF(OR(Q32="Tugboat",Q32="Barge"),0,IF(Q32="Other vessel",Alukset_fx!$Q$54,IF(Q32="Container ship",Alukset_fx!$Q$37,IF(OR(Q32="RoPax",Q32="RoRo",Q32="Vehicle carrier"),Alukset_fx!$Q$55,0))))))))</f>
        <v>0</v>
      </c>
      <c r="Z32" t="str">
        <f t="shared" si="4"/>
        <v>MDO/MGO</v>
      </c>
      <c r="AA32" t="str">
        <f t="shared" si="5"/>
        <v>MSD</v>
      </c>
      <c r="AB32" t="str">
        <f t="shared" si="6"/>
        <v>MDO/MGO</v>
      </c>
      <c r="AC32" t="str">
        <f t="shared" si="7"/>
        <v>MSD</v>
      </c>
      <c r="AD32" t="str">
        <f t="shared" si="8"/>
        <v>MDO/MGO</v>
      </c>
      <c r="AE32" t="str">
        <f t="shared" si="9"/>
        <v>ST</v>
      </c>
      <c r="AG32">
        <f>Alukset_Käynnit!O39</f>
        <v>0</v>
      </c>
      <c r="AH32" s="207">
        <f>IF(AA32="SSD",((U32*Alukset_fx!$B$24)*Alukset_Käynnit_Lask!W32*(Alukset_fx!$K$49)/1000),IF(AA32="MSD",((U32*Alukset_fx!$B$24)*Alukset_Käynnit_Lask!W32*(Alukset_fx!$K$52)/1000),IF(AA32="HSD",((U32*Alukset_fx!$B$24)*Alukset_Käynnit_Lask!W32*(Alukset_fx!$K$55)/1000),0)))</f>
        <v>0</v>
      </c>
      <c r="AI32" s="207">
        <f>IF(AC32="MSD",((V32*Alukset_fx!$B$25)*Alukset_Käynnit_Lask!W32*(Alukset_fx!$L$52)/1000),IF(AC32="HSD",((V32*Alukset_fx!$B$25)*Alukset_Käynnit_Lask!W32*(Alukset_fx!$L$55)/1000),0))</f>
        <v>0</v>
      </c>
      <c r="AJ32" s="207">
        <f>X32*W32*Alukset_fx!$K$61/1000</f>
        <v>0</v>
      </c>
      <c r="AK32">
        <v>0</v>
      </c>
      <c r="AL32" s="207">
        <f>IF(AG32="Käytetty",0,IF(AC32="MSD",((V32*Alukset_fx!$O$25)*Alukset_Käynnit_Lask!O32*(Alukset_fx!$L$52)/1000),IF(AC32="HSD",((V32*Alukset_fx!$O$25)*Alukset_Käynnit_Lask!O32*(Alukset_fx!$L$55)/1000),0)))</f>
        <v>0</v>
      </c>
      <c r="AM32" s="207">
        <f>IF(AG32="Käytetty",0,Y32*O32*Alukset_fx!$K$61/1000)</f>
        <v>0</v>
      </c>
      <c r="AN32" s="213">
        <f t="shared" si="10"/>
        <v>0</v>
      </c>
    </row>
    <row r="33" spans="1:40" x14ac:dyDescent="0.25">
      <c r="A33" s="203">
        <f>Alukset_Käynnit!A40</f>
        <v>0</v>
      </c>
      <c r="B33" s="203">
        <f>Alukset_Käynnit!B40</f>
        <v>0</v>
      </c>
      <c r="C33" s="262">
        <f>Alukset_Käynnit!C40</f>
        <v>0</v>
      </c>
      <c r="D33" s="266">
        <f>Alukset_Käynnit!D40</f>
        <v>0</v>
      </c>
      <c r="E33" s="262">
        <f>Alukset_Käynnit!E40</f>
        <v>0</v>
      </c>
      <c r="F33" s="262">
        <f>Alukset_Käynnit!F40</f>
        <v>0</v>
      </c>
      <c r="G33" s="262">
        <f>Alukset_Käynnit!G40</f>
        <v>0</v>
      </c>
      <c r="H33" s="262">
        <f>Alukset_Käynnit!H40</f>
        <v>0</v>
      </c>
      <c r="I33" s="262">
        <f>Alukset_Käynnit!I40</f>
        <v>0</v>
      </c>
      <c r="J33" s="262">
        <f>Alukset_Käynnit!J40</f>
        <v>0</v>
      </c>
      <c r="K33" s="262">
        <f>Alukset_Käynnit!K40</f>
        <v>0</v>
      </c>
      <c r="L33" s="205">
        <f>Alukset_Käynnit!L40</f>
        <v>0</v>
      </c>
      <c r="N33" s="275">
        <f t="shared" si="0"/>
        <v>0</v>
      </c>
      <c r="O33" s="276">
        <f t="shared" si="11"/>
        <v>0</v>
      </c>
      <c r="P33" s="202"/>
      <c r="Q33" s="204">
        <f t="shared" si="1"/>
        <v>0</v>
      </c>
      <c r="R33" s="202">
        <f>IF(Q33="Other dry cargo",L33*Alukset_fx!$B$71,IF(OR(Q33="Dry bulk",Q33="Bulk carrier"),L33*Alukset_fx!$B$69,IF(Q33="Tugboat",L33*Alukset_fx!$B$76,IF(OR(Q33="Tanker",Q33="Gas tanker",Q33="Chemical tanker",Q33="Oil tanker"),L33*Alukset_fx!$B$68,IF(OR(Q33="RoRo",Q33="Vehicle carrier"),L33*Alukset_fx!$B$72,IF(Q33="RoPax",L33*Alukset_fx!$B$73,IF(Q33="Container ship",L33*Alukset_fx!$B$70,IF(Q33="Barge",0,L33*Alukset_fx!$B$75))))))))</f>
        <v>0</v>
      </c>
      <c r="S33" s="210">
        <f>IF(L33=0,IF(Q33="Other dry cargo",Alukset_fx!$H$73*(Alukset_Käynnit_Lask!K33^Alukset_fx!$I$73),IF(OR(Q33="Dry Bulk",Q33="Bulk carrier"),Alukset_fx!$H$71*(Alukset_Käynnit_Lask!K33^Alukset_fx!$I$71),IF(Q33="Tugboat",Alukset_fx!$H$78*(Alukset_Käynnit_Lask!K33^Alukset_fx!$I$78),IF(OR(Q33="Tanker",Q33="Gas tanker",Q33="Chemical tanker",Q33="Oil tanker"),Alukset_fx!$H$70*(Alukset_Käynnit_Lask!K33^Alukset_fx!$I$70),IF(Q33="Container ship",Alukset_fx!$H$72*(Alukset_Käynnit_Lask!K33^Alukset_fx!$I$72),IF(Q33="Barge",0,IF(Q33="RoPax",Alukset_fx!$H$75*(Alukset_Käynnit_Lask!K33^Alukset_fx!$I$75),IF(OR(Q33="RoRo",Q33="Vehicle carrier"),Alukset_fx!$H$74*(Alukset_Käynnit_Lask!K33^Alukset_fx!$I$74),Alukset_fx!$H$77*(Alukset_Käynnit_Lask!K33^Alukset_fx!$I$77))))))))),"-")</f>
        <v>0</v>
      </c>
      <c r="T33" s="208">
        <f>IF(R33=0,IF(Q33="Other dry cargo",S33*Alukset_fx!$B$71,IF(OR(Q33="Dry bulk",Q33="Bulk carrier"),S33*Alukset_fx!$B$69,IF(Q33="Tugboat",S33*Alukset_fx!$B$76,IF(OR(Q33="Tanker",Q33="Gas tanker",Q33="Chemical tanker",Q33="Oil tanker"),S33*Alukset_fx!$B$68,IF(OR(Q33="RoRo",Q33="Vehicle carrier"),S33*Alukset_fx!$B$72,IF(Q33="RoPax",S33*Alukset_fx!$B$73,IF(Q33="Container ship",S33*Alukset_fx!$B$70,S33*Alukset_fx!$B$75))))))),"-")</f>
        <v>0</v>
      </c>
      <c r="U33" s="208">
        <f t="shared" si="2"/>
        <v>0</v>
      </c>
      <c r="V33" s="208">
        <f t="shared" si="3"/>
        <v>0</v>
      </c>
      <c r="W33" s="202">
        <f>Alukset_Käynnit!N40</f>
        <v>0</v>
      </c>
      <c r="X33" s="211">
        <f>IF(Q33="Other dry cargo", Alukset_fx!$C$52, IF(OR(Q33="Dry bulk",Q33="Bulk carrier"),Alukset_fx!$C$35,IF(OR(Q33="Tanker",Q33="Gas tanker",Q33="Oil tanker"),Alukset_fx!$C$57,IF(Q33="Chemical tanker",Alukset_fx!$C$56,IF(OR(Q33="Tugboat",Q33="Barge"),0,IF(Q33="Other vessel",Alukset_fx!$C$54,IF(Q33="Container ship",Alukset_fx!$C$37,IF(OR(Q33="RoPax",Q33="RoRo",Q33="Vehicle carrier"),Alukset_fx!$C$55,0))))))))</f>
        <v>0</v>
      </c>
      <c r="Y33" s="211">
        <f>IF(Q33="Other dry cargo", Alukset_fx!$Q$52, IF(OR(Q33="Dry bulk",Q33="Bulk carrier"),Alukset_fx!$Q$35,IF(OR(Q33="Tanker",Q33="Gas tanker",Q33="Oil tanker"),Alukset_fx!$Q$57,IF(Q33="Chemical tanker",Alukset_fx!$Q$56,IF(OR(Q33="Tugboat",Q33="Barge"),0,IF(Q33="Other vessel",Alukset_fx!$Q$54,IF(Q33="Container ship",Alukset_fx!$Q$37,IF(OR(Q33="RoPax",Q33="RoRo",Q33="Vehicle carrier"),Alukset_fx!$Q$55,0))))))))</f>
        <v>0</v>
      </c>
      <c r="Z33" t="str">
        <f t="shared" si="4"/>
        <v>MDO/MGO</v>
      </c>
      <c r="AA33" t="str">
        <f t="shared" si="5"/>
        <v>MSD</v>
      </c>
      <c r="AB33" t="str">
        <f t="shared" si="6"/>
        <v>MDO/MGO</v>
      </c>
      <c r="AC33" t="str">
        <f t="shared" si="7"/>
        <v>MSD</v>
      </c>
      <c r="AD33" t="str">
        <f t="shared" si="8"/>
        <v>MDO/MGO</v>
      </c>
      <c r="AE33" t="str">
        <f t="shared" si="9"/>
        <v>ST</v>
      </c>
      <c r="AG33">
        <f>Alukset_Käynnit!O40</f>
        <v>0</v>
      </c>
      <c r="AH33" s="207">
        <f>IF(AA33="SSD",((U33*Alukset_fx!$B$24)*Alukset_Käynnit_Lask!W33*(Alukset_fx!$K$49)/1000),IF(AA33="MSD",((U33*Alukset_fx!$B$24)*Alukset_Käynnit_Lask!W33*(Alukset_fx!$K$52)/1000),IF(AA33="HSD",((U33*Alukset_fx!$B$24)*Alukset_Käynnit_Lask!W33*(Alukset_fx!$K$55)/1000),0)))</f>
        <v>0</v>
      </c>
      <c r="AI33" s="207">
        <f>IF(AC33="MSD",((V33*Alukset_fx!$B$25)*Alukset_Käynnit_Lask!W33*(Alukset_fx!$L$52)/1000),IF(AC33="HSD",((V33*Alukset_fx!$B$25)*Alukset_Käynnit_Lask!W33*(Alukset_fx!$L$55)/1000),0))</f>
        <v>0</v>
      </c>
      <c r="AJ33" s="207">
        <f>X33*W33*Alukset_fx!$K$61/1000</f>
        <v>0</v>
      </c>
      <c r="AK33">
        <v>0</v>
      </c>
      <c r="AL33" s="207">
        <f>IF(AG33="Käytetty",0,IF(AC33="MSD",((V33*Alukset_fx!$O$25)*Alukset_Käynnit_Lask!O33*(Alukset_fx!$L$52)/1000),IF(AC33="HSD",((V33*Alukset_fx!$O$25)*Alukset_Käynnit_Lask!O33*(Alukset_fx!$L$55)/1000),0)))</f>
        <v>0</v>
      </c>
      <c r="AM33" s="207">
        <f>IF(AG33="Käytetty",0,Y33*O33*Alukset_fx!$K$61/1000)</f>
        <v>0</v>
      </c>
      <c r="AN33" s="213">
        <f t="shared" si="10"/>
        <v>0</v>
      </c>
    </row>
    <row r="34" spans="1:40" x14ac:dyDescent="0.25">
      <c r="A34" s="203">
        <f>Alukset_Käynnit!A41</f>
        <v>0</v>
      </c>
      <c r="B34" s="203">
        <f>Alukset_Käynnit!B41</f>
        <v>0</v>
      </c>
      <c r="C34" s="262">
        <f>Alukset_Käynnit!C41</f>
        <v>0</v>
      </c>
      <c r="D34" s="266">
        <f>Alukset_Käynnit!D41</f>
        <v>0</v>
      </c>
      <c r="E34" s="262">
        <f>Alukset_Käynnit!E41</f>
        <v>0</v>
      </c>
      <c r="F34" s="262">
        <f>Alukset_Käynnit!F41</f>
        <v>0</v>
      </c>
      <c r="G34" s="262">
        <f>Alukset_Käynnit!G41</f>
        <v>0</v>
      </c>
      <c r="H34" s="262">
        <f>Alukset_Käynnit!H41</f>
        <v>0</v>
      </c>
      <c r="I34" s="262">
        <f>Alukset_Käynnit!I41</f>
        <v>0</v>
      </c>
      <c r="J34" s="262">
        <f>Alukset_Käynnit!J41</f>
        <v>0</v>
      </c>
      <c r="K34" s="262">
        <f>Alukset_Käynnit!K41</f>
        <v>0</v>
      </c>
      <c r="L34" s="205">
        <f>Alukset_Käynnit!L41</f>
        <v>0</v>
      </c>
      <c r="N34" s="273">
        <f t="shared" si="0"/>
        <v>0</v>
      </c>
      <c r="O34" s="274">
        <f t="shared" si="11"/>
        <v>0</v>
      </c>
      <c r="P34" s="202"/>
      <c r="Q34" s="204">
        <f t="shared" si="1"/>
        <v>0</v>
      </c>
      <c r="R34" s="202">
        <f>IF(Q34="Other dry cargo",L34*Alukset_fx!$B$71,IF(OR(Q34="Dry bulk",Q34="Bulk carrier"),L34*Alukset_fx!$B$69,IF(Q34="Tugboat",L34*Alukset_fx!$B$76,IF(OR(Q34="Tanker",Q34="Gas tanker",Q34="Chemical tanker",Q34="Oil tanker"),L34*Alukset_fx!$B$68,IF(OR(Q34="RoRo",Q34="Vehicle carrier"),L34*Alukset_fx!$B$72,IF(Q34="RoPax",L34*Alukset_fx!$B$73,IF(Q34="Container ship",L34*Alukset_fx!$B$70,IF(Q34="Barge",0,L34*Alukset_fx!$B$75))))))))</f>
        <v>0</v>
      </c>
      <c r="S34" s="210">
        <f>IF(L34=0,IF(Q34="Other dry cargo",Alukset_fx!$H$73*(Alukset_Käynnit_Lask!K34^Alukset_fx!$I$73),IF(OR(Q34="Dry Bulk",Q34="Bulk carrier"),Alukset_fx!$H$71*(Alukset_Käynnit_Lask!K34^Alukset_fx!$I$71),IF(Q34="Tugboat",Alukset_fx!$H$78*(Alukset_Käynnit_Lask!K34^Alukset_fx!$I$78),IF(OR(Q34="Tanker",Q34="Gas tanker",Q34="Chemical tanker",Q34="Oil tanker"),Alukset_fx!$H$70*(Alukset_Käynnit_Lask!K34^Alukset_fx!$I$70),IF(Q34="Container ship",Alukset_fx!$H$72*(Alukset_Käynnit_Lask!K34^Alukset_fx!$I$72),IF(Q34="Barge",0,IF(Q34="RoPax",Alukset_fx!$H$75*(Alukset_Käynnit_Lask!K34^Alukset_fx!$I$75),IF(OR(Q34="RoRo",Q34="Vehicle carrier"),Alukset_fx!$H$74*(Alukset_Käynnit_Lask!K34^Alukset_fx!$I$74),Alukset_fx!$H$77*(Alukset_Käynnit_Lask!K34^Alukset_fx!$I$77))))))))),"-")</f>
        <v>0</v>
      </c>
      <c r="T34" s="208">
        <f>IF(R34=0,IF(Q34="Other dry cargo",S34*Alukset_fx!$B$71,IF(OR(Q34="Dry bulk",Q34="Bulk carrier"),S34*Alukset_fx!$B$69,IF(Q34="Tugboat",S34*Alukset_fx!$B$76,IF(OR(Q34="Tanker",Q34="Gas tanker",Q34="Chemical tanker",Q34="Oil tanker"),S34*Alukset_fx!$B$68,IF(OR(Q34="RoRo",Q34="Vehicle carrier"),S34*Alukset_fx!$B$72,IF(Q34="RoPax",S34*Alukset_fx!$B$73,IF(Q34="Container ship",S34*Alukset_fx!$B$70,S34*Alukset_fx!$B$75))))))),"-")</f>
        <v>0</v>
      </c>
      <c r="U34" s="208">
        <f t="shared" si="2"/>
        <v>0</v>
      </c>
      <c r="V34" s="208">
        <f t="shared" si="3"/>
        <v>0</v>
      </c>
      <c r="W34" s="202">
        <f>Alukset_Käynnit!N41</f>
        <v>0</v>
      </c>
      <c r="X34" s="211">
        <f>IF(Q34="Other dry cargo", Alukset_fx!$C$52, IF(OR(Q34="Dry bulk",Q34="Bulk carrier"),Alukset_fx!$C$35,IF(OR(Q34="Tanker",Q34="Gas tanker",Q34="Oil tanker"),Alukset_fx!$C$57,IF(Q34="Chemical tanker",Alukset_fx!$C$56,IF(OR(Q34="Tugboat",Q34="Barge"),0,IF(Q34="Other vessel",Alukset_fx!$C$54,IF(Q34="Container ship",Alukset_fx!$C$37,IF(OR(Q34="RoPax",Q34="RoRo",Q34="Vehicle carrier"),Alukset_fx!$C$55,0))))))))</f>
        <v>0</v>
      </c>
      <c r="Y34" s="211">
        <f>IF(Q34="Other dry cargo", Alukset_fx!$Q$52, IF(OR(Q34="Dry bulk",Q34="Bulk carrier"),Alukset_fx!$Q$35,IF(OR(Q34="Tanker",Q34="Gas tanker",Q34="Oil tanker"),Alukset_fx!$Q$57,IF(Q34="Chemical tanker",Alukset_fx!$Q$56,IF(OR(Q34="Tugboat",Q34="Barge"),0,IF(Q34="Other vessel",Alukset_fx!$Q$54,IF(Q34="Container ship",Alukset_fx!$Q$37,IF(OR(Q34="RoPax",Q34="RoRo",Q34="Vehicle carrier"),Alukset_fx!$Q$55,0))))))))</f>
        <v>0</v>
      </c>
      <c r="Z34" t="str">
        <f t="shared" si="4"/>
        <v>MDO/MGO</v>
      </c>
      <c r="AA34" t="str">
        <f t="shared" si="5"/>
        <v>MSD</v>
      </c>
      <c r="AB34" t="str">
        <f t="shared" si="6"/>
        <v>MDO/MGO</v>
      </c>
      <c r="AC34" t="str">
        <f t="shared" si="7"/>
        <v>MSD</v>
      </c>
      <c r="AD34" t="str">
        <f t="shared" si="8"/>
        <v>MDO/MGO</v>
      </c>
      <c r="AE34" t="str">
        <f t="shared" si="9"/>
        <v>ST</v>
      </c>
      <c r="AG34">
        <f>Alukset_Käynnit!O41</f>
        <v>0</v>
      </c>
      <c r="AH34" s="207">
        <f>IF(AA34="SSD",((U34*Alukset_fx!$B$24)*Alukset_Käynnit_Lask!W34*(Alukset_fx!$K$49)/1000),IF(AA34="MSD",((U34*Alukset_fx!$B$24)*Alukset_Käynnit_Lask!W34*(Alukset_fx!$K$52)/1000),IF(AA34="HSD",((U34*Alukset_fx!$B$24)*Alukset_Käynnit_Lask!W34*(Alukset_fx!$K$55)/1000),0)))</f>
        <v>0</v>
      </c>
      <c r="AI34" s="207">
        <f>IF(AC34="MSD",((V34*Alukset_fx!$B$25)*Alukset_Käynnit_Lask!W34*(Alukset_fx!$L$52)/1000),IF(AC34="HSD",((V34*Alukset_fx!$B$25)*Alukset_Käynnit_Lask!W34*(Alukset_fx!$L$55)/1000),0))</f>
        <v>0</v>
      </c>
      <c r="AJ34" s="207">
        <f>X34*W34*Alukset_fx!$K$61/1000</f>
        <v>0</v>
      </c>
      <c r="AK34">
        <v>0</v>
      </c>
      <c r="AL34" s="207">
        <f>IF(AG34="Käytetty",0,IF(AC34="MSD",((V34*Alukset_fx!$O$25)*Alukset_Käynnit_Lask!O34*(Alukset_fx!$L$52)/1000),IF(AC34="HSD",((V34*Alukset_fx!$O$25)*Alukset_Käynnit_Lask!O34*(Alukset_fx!$L$55)/1000),0)))</f>
        <v>0</v>
      </c>
      <c r="AM34" s="207">
        <f>IF(AG34="Käytetty",0,Y34*O34*Alukset_fx!$K$61/1000)</f>
        <v>0</v>
      </c>
      <c r="AN34" s="213">
        <f t="shared" si="10"/>
        <v>0</v>
      </c>
    </row>
    <row r="35" spans="1:40" x14ac:dyDescent="0.25">
      <c r="A35" s="203">
        <f>Alukset_Käynnit!A42</f>
        <v>0</v>
      </c>
      <c r="B35" s="203">
        <f>Alukset_Käynnit!B42</f>
        <v>0</v>
      </c>
      <c r="C35" s="262">
        <f>Alukset_Käynnit!C42</f>
        <v>0</v>
      </c>
      <c r="D35" s="266">
        <f>Alukset_Käynnit!D42</f>
        <v>0</v>
      </c>
      <c r="E35" s="262">
        <f>Alukset_Käynnit!E42</f>
        <v>0</v>
      </c>
      <c r="F35" s="262">
        <f>Alukset_Käynnit!F42</f>
        <v>0</v>
      </c>
      <c r="G35" s="262">
        <f>Alukset_Käynnit!G42</f>
        <v>0</v>
      </c>
      <c r="H35" s="262">
        <f>Alukset_Käynnit!H42</f>
        <v>0</v>
      </c>
      <c r="I35" s="262">
        <f>Alukset_Käynnit!I42</f>
        <v>0</v>
      </c>
      <c r="J35" s="262">
        <f>Alukset_Käynnit!J42</f>
        <v>0</v>
      </c>
      <c r="K35" s="262">
        <f>Alukset_Käynnit!K42</f>
        <v>0</v>
      </c>
      <c r="L35" s="205">
        <f>Alukset_Käynnit!L42</f>
        <v>0</v>
      </c>
      <c r="N35" s="275">
        <f t="shared" si="0"/>
        <v>0</v>
      </c>
      <c r="O35" s="276">
        <f t="shared" si="11"/>
        <v>0</v>
      </c>
      <c r="P35" s="202"/>
      <c r="Q35" s="204">
        <f t="shared" si="1"/>
        <v>0</v>
      </c>
      <c r="R35" s="202">
        <f>IF(Q35="Other dry cargo",L35*Alukset_fx!$B$71,IF(OR(Q35="Dry bulk",Q35="Bulk carrier"),L35*Alukset_fx!$B$69,IF(Q35="Tugboat",L35*Alukset_fx!$B$76,IF(OR(Q35="Tanker",Q35="Gas tanker",Q35="Chemical tanker",Q35="Oil tanker"),L35*Alukset_fx!$B$68,IF(OR(Q35="RoRo",Q35="Vehicle carrier"),L35*Alukset_fx!$B$72,IF(Q35="RoPax",L35*Alukset_fx!$B$73,IF(Q35="Container ship",L35*Alukset_fx!$B$70,IF(Q35="Barge",0,L35*Alukset_fx!$B$75))))))))</f>
        <v>0</v>
      </c>
      <c r="S35" s="210">
        <f>IF(L35=0,IF(Q35="Other dry cargo",Alukset_fx!$H$73*(Alukset_Käynnit_Lask!K35^Alukset_fx!$I$73),IF(OR(Q35="Dry Bulk",Q35="Bulk carrier"),Alukset_fx!$H$71*(Alukset_Käynnit_Lask!K35^Alukset_fx!$I$71),IF(Q35="Tugboat",Alukset_fx!$H$78*(Alukset_Käynnit_Lask!K35^Alukset_fx!$I$78),IF(OR(Q35="Tanker",Q35="Gas tanker",Q35="Chemical tanker",Q35="Oil tanker"),Alukset_fx!$H$70*(Alukset_Käynnit_Lask!K35^Alukset_fx!$I$70),IF(Q35="Container ship",Alukset_fx!$H$72*(Alukset_Käynnit_Lask!K35^Alukset_fx!$I$72),IF(Q35="Barge",0,IF(Q35="RoPax",Alukset_fx!$H$75*(Alukset_Käynnit_Lask!K35^Alukset_fx!$I$75),IF(OR(Q35="RoRo",Q35="Vehicle carrier"),Alukset_fx!$H$74*(Alukset_Käynnit_Lask!K35^Alukset_fx!$I$74),Alukset_fx!$H$77*(Alukset_Käynnit_Lask!K35^Alukset_fx!$I$77))))))))),"-")</f>
        <v>0</v>
      </c>
      <c r="T35" s="208">
        <f>IF(R35=0,IF(Q35="Other dry cargo",S35*Alukset_fx!$B$71,IF(OR(Q35="Dry bulk",Q35="Bulk carrier"),S35*Alukset_fx!$B$69,IF(Q35="Tugboat",S35*Alukset_fx!$B$76,IF(OR(Q35="Tanker",Q35="Gas tanker",Q35="Chemical tanker",Q35="Oil tanker"),S35*Alukset_fx!$B$68,IF(OR(Q35="RoRo",Q35="Vehicle carrier"),S35*Alukset_fx!$B$72,IF(Q35="RoPax",S35*Alukset_fx!$B$73,IF(Q35="Container ship",S35*Alukset_fx!$B$70,S35*Alukset_fx!$B$75))))))),"-")</f>
        <v>0</v>
      </c>
      <c r="U35" s="208">
        <f t="shared" si="2"/>
        <v>0</v>
      </c>
      <c r="V35" s="208">
        <f t="shared" si="3"/>
        <v>0</v>
      </c>
      <c r="W35" s="202">
        <f>Alukset_Käynnit!N42</f>
        <v>0</v>
      </c>
      <c r="X35" s="211">
        <f>IF(Q35="Other dry cargo", Alukset_fx!$C$52, IF(OR(Q35="Dry bulk",Q35="Bulk carrier"),Alukset_fx!$C$35,IF(OR(Q35="Tanker",Q35="Gas tanker",Q35="Oil tanker"),Alukset_fx!$C$57,IF(Q35="Chemical tanker",Alukset_fx!$C$56,IF(OR(Q35="Tugboat",Q35="Barge"),0,IF(Q35="Other vessel",Alukset_fx!$C$54,IF(Q35="Container ship",Alukset_fx!$C$37,IF(OR(Q35="RoPax",Q35="RoRo",Q35="Vehicle carrier"),Alukset_fx!$C$55,0))))))))</f>
        <v>0</v>
      </c>
      <c r="Y35" s="211">
        <f>IF(Q35="Other dry cargo", Alukset_fx!$Q$52, IF(OR(Q35="Dry bulk",Q35="Bulk carrier"),Alukset_fx!$Q$35,IF(OR(Q35="Tanker",Q35="Gas tanker",Q35="Oil tanker"),Alukset_fx!$Q$57,IF(Q35="Chemical tanker",Alukset_fx!$Q$56,IF(OR(Q35="Tugboat",Q35="Barge"),0,IF(Q35="Other vessel",Alukset_fx!$Q$54,IF(Q35="Container ship",Alukset_fx!$Q$37,IF(OR(Q35="RoPax",Q35="RoRo",Q35="Vehicle carrier"),Alukset_fx!$Q$55,0))))))))</f>
        <v>0</v>
      </c>
      <c r="Z35" t="str">
        <f t="shared" si="4"/>
        <v>MDO/MGO</v>
      </c>
      <c r="AA35" t="str">
        <f t="shared" si="5"/>
        <v>MSD</v>
      </c>
      <c r="AB35" t="str">
        <f t="shared" si="6"/>
        <v>MDO/MGO</v>
      </c>
      <c r="AC35" t="str">
        <f t="shared" si="7"/>
        <v>MSD</v>
      </c>
      <c r="AD35" t="str">
        <f t="shared" si="8"/>
        <v>MDO/MGO</v>
      </c>
      <c r="AE35" t="str">
        <f t="shared" si="9"/>
        <v>ST</v>
      </c>
      <c r="AG35">
        <f>Alukset_Käynnit!O42</f>
        <v>0</v>
      </c>
      <c r="AH35" s="207">
        <f>IF(AA35="SSD",((U35*Alukset_fx!$B$24)*Alukset_Käynnit_Lask!W35*(Alukset_fx!$K$49)/1000),IF(AA35="MSD",((U35*Alukset_fx!$B$24)*Alukset_Käynnit_Lask!W35*(Alukset_fx!$K$52)/1000),IF(AA35="HSD",((U35*Alukset_fx!$B$24)*Alukset_Käynnit_Lask!W35*(Alukset_fx!$K$55)/1000),0)))</f>
        <v>0</v>
      </c>
      <c r="AI35" s="207">
        <f>IF(AC35="MSD",((V35*Alukset_fx!$B$25)*Alukset_Käynnit_Lask!W35*(Alukset_fx!$L$52)/1000),IF(AC35="HSD",((V35*Alukset_fx!$B$25)*Alukset_Käynnit_Lask!W35*(Alukset_fx!$L$55)/1000),0))</f>
        <v>0</v>
      </c>
      <c r="AJ35" s="207">
        <f>X35*W35*Alukset_fx!$K$61/1000</f>
        <v>0</v>
      </c>
      <c r="AK35">
        <v>0</v>
      </c>
      <c r="AL35" s="207">
        <f>IF(AG35="Käytetty",0,IF(AC35="MSD",((V35*Alukset_fx!$O$25)*Alukset_Käynnit_Lask!O35*(Alukset_fx!$L$52)/1000),IF(AC35="HSD",((V35*Alukset_fx!$O$25)*Alukset_Käynnit_Lask!O35*(Alukset_fx!$L$55)/1000),0)))</f>
        <v>0</v>
      </c>
      <c r="AM35" s="207">
        <f>IF(AG35="Käytetty",0,Y35*O35*Alukset_fx!$K$61/1000)</f>
        <v>0</v>
      </c>
      <c r="AN35" s="213">
        <f t="shared" si="10"/>
        <v>0</v>
      </c>
    </row>
    <row r="36" spans="1:40" x14ac:dyDescent="0.25">
      <c r="A36" s="203">
        <f>Alukset_Käynnit!A43</f>
        <v>0</v>
      </c>
      <c r="B36" s="203">
        <f>Alukset_Käynnit!B43</f>
        <v>0</v>
      </c>
      <c r="C36" s="262">
        <f>Alukset_Käynnit!C43</f>
        <v>0</v>
      </c>
      <c r="D36" s="266">
        <f>Alukset_Käynnit!D43</f>
        <v>0</v>
      </c>
      <c r="E36" s="262">
        <f>Alukset_Käynnit!E43</f>
        <v>0</v>
      </c>
      <c r="F36" s="262">
        <f>Alukset_Käynnit!F43</f>
        <v>0</v>
      </c>
      <c r="G36" s="262">
        <f>Alukset_Käynnit!G43</f>
        <v>0</v>
      </c>
      <c r="H36" s="262">
        <f>Alukset_Käynnit!H43</f>
        <v>0</v>
      </c>
      <c r="I36" s="262">
        <f>Alukset_Käynnit!I43</f>
        <v>0</v>
      </c>
      <c r="J36" s="262">
        <f>Alukset_Käynnit!J43</f>
        <v>0</v>
      </c>
      <c r="K36" s="262">
        <f>Alukset_Käynnit!K43</f>
        <v>0</v>
      </c>
      <c r="L36" s="205">
        <f>Alukset_Käynnit!L43</f>
        <v>0</v>
      </c>
      <c r="N36" s="273">
        <f t="shared" si="0"/>
        <v>0</v>
      </c>
      <c r="O36" s="274">
        <f t="shared" si="11"/>
        <v>0</v>
      </c>
      <c r="P36" s="202"/>
      <c r="Q36" s="204">
        <f t="shared" si="1"/>
        <v>0</v>
      </c>
      <c r="R36" s="202">
        <f>IF(Q36="Other dry cargo",L36*Alukset_fx!$B$71,IF(OR(Q36="Dry bulk",Q36="Bulk carrier"),L36*Alukset_fx!$B$69,IF(Q36="Tugboat",L36*Alukset_fx!$B$76,IF(OR(Q36="Tanker",Q36="Gas tanker",Q36="Chemical tanker",Q36="Oil tanker"),L36*Alukset_fx!$B$68,IF(OR(Q36="RoRo",Q36="Vehicle carrier"),L36*Alukset_fx!$B$72,IF(Q36="RoPax",L36*Alukset_fx!$B$73,IF(Q36="Container ship",L36*Alukset_fx!$B$70,IF(Q36="Barge",0,L36*Alukset_fx!$B$75))))))))</f>
        <v>0</v>
      </c>
      <c r="S36" s="210">
        <f>IF(L36=0,IF(Q36="Other dry cargo",Alukset_fx!$H$73*(Alukset_Käynnit_Lask!K36^Alukset_fx!$I$73),IF(OR(Q36="Dry Bulk",Q36="Bulk carrier"),Alukset_fx!$H$71*(Alukset_Käynnit_Lask!K36^Alukset_fx!$I$71),IF(Q36="Tugboat",Alukset_fx!$H$78*(Alukset_Käynnit_Lask!K36^Alukset_fx!$I$78),IF(OR(Q36="Tanker",Q36="Gas tanker",Q36="Chemical tanker",Q36="Oil tanker"),Alukset_fx!$H$70*(Alukset_Käynnit_Lask!K36^Alukset_fx!$I$70),IF(Q36="Container ship",Alukset_fx!$H$72*(Alukset_Käynnit_Lask!K36^Alukset_fx!$I$72),IF(Q36="Barge",0,IF(Q36="RoPax",Alukset_fx!$H$75*(Alukset_Käynnit_Lask!K36^Alukset_fx!$I$75),IF(OR(Q36="RoRo",Q36="Vehicle carrier"),Alukset_fx!$H$74*(Alukset_Käynnit_Lask!K36^Alukset_fx!$I$74),Alukset_fx!$H$77*(Alukset_Käynnit_Lask!K36^Alukset_fx!$I$77))))))))),"-")</f>
        <v>0</v>
      </c>
      <c r="T36" s="208">
        <f>IF(R36=0,IF(Q36="Other dry cargo",S36*Alukset_fx!$B$71,IF(OR(Q36="Dry bulk",Q36="Bulk carrier"),S36*Alukset_fx!$B$69,IF(Q36="Tugboat",S36*Alukset_fx!$B$76,IF(OR(Q36="Tanker",Q36="Gas tanker",Q36="Chemical tanker",Q36="Oil tanker"),S36*Alukset_fx!$B$68,IF(OR(Q36="RoRo",Q36="Vehicle carrier"),S36*Alukset_fx!$B$72,IF(Q36="RoPax",S36*Alukset_fx!$B$73,IF(Q36="Container ship",S36*Alukset_fx!$B$70,S36*Alukset_fx!$B$75))))))),"-")</f>
        <v>0</v>
      </c>
      <c r="U36" s="208">
        <f t="shared" si="2"/>
        <v>0</v>
      </c>
      <c r="V36" s="208">
        <f t="shared" si="3"/>
        <v>0</v>
      </c>
      <c r="W36" s="202">
        <f>Alukset_Käynnit!N43</f>
        <v>0</v>
      </c>
      <c r="X36" s="211">
        <f>IF(Q36="Other dry cargo", Alukset_fx!$C$52, IF(OR(Q36="Dry bulk",Q36="Bulk carrier"),Alukset_fx!$C$35,IF(OR(Q36="Tanker",Q36="Gas tanker",Q36="Oil tanker"),Alukset_fx!$C$57,IF(Q36="Chemical tanker",Alukset_fx!$C$56,IF(OR(Q36="Tugboat",Q36="Barge"),0,IF(Q36="Other vessel",Alukset_fx!$C$54,IF(Q36="Container ship",Alukset_fx!$C$37,IF(OR(Q36="RoPax",Q36="RoRo",Q36="Vehicle carrier"),Alukset_fx!$C$55,0))))))))</f>
        <v>0</v>
      </c>
      <c r="Y36" s="211">
        <f>IF(Q36="Other dry cargo", Alukset_fx!$Q$52, IF(OR(Q36="Dry bulk",Q36="Bulk carrier"),Alukset_fx!$Q$35,IF(OR(Q36="Tanker",Q36="Gas tanker",Q36="Oil tanker"),Alukset_fx!$Q$57,IF(Q36="Chemical tanker",Alukset_fx!$Q$56,IF(OR(Q36="Tugboat",Q36="Barge"),0,IF(Q36="Other vessel",Alukset_fx!$Q$54,IF(Q36="Container ship",Alukset_fx!$Q$37,IF(OR(Q36="RoPax",Q36="RoRo",Q36="Vehicle carrier"),Alukset_fx!$Q$55,0))))))))</f>
        <v>0</v>
      </c>
      <c r="Z36" t="str">
        <f t="shared" si="4"/>
        <v>MDO/MGO</v>
      </c>
      <c r="AA36" t="str">
        <f t="shared" si="5"/>
        <v>MSD</v>
      </c>
      <c r="AB36" t="str">
        <f t="shared" si="6"/>
        <v>MDO/MGO</v>
      </c>
      <c r="AC36" t="str">
        <f t="shared" si="7"/>
        <v>MSD</v>
      </c>
      <c r="AD36" t="str">
        <f t="shared" si="8"/>
        <v>MDO/MGO</v>
      </c>
      <c r="AE36" t="str">
        <f t="shared" si="9"/>
        <v>ST</v>
      </c>
      <c r="AG36">
        <f>Alukset_Käynnit!O43</f>
        <v>0</v>
      </c>
      <c r="AH36" s="207">
        <f>IF(AA36="SSD",((U36*Alukset_fx!$B$24)*Alukset_Käynnit_Lask!W36*(Alukset_fx!$K$49)/1000),IF(AA36="MSD",((U36*Alukset_fx!$B$24)*Alukset_Käynnit_Lask!W36*(Alukset_fx!$K$52)/1000),IF(AA36="HSD",((U36*Alukset_fx!$B$24)*Alukset_Käynnit_Lask!W36*(Alukset_fx!$K$55)/1000),0)))</f>
        <v>0</v>
      </c>
      <c r="AI36" s="207">
        <f>IF(AC36="MSD",((V36*Alukset_fx!$B$25)*Alukset_Käynnit_Lask!W36*(Alukset_fx!$L$52)/1000),IF(AC36="HSD",((V36*Alukset_fx!$B$25)*Alukset_Käynnit_Lask!W36*(Alukset_fx!$L$55)/1000),0))</f>
        <v>0</v>
      </c>
      <c r="AJ36" s="207">
        <f>X36*W36*Alukset_fx!$K$61/1000</f>
        <v>0</v>
      </c>
      <c r="AK36">
        <v>0</v>
      </c>
      <c r="AL36" s="207">
        <f>IF(AG36="Käytetty",0,IF(AC36="MSD",((V36*Alukset_fx!$O$25)*Alukset_Käynnit_Lask!O36*(Alukset_fx!$L$52)/1000),IF(AC36="HSD",((V36*Alukset_fx!$O$25)*Alukset_Käynnit_Lask!O36*(Alukset_fx!$L$55)/1000),0)))</f>
        <v>0</v>
      </c>
      <c r="AM36" s="207">
        <f>IF(AG36="Käytetty",0,Y36*O36*Alukset_fx!$K$61/1000)</f>
        <v>0</v>
      </c>
      <c r="AN36" s="213">
        <f t="shared" si="10"/>
        <v>0</v>
      </c>
    </row>
    <row r="37" spans="1:40" x14ac:dyDescent="0.25">
      <c r="A37" s="203">
        <f>Alukset_Käynnit!A44</f>
        <v>0</v>
      </c>
      <c r="B37" s="203">
        <f>Alukset_Käynnit!B44</f>
        <v>0</v>
      </c>
      <c r="C37" s="262">
        <f>Alukset_Käynnit!C44</f>
        <v>0</v>
      </c>
      <c r="D37" s="266">
        <f>Alukset_Käynnit!D44</f>
        <v>0</v>
      </c>
      <c r="E37" s="262">
        <f>Alukset_Käynnit!E44</f>
        <v>0</v>
      </c>
      <c r="F37" s="262">
        <f>Alukset_Käynnit!F44</f>
        <v>0</v>
      </c>
      <c r="G37" s="262">
        <f>Alukset_Käynnit!G44</f>
        <v>0</v>
      </c>
      <c r="H37" s="262">
        <f>Alukset_Käynnit!H44</f>
        <v>0</v>
      </c>
      <c r="I37" s="262">
        <f>Alukset_Käynnit!I44</f>
        <v>0</v>
      </c>
      <c r="J37" s="262">
        <f>Alukset_Käynnit!J44</f>
        <v>0</v>
      </c>
      <c r="K37" s="262">
        <f>Alukset_Käynnit!K44</f>
        <v>0</v>
      </c>
      <c r="L37" s="205">
        <f>Alukset_Käynnit!L44</f>
        <v>0</v>
      </c>
      <c r="N37" s="273">
        <f t="shared" si="0"/>
        <v>0</v>
      </c>
      <c r="O37" s="274">
        <f t="shared" si="11"/>
        <v>0</v>
      </c>
      <c r="P37" s="202"/>
      <c r="Q37" s="204">
        <f t="shared" si="1"/>
        <v>0</v>
      </c>
      <c r="R37" s="202">
        <f>IF(Q37="Other dry cargo",L37*Alukset_fx!$B$71,IF(OR(Q37="Dry bulk",Q37="Bulk carrier"),L37*Alukset_fx!$B$69,IF(Q37="Tugboat",L37*Alukset_fx!$B$76,IF(OR(Q37="Tanker",Q37="Gas tanker",Q37="Chemical tanker",Q37="Oil tanker"),L37*Alukset_fx!$B$68,IF(OR(Q37="RoRo",Q37="Vehicle carrier"),L37*Alukset_fx!$B$72,IF(Q37="RoPax",L37*Alukset_fx!$B$73,IF(Q37="Container ship",L37*Alukset_fx!$B$70,IF(Q37="Barge",0,L37*Alukset_fx!$B$75))))))))</f>
        <v>0</v>
      </c>
      <c r="S37" s="210">
        <f>IF(L37=0,IF(Q37="Other dry cargo",Alukset_fx!$H$73*(Alukset_Käynnit_Lask!K37^Alukset_fx!$I$73),IF(OR(Q37="Dry Bulk",Q37="Bulk carrier"),Alukset_fx!$H$71*(Alukset_Käynnit_Lask!K37^Alukset_fx!$I$71),IF(Q37="Tugboat",Alukset_fx!$H$78*(Alukset_Käynnit_Lask!K37^Alukset_fx!$I$78),IF(OR(Q37="Tanker",Q37="Gas tanker",Q37="Chemical tanker",Q37="Oil tanker"),Alukset_fx!$H$70*(Alukset_Käynnit_Lask!K37^Alukset_fx!$I$70),IF(Q37="Container ship",Alukset_fx!$H$72*(Alukset_Käynnit_Lask!K37^Alukset_fx!$I$72),IF(Q37="Barge",0,IF(Q37="RoPax",Alukset_fx!$H$75*(Alukset_Käynnit_Lask!K37^Alukset_fx!$I$75),IF(OR(Q37="RoRo",Q37="Vehicle carrier"),Alukset_fx!$H$74*(Alukset_Käynnit_Lask!K37^Alukset_fx!$I$74),Alukset_fx!$H$77*(Alukset_Käynnit_Lask!K37^Alukset_fx!$I$77))))))))),"-")</f>
        <v>0</v>
      </c>
      <c r="T37" s="208">
        <f>IF(R37=0,IF(Q37="Other dry cargo",S37*Alukset_fx!$B$71,IF(OR(Q37="Dry bulk",Q37="Bulk carrier"),S37*Alukset_fx!$B$69,IF(Q37="Tugboat",S37*Alukset_fx!$B$76,IF(OR(Q37="Tanker",Q37="Gas tanker",Q37="Chemical tanker",Q37="Oil tanker"),S37*Alukset_fx!$B$68,IF(OR(Q37="RoRo",Q37="Vehicle carrier"),S37*Alukset_fx!$B$72,IF(Q37="RoPax",S37*Alukset_fx!$B$73,IF(Q37="Container ship",S37*Alukset_fx!$B$70,S37*Alukset_fx!$B$75))))))),"-")</f>
        <v>0</v>
      </c>
      <c r="U37" s="208">
        <f t="shared" si="2"/>
        <v>0</v>
      </c>
      <c r="V37" s="208">
        <f t="shared" si="3"/>
        <v>0</v>
      </c>
      <c r="W37" s="202">
        <f>Alukset_Käynnit!N44</f>
        <v>0</v>
      </c>
      <c r="X37" s="211">
        <f>IF(Q37="Other dry cargo", Alukset_fx!$C$52, IF(OR(Q37="Dry bulk",Q37="Bulk carrier"),Alukset_fx!$C$35,IF(OR(Q37="Tanker",Q37="Gas tanker",Q37="Oil tanker"),Alukset_fx!$C$57,IF(Q37="Chemical tanker",Alukset_fx!$C$56,IF(OR(Q37="Tugboat",Q37="Barge"),0,IF(Q37="Other vessel",Alukset_fx!$C$54,IF(Q37="Container ship",Alukset_fx!$C$37,IF(OR(Q37="RoPax",Q37="RoRo",Q37="Vehicle carrier"),Alukset_fx!$C$55,0))))))))</f>
        <v>0</v>
      </c>
      <c r="Y37" s="211">
        <f>IF(Q37="Other dry cargo", Alukset_fx!$Q$52, IF(OR(Q37="Dry bulk",Q37="Bulk carrier"),Alukset_fx!$Q$35,IF(OR(Q37="Tanker",Q37="Gas tanker",Q37="Oil tanker"),Alukset_fx!$Q$57,IF(Q37="Chemical tanker",Alukset_fx!$Q$56,IF(OR(Q37="Tugboat",Q37="Barge"),0,IF(Q37="Other vessel",Alukset_fx!$Q$54,IF(Q37="Container ship",Alukset_fx!$Q$37,IF(OR(Q37="RoPax",Q37="RoRo",Q37="Vehicle carrier"),Alukset_fx!$Q$55,0))))))))</f>
        <v>0</v>
      </c>
      <c r="Z37" t="str">
        <f t="shared" si="4"/>
        <v>MDO/MGO</v>
      </c>
      <c r="AA37" t="str">
        <f t="shared" si="5"/>
        <v>MSD</v>
      </c>
      <c r="AB37" t="str">
        <f t="shared" si="6"/>
        <v>MDO/MGO</v>
      </c>
      <c r="AC37" t="str">
        <f t="shared" si="7"/>
        <v>MSD</v>
      </c>
      <c r="AD37" t="str">
        <f t="shared" si="8"/>
        <v>MDO/MGO</v>
      </c>
      <c r="AE37" t="str">
        <f t="shared" si="9"/>
        <v>ST</v>
      </c>
      <c r="AG37">
        <f>Alukset_Käynnit!O44</f>
        <v>0</v>
      </c>
      <c r="AH37" s="207">
        <f>IF(AA37="SSD",((U37*Alukset_fx!$B$24)*Alukset_Käynnit_Lask!W37*(Alukset_fx!$K$49)/1000),IF(AA37="MSD",((U37*Alukset_fx!$B$24)*Alukset_Käynnit_Lask!W37*(Alukset_fx!$K$52)/1000),IF(AA37="HSD",((U37*Alukset_fx!$B$24)*Alukset_Käynnit_Lask!W37*(Alukset_fx!$K$55)/1000),0)))</f>
        <v>0</v>
      </c>
      <c r="AI37" s="207">
        <f>IF(AC37="MSD",((V37*Alukset_fx!$B$25)*Alukset_Käynnit_Lask!W37*(Alukset_fx!$L$52)/1000),IF(AC37="HSD",((V37*Alukset_fx!$B$25)*Alukset_Käynnit_Lask!W37*(Alukset_fx!$L$55)/1000),0))</f>
        <v>0</v>
      </c>
      <c r="AJ37" s="207">
        <f>X37*W37*Alukset_fx!$K$61/1000</f>
        <v>0</v>
      </c>
      <c r="AK37">
        <v>0</v>
      </c>
      <c r="AL37" s="207">
        <f>IF(AG37="Käytetty",0,IF(AC37="MSD",((V37*Alukset_fx!$O$25)*Alukset_Käynnit_Lask!O37*(Alukset_fx!$L$52)/1000),IF(AC37="HSD",((V37*Alukset_fx!$O$25)*Alukset_Käynnit_Lask!O37*(Alukset_fx!$L$55)/1000),0)))</f>
        <v>0</v>
      </c>
      <c r="AM37" s="207">
        <f>IF(AG37="Käytetty",0,Y37*O37*Alukset_fx!$K$61/1000)</f>
        <v>0</v>
      </c>
      <c r="AN37" s="213">
        <f t="shared" si="10"/>
        <v>0</v>
      </c>
    </row>
    <row r="38" spans="1:40" x14ac:dyDescent="0.25">
      <c r="A38" s="203">
        <f>Alukset_Käynnit!A45</f>
        <v>0</v>
      </c>
      <c r="B38" s="203">
        <f>Alukset_Käynnit!B45</f>
        <v>0</v>
      </c>
      <c r="C38" s="262">
        <f>Alukset_Käynnit!C45</f>
        <v>0</v>
      </c>
      <c r="D38" s="266">
        <f>Alukset_Käynnit!D45</f>
        <v>0</v>
      </c>
      <c r="E38" s="262">
        <f>Alukset_Käynnit!E45</f>
        <v>0</v>
      </c>
      <c r="F38" s="262">
        <f>Alukset_Käynnit!F45</f>
        <v>0</v>
      </c>
      <c r="G38" s="262">
        <f>Alukset_Käynnit!G45</f>
        <v>0</v>
      </c>
      <c r="H38" s="262">
        <f>Alukset_Käynnit!H45</f>
        <v>0</v>
      </c>
      <c r="I38" s="262">
        <f>Alukset_Käynnit!I45</f>
        <v>0</v>
      </c>
      <c r="J38" s="262">
        <f>Alukset_Käynnit!J45</f>
        <v>0</v>
      </c>
      <c r="K38" s="262">
        <f>Alukset_Käynnit!K45</f>
        <v>0</v>
      </c>
      <c r="L38" s="205">
        <f>Alukset_Käynnit!L45</f>
        <v>0</v>
      </c>
      <c r="N38" s="273">
        <f t="shared" si="0"/>
        <v>0</v>
      </c>
      <c r="O38" s="274">
        <f t="shared" si="11"/>
        <v>0</v>
      </c>
      <c r="P38" s="202"/>
      <c r="Q38" s="204">
        <f t="shared" si="1"/>
        <v>0</v>
      </c>
      <c r="R38" s="202">
        <f>IF(Q38="Other dry cargo",L38*Alukset_fx!$B$71,IF(OR(Q38="Dry bulk",Q38="Bulk carrier"),L38*Alukset_fx!$B$69,IF(Q38="Tugboat",L38*Alukset_fx!$B$76,IF(OR(Q38="Tanker",Q38="Gas tanker",Q38="Chemical tanker",Q38="Oil tanker"),L38*Alukset_fx!$B$68,IF(OR(Q38="RoRo",Q38="Vehicle carrier"),L38*Alukset_fx!$B$72,IF(Q38="RoPax",L38*Alukset_fx!$B$73,IF(Q38="Container ship",L38*Alukset_fx!$B$70,IF(Q38="Barge",0,L38*Alukset_fx!$B$75))))))))</f>
        <v>0</v>
      </c>
      <c r="S38" s="210">
        <f>IF(L38=0,IF(Q38="Other dry cargo",Alukset_fx!$H$73*(Alukset_Käynnit_Lask!K38^Alukset_fx!$I$73),IF(OR(Q38="Dry Bulk",Q38="Bulk carrier"),Alukset_fx!$H$71*(Alukset_Käynnit_Lask!K38^Alukset_fx!$I$71),IF(Q38="Tugboat",Alukset_fx!$H$78*(Alukset_Käynnit_Lask!K38^Alukset_fx!$I$78),IF(OR(Q38="Tanker",Q38="Gas tanker",Q38="Chemical tanker",Q38="Oil tanker"),Alukset_fx!$H$70*(Alukset_Käynnit_Lask!K38^Alukset_fx!$I$70),IF(Q38="Container ship",Alukset_fx!$H$72*(Alukset_Käynnit_Lask!K38^Alukset_fx!$I$72),IF(Q38="Barge",0,IF(Q38="RoPax",Alukset_fx!$H$75*(Alukset_Käynnit_Lask!K38^Alukset_fx!$I$75),IF(OR(Q38="RoRo",Q38="Vehicle carrier"),Alukset_fx!$H$74*(Alukset_Käynnit_Lask!K38^Alukset_fx!$I$74),Alukset_fx!$H$77*(Alukset_Käynnit_Lask!K38^Alukset_fx!$I$77))))))))),"-")</f>
        <v>0</v>
      </c>
      <c r="T38" s="208">
        <f>IF(R38=0,IF(Q38="Other dry cargo",S38*Alukset_fx!$B$71,IF(OR(Q38="Dry bulk",Q38="Bulk carrier"),S38*Alukset_fx!$B$69,IF(Q38="Tugboat",S38*Alukset_fx!$B$76,IF(OR(Q38="Tanker",Q38="Gas tanker",Q38="Chemical tanker",Q38="Oil tanker"),S38*Alukset_fx!$B$68,IF(OR(Q38="RoRo",Q38="Vehicle carrier"),S38*Alukset_fx!$B$72,IF(Q38="RoPax",S38*Alukset_fx!$B$73,IF(Q38="Container ship",S38*Alukset_fx!$B$70,S38*Alukset_fx!$B$75))))))),"-")</f>
        <v>0</v>
      </c>
      <c r="U38" s="208">
        <f t="shared" si="2"/>
        <v>0</v>
      </c>
      <c r="V38" s="208">
        <f t="shared" si="3"/>
        <v>0</v>
      </c>
      <c r="W38" s="202">
        <f>Alukset_Käynnit!N45</f>
        <v>0</v>
      </c>
      <c r="X38" s="211">
        <f>IF(Q38="Other dry cargo", Alukset_fx!$C$52, IF(OR(Q38="Dry bulk",Q38="Bulk carrier"),Alukset_fx!$C$35,IF(OR(Q38="Tanker",Q38="Gas tanker",Q38="Oil tanker"),Alukset_fx!$C$57,IF(Q38="Chemical tanker",Alukset_fx!$C$56,IF(OR(Q38="Tugboat",Q38="Barge"),0,IF(Q38="Other vessel",Alukset_fx!$C$54,IF(Q38="Container ship",Alukset_fx!$C$37,IF(OR(Q38="RoPax",Q38="RoRo",Q38="Vehicle carrier"),Alukset_fx!$C$55,0))))))))</f>
        <v>0</v>
      </c>
      <c r="Y38" s="211">
        <f>IF(Q38="Other dry cargo", Alukset_fx!$Q$52, IF(OR(Q38="Dry bulk",Q38="Bulk carrier"),Alukset_fx!$Q$35,IF(OR(Q38="Tanker",Q38="Gas tanker",Q38="Oil tanker"),Alukset_fx!$Q$57,IF(Q38="Chemical tanker",Alukset_fx!$Q$56,IF(OR(Q38="Tugboat",Q38="Barge"),0,IF(Q38="Other vessel",Alukset_fx!$Q$54,IF(Q38="Container ship",Alukset_fx!$Q$37,IF(OR(Q38="RoPax",Q38="RoRo",Q38="Vehicle carrier"),Alukset_fx!$Q$55,0))))))))</f>
        <v>0</v>
      </c>
      <c r="Z38" t="str">
        <f t="shared" si="4"/>
        <v>MDO/MGO</v>
      </c>
      <c r="AA38" t="str">
        <f t="shared" si="5"/>
        <v>MSD</v>
      </c>
      <c r="AB38" t="str">
        <f t="shared" si="6"/>
        <v>MDO/MGO</v>
      </c>
      <c r="AC38" t="str">
        <f t="shared" si="7"/>
        <v>MSD</v>
      </c>
      <c r="AD38" t="str">
        <f t="shared" si="8"/>
        <v>MDO/MGO</v>
      </c>
      <c r="AE38" t="str">
        <f t="shared" si="9"/>
        <v>ST</v>
      </c>
      <c r="AG38">
        <f>Alukset_Käynnit!O45</f>
        <v>0</v>
      </c>
      <c r="AH38" s="207">
        <f>IF(AA38="SSD",((U38*Alukset_fx!$B$24)*Alukset_Käynnit_Lask!W38*(Alukset_fx!$K$49)/1000),IF(AA38="MSD",((U38*Alukset_fx!$B$24)*Alukset_Käynnit_Lask!W38*(Alukset_fx!$K$52)/1000),IF(AA38="HSD",((U38*Alukset_fx!$B$24)*Alukset_Käynnit_Lask!W38*(Alukset_fx!$K$55)/1000),0)))</f>
        <v>0</v>
      </c>
      <c r="AI38" s="207">
        <f>IF(AC38="MSD",((V38*Alukset_fx!$B$25)*Alukset_Käynnit_Lask!W38*(Alukset_fx!$L$52)/1000),IF(AC38="HSD",((V38*Alukset_fx!$B$25)*Alukset_Käynnit_Lask!W38*(Alukset_fx!$L$55)/1000),0))</f>
        <v>0</v>
      </c>
      <c r="AJ38" s="207">
        <f>X38*W38*Alukset_fx!$K$61/1000</f>
        <v>0</v>
      </c>
      <c r="AK38">
        <v>0</v>
      </c>
      <c r="AL38" s="207">
        <f>IF(AG38="Käytetty",0,IF(AC38="MSD",((V38*Alukset_fx!$O$25)*Alukset_Käynnit_Lask!O38*(Alukset_fx!$L$52)/1000),IF(AC38="HSD",((V38*Alukset_fx!$O$25)*Alukset_Käynnit_Lask!O38*(Alukset_fx!$L$55)/1000),0)))</f>
        <v>0</v>
      </c>
      <c r="AM38" s="207">
        <f>IF(AG38="Käytetty",0,Y38*O38*Alukset_fx!$K$61/1000)</f>
        <v>0</v>
      </c>
      <c r="AN38" s="213">
        <f t="shared" si="10"/>
        <v>0</v>
      </c>
    </row>
    <row r="39" spans="1:40" x14ac:dyDescent="0.25">
      <c r="A39" s="203">
        <f>Alukset_Käynnit!A46</f>
        <v>0</v>
      </c>
      <c r="B39" s="203">
        <f>Alukset_Käynnit!B46</f>
        <v>0</v>
      </c>
      <c r="C39" s="262">
        <f>Alukset_Käynnit!C46</f>
        <v>0</v>
      </c>
      <c r="D39" s="266">
        <f>Alukset_Käynnit!D46</f>
        <v>0</v>
      </c>
      <c r="E39" s="262">
        <f>Alukset_Käynnit!E46</f>
        <v>0</v>
      </c>
      <c r="F39" s="262">
        <f>Alukset_Käynnit!F46</f>
        <v>0</v>
      </c>
      <c r="G39" s="262">
        <f>Alukset_Käynnit!G46</f>
        <v>0</v>
      </c>
      <c r="H39" s="262">
        <f>Alukset_Käynnit!H46</f>
        <v>0</v>
      </c>
      <c r="I39" s="262">
        <f>Alukset_Käynnit!I46</f>
        <v>0</v>
      </c>
      <c r="J39" s="262">
        <f>Alukset_Käynnit!J46</f>
        <v>0</v>
      </c>
      <c r="K39" s="262">
        <f>Alukset_Käynnit!K46</f>
        <v>0</v>
      </c>
      <c r="L39" s="205">
        <f>Alukset_Käynnit!L46</f>
        <v>0</v>
      </c>
      <c r="N39" s="273">
        <f t="shared" si="0"/>
        <v>0</v>
      </c>
      <c r="O39" s="274">
        <f t="shared" si="11"/>
        <v>0</v>
      </c>
      <c r="P39" s="202"/>
      <c r="Q39" s="204">
        <f t="shared" si="1"/>
        <v>0</v>
      </c>
      <c r="R39" s="202">
        <f>IF(Q39="Other dry cargo",L39*Alukset_fx!$B$71,IF(OR(Q39="Dry bulk",Q39="Bulk carrier"),L39*Alukset_fx!$B$69,IF(Q39="Tugboat",L39*Alukset_fx!$B$76,IF(OR(Q39="Tanker",Q39="Gas tanker",Q39="Chemical tanker",Q39="Oil tanker"),L39*Alukset_fx!$B$68,IF(OR(Q39="RoRo",Q39="Vehicle carrier"),L39*Alukset_fx!$B$72,IF(Q39="RoPax",L39*Alukset_fx!$B$73,IF(Q39="Container ship",L39*Alukset_fx!$B$70,IF(Q39="Barge",0,L39*Alukset_fx!$B$75))))))))</f>
        <v>0</v>
      </c>
      <c r="S39" s="210">
        <f>IF(L39=0,IF(Q39="Other dry cargo",Alukset_fx!$H$73*(Alukset_Käynnit_Lask!K39^Alukset_fx!$I$73),IF(OR(Q39="Dry Bulk",Q39="Bulk carrier"),Alukset_fx!$H$71*(Alukset_Käynnit_Lask!K39^Alukset_fx!$I$71),IF(Q39="Tugboat",Alukset_fx!$H$78*(Alukset_Käynnit_Lask!K39^Alukset_fx!$I$78),IF(OR(Q39="Tanker",Q39="Gas tanker",Q39="Chemical tanker",Q39="Oil tanker"),Alukset_fx!$H$70*(Alukset_Käynnit_Lask!K39^Alukset_fx!$I$70),IF(Q39="Container ship",Alukset_fx!$H$72*(Alukset_Käynnit_Lask!K39^Alukset_fx!$I$72),IF(Q39="Barge",0,IF(Q39="RoPax",Alukset_fx!$H$75*(Alukset_Käynnit_Lask!K39^Alukset_fx!$I$75),IF(OR(Q39="RoRo",Q39="Vehicle carrier"),Alukset_fx!$H$74*(Alukset_Käynnit_Lask!K39^Alukset_fx!$I$74),Alukset_fx!$H$77*(Alukset_Käynnit_Lask!K39^Alukset_fx!$I$77))))))))),"-")</f>
        <v>0</v>
      </c>
      <c r="T39" s="208">
        <f>IF(R39=0,IF(Q39="Other dry cargo",S39*Alukset_fx!$B$71,IF(OR(Q39="Dry bulk",Q39="Bulk carrier"),S39*Alukset_fx!$B$69,IF(Q39="Tugboat",S39*Alukset_fx!$B$76,IF(OR(Q39="Tanker",Q39="Gas tanker",Q39="Chemical tanker",Q39="Oil tanker"),S39*Alukset_fx!$B$68,IF(OR(Q39="RoRo",Q39="Vehicle carrier"),S39*Alukset_fx!$B$72,IF(Q39="RoPax",S39*Alukset_fx!$B$73,IF(Q39="Container ship",S39*Alukset_fx!$B$70,S39*Alukset_fx!$B$75))))))),"-")</f>
        <v>0</v>
      </c>
      <c r="U39" s="208">
        <f t="shared" si="2"/>
        <v>0</v>
      </c>
      <c r="V39" s="208">
        <f t="shared" si="3"/>
        <v>0</v>
      </c>
      <c r="W39" s="202">
        <f>Alukset_Käynnit!N46</f>
        <v>0</v>
      </c>
      <c r="X39" s="211">
        <f>IF(Q39="Other dry cargo", Alukset_fx!$C$52, IF(OR(Q39="Dry bulk",Q39="Bulk carrier"),Alukset_fx!$C$35,IF(OR(Q39="Tanker",Q39="Gas tanker",Q39="Oil tanker"),Alukset_fx!$C$57,IF(Q39="Chemical tanker",Alukset_fx!$C$56,IF(OR(Q39="Tugboat",Q39="Barge"),0,IF(Q39="Other vessel",Alukset_fx!$C$54,IF(Q39="Container ship",Alukset_fx!$C$37,IF(OR(Q39="RoPax",Q39="RoRo",Q39="Vehicle carrier"),Alukset_fx!$C$55,0))))))))</f>
        <v>0</v>
      </c>
      <c r="Y39" s="211">
        <f>IF(Q39="Other dry cargo", Alukset_fx!$Q$52, IF(OR(Q39="Dry bulk",Q39="Bulk carrier"),Alukset_fx!$Q$35,IF(OR(Q39="Tanker",Q39="Gas tanker",Q39="Oil tanker"),Alukset_fx!$Q$57,IF(Q39="Chemical tanker",Alukset_fx!$Q$56,IF(OR(Q39="Tugboat",Q39="Barge"),0,IF(Q39="Other vessel",Alukset_fx!$Q$54,IF(Q39="Container ship",Alukset_fx!$Q$37,IF(OR(Q39="RoPax",Q39="RoRo",Q39="Vehicle carrier"),Alukset_fx!$Q$55,0))))))))</f>
        <v>0</v>
      </c>
      <c r="Z39" t="str">
        <f t="shared" si="4"/>
        <v>MDO/MGO</v>
      </c>
      <c r="AA39" t="str">
        <f t="shared" si="5"/>
        <v>MSD</v>
      </c>
      <c r="AB39" t="str">
        <f t="shared" si="6"/>
        <v>MDO/MGO</v>
      </c>
      <c r="AC39" t="str">
        <f t="shared" si="7"/>
        <v>MSD</v>
      </c>
      <c r="AD39" t="str">
        <f t="shared" si="8"/>
        <v>MDO/MGO</v>
      </c>
      <c r="AE39" t="str">
        <f t="shared" si="9"/>
        <v>ST</v>
      </c>
      <c r="AG39">
        <f>Alukset_Käynnit!O46</f>
        <v>0</v>
      </c>
      <c r="AH39" s="207">
        <f>IF(AA39="SSD",((U39*Alukset_fx!$B$24)*Alukset_Käynnit_Lask!W39*(Alukset_fx!$K$49)/1000),IF(AA39="MSD",((U39*Alukset_fx!$B$24)*Alukset_Käynnit_Lask!W39*(Alukset_fx!$K$52)/1000),IF(AA39="HSD",((U39*Alukset_fx!$B$24)*Alukset_Käynnit_Lask!W39*(Alukset_fx!$K$55)/1000),0)))</f>
        <v>0</v>
      </c>
      <c r="AI39" s="207">
        <f>IF(AC39="MSD",((V39*Alukset_fx!$B$25)*Alukset_Käynnit_Lask!W39*(Alukset_fx!$L$52)/1000),IF(AC39="HSD",((V39*Alukset_fx!$B$25)*Alukset_Käynnit_Lask!W39*(Alukset_fx!$L$55)/1000),0))</f>
        <v>0</v>
      </c>
      <c r="AJ39" s="207">
        <f>X39*W39*Alukset_fx!$K$61/1000</f>
        <v>0</v>
      </c>
      <c r="AK39">
        <v>0</v>
      </c>
      <c r="AL39" s="207">
        <f>IF(AG39="Käytetty",0,IF(AC39="MSD",((V39*Alukset_fx!$O$25)*Alukset_Käynnit_Lask!O39*(Alukset_fx!$L$52)/1000),IF(AC39="HSD",((V39*Alukset_fx!$O$25)*Alukset_Käynnit_Lask!O39*(Alukset_fx!$L$55)/1000),0)))</f>
        <v>0</v>
      </c>
      <c r="AM39" s="207">
        <f>IF(AG39="Käytetty",0,Y39*O39*Alukset_fx!$K$61/1000)</f>
        <v>0</v>
      </c>
      <c r="AN39" s="213">
        <f t="shared" si="10"/>
        <v>0</v>
      </c>
    </row>
    <row r="40" spans="1:40" x14ac:dyDescent="0.25">
      <c r="A40" s="203">
        <f>Alukset_Käynnit!A47</f>
        <v>0</v>
      </c>
      <c r="B40" s="203">
        <f>Alukset_Käynnit!B47</f>
        <v>0</v>
      </c>
      <c r="C40" s="262">
        <f>Alukset_Käynnit!C47</f>
        <v>0</v>
      </c>
      <c r="D40" s="266">
        <f>Alukset_Käynnit!D47</f>
        <v>0</v>
      </c>
      <c r="E40" s="262">
        <f>Alukset_Käynnit!E47</f>
        <v>0</v>
      </c>
      <c r="F40" s="262">
        <f>Alukset_Käynnit!F47</f>
        <v>0</v>
      </c>
      <c r="G40" s="262">
        <f>Alukset_Käynnit!G47</f>
        <v>0</v>
      </c>
      <c r="H40" s="262">
        <f>Alukset_Käynnit!H47</f>
        <v>0</v>
      </c>
      <c r="I40" s="262">
        <f>Alukset_Käynnit!I47</f>
        <v>0</v>
      </c>
      <c r="J40" s="262">
        <f>Alukset_Käynnit!J47</f>
        <v>0</v>
      </c>
      <c r="K40" s="262">
        <f>Alukset_Käynnit!K47</f>
        <v>0</v>
      </c>
      <c r="L40" s="205">
        <f>Alukset_Käynnit!L47</f>
        <v>0</v>
      </c>
      <c r="N40" s="273">
        <f t="shared" si="0"/>
        <v>0</v>
      </c>
      <c r="O40" s="274">
        <f t="shared" si="11"/>
        <v>0</v>
      </c>
      <c r="P40" s="202"/>
      <c r="Q40" s="204">
        <f t="shared" si="1"/>
        <v>0</v>
      </c>
      <c r="R40" s="202">
        <f>IF(Q40="Other dry cargo",L40*Alukset_fx!$B$71,IF(OR(Q40="Dry bulk",Q40="Bulk carrier"),L40*Alukset_fx!$B$69,IF(Q40="Tugboat",L40*Alukset_fx!$B$76,IF(OR(Q40="Tanker",Q40="Gas tanker",Q40="Chemical tanker",Q40="Oil tanker"),L40*Alukset_fx!$B$68,IF(OR(Q40="RoRo",Q40="Vehicle carrier"),L40*Alukset_fx!$B$72,IF(Q40="RoPax",L40*Alukset_fx!$B$73,IF(Q40="Container ship",L40*Alukset_fx!$B$70,IF(Q40="Barge",0,L40*Alukset_fx!$B$75))))))))</f>
        <v>0</v>
      </c>
      <c r="S40" s="210">
        <f>IF(L40=0,IF(Q40="Other dry cargo",Alukset_fx!$H$73*(Alukset_Käynnit_Lask!K40^Alukset_fx!$I$73),IF(OR(Q40="Dry Bulk",Q40="Bulk carrier"),Alukset_fx!$H$71*(Alukset_Käynnit_Lask!K40^Alukset_fx!$I$71),IF(Q40="Tugboat",Alukset_fx!$H$78*(Alukset_Käynnit_Lask!K40^Alukset_fx!$I$78),IF(OR(Q40="Tanker",Q40="Gas tanker",Q40="Chemical tanker",Q40="Oil tanker"),Alukset_fx!$H$70*(Alukset_Käynnit_Lask!K40^Alukset_fx!$I$70),IF(Q40="Container ship",Alukset_fx!$H$72*(Alukset_Käynnit_Lask!K40^Alukset_fx!$I$72),IF(Q40="Barge",0,IF(Q40="RoPax",Alukset_fx!$H$75*(Alukset_Käynnit_Lask!K40^Alukset_fx!$I$75),IF(OR(Q40="RoRo",Q40="Vehicle carrier"),Alukset_fx!$H$74*(Alukset_Käynnit_Lask!K40^Alukset_fx!$I$74),Alukset_fx!$H$77*(Alukset_Käynnit_Lask!K40^Alukset_fx!$I$77))))))))),"-")</f>
        <v>0</v>
      </c>
      <c r="T40" s="208">
        <f>IF(R40=0,IF(Q40="Other dry cargo",S40*Alukset_fx!$B$71,IF(OR(Q40="Dry bulk",Q40="Bulk carrier"),S40*Alukset_fx!$B$69,IF(Q40="Tugboat",S40*Alukset_fx!$B$76,IF(OR(Q40="Tanker",Q40="Gas tanker",Q40="Chemical tanker",Q40="Oil tanker"),S40*Alukset_fx!$B$68,IF(OR(Q40="RoRo",Q40="Vehicle carrier"),S40*Alukset_fx!$B$72,IF(Q40="RoPax",S40*Alukset_fx!$B$73,IF(Q40="Container ship",S40*Alukset_fx!$B$70,S40*Alukset_fx!$B$75))))))),"-")</f>
        <v>0</v>
      </c>
      <c r="U40" s="208">
        <f t="shared" si="2"/>
        <v>0</v>
      </c>
      <c r="V40" s="208">
        <f t="shared" si="3"/>
        <v>0</v>
      </c>
      <c r="W40" s="202">
        <f>Alukset_Käynnit!N47</f>
        <v>0</v>
      </c>
      <c r="X40" s="211">
        <f>IF(Q40="Other dry cargo", Alukset_fx!$C$52, IF(OR(Q40="Dry bulk",Q40="Bulk carrier"),Alukset_fx!$C$35,IF(OR(Q40="Tanker",Q40="Gas tanker",Q40="Oil tanker"),Alukset_fx!$C$57,IF(Q40="Chemical tanker",Alukset_fx!$C$56,IF(OR(Q40="Tugboat",Q40="Barge"),0,IF(Q40="Other vessel",Alukset_fx!$C$54,IF(Q40="Container ship",Alukset_fx!$C$37,IF(OR(Q40="RoPax",Q40="RoRo",Q40="Vehicle carrier"),Alukset_fx!$C$55,0))))))))</f>
        <v>0</v>
      </c>
      <c r="Y40" s="211">
        <f>IF(Q40="Other dry cargo", Alukset_fx!$Q$52, IF(OR(Q40="Dry bulk",Q40="Bulk carrier"),Alukset_fx!$Q$35,IF(OR(Q40="Tanker",Q40="Gas tanker",Q40="Oil tanker"),Alukset_fx!$Q$57,IF(Q40="Chemical tanker",Alukset_fx!$Q$56,IF(OR(Q40="Tugboat",Q40="Barge"),0,IF(Q40="Other vessel",Alukset_fx!$Q$54,IF(Q40="Container ship",Alukset_fx!$Q$37,IF(OR(Q40="RoPax",Q40="RoRo",Q40="Vehicle carrier"),Alukset_fx!$Q$55,0))))))))</f>
        <v>0</v>
      </c>
      <c r="Z40" t="str">
        <f t="shared" si="4"/>
        <v>MDO/MGO</v>
      </c>
      <c r="AA40" t="str">
        <f t="shared" si="5"/>
        <v>MSD</v>
      </c>
      <c r="AB40" t="str">
        <f t="shared" si="6"/>
        <v>MDO/MGO</v>
      </c>
      <c r="AC40" t="str">
        <f t="shared" si="7"/>
        <v>MSD</v>
      </c>
      <c r="AD40" t="str">
        <f t="shared" si="8"/>
        <v>MDO/MGO</v>
      </c>
      <c r="AE40" t="str">
        <f t="shared" si="9"/>
        <v>ST</v>
      </c>
      <c r="AG40">
        <f>Alukset_Käynnit!O47</f>
        <v>0</v>
      </c>
      <c r="AH40" s="207">
        <f>IF(AA40="SSD",((U40*Alukset_fx!$B$24)*Alukset_Käynnit_Lask!W40*(Alukset_fx!$K$49)/1000),IF(AA40="MSD",((U40*Alukset_fx!$B$24)*Alukset_Käynnit_Lask!W40*(Alukset_fx!$K$52)/1000),IF(AA40="HSD",((U40*Alukset_fx!$B$24)*Alukset_Käynnit_Lask!W40*(Alukset_fx!$K$55)/1000),0)))</f>
        <v>0</v>
      </c>
      <c r="AI40" s="207">
        <f>IF(AC40="MSD",((V40*Alukset_fx!$B$25)*Alukset_Käynnit_Lask!W40*(Alukset_fx!$L$52)/1000),IF(AC40="HSD",((V40*Alukset_fx!$B$25)*Alukset_Käynnit_Lask!W40*(Alukset_fx!$L$55)/1000),0))</f>
        <v>0</v>
      </c>
      <c r="AJ40" s="207">
        <f>X40*W40*Alukset_fx!$K$61/1000</f>
        <v>0</v>
      </c>
      <c r="AK40">
        <v>0</v>
      </c>
      <c r="AL40" s="207">
        <f>IF(AG40="Käytetty",0,IF(AC40="MSD",((V40*Alukset_fx!$O$25)*Alukset_Käynnit_Lask!O40*(Alukset_fx!$L$52)/1000),IF(AC40="HSD",((V40*Alukset_fx!$O$25)*Alukset_Käynnit_Lask!O40*(Alukset_fx!$L$55)/1000),0)))</f>
        <v>0</v>
      </c>
      <c r="AM40" s="207">
        <f>IF(AG40="Käytetty",0,Y40*O40*Alukset_fx!$K$61/1000)</f>
        <v>0</v>
      </c>
      <c r="AN40" s="213">
        <f t="shared" si="10"/>
        <v>0</v>
      </c>
    </row>
    <row r="41" spans="1:40" x14ac:dyDescent="0.25">
      <c r="A41" s="203">
        <f>Alukset_Käynnit!A48</f>
        <v>0</v>
      </c>
      <c r="B41" s="203">
        <f>Alukset_Käynnit!B48</f>
        <v>0</v>
      </c>
      <c r="C41" s="262">
        <f>Alukset_Käynnit!C48</f>
        <v>0</v>
      </c>
      <c r="D41" s="266">
        <f>Alukset_Käynnit!D48</f>
        <v>0</v>
      </c>
      <c r="E41" s="262">
        <f>Alukset_Käynnit!E48</f>
        <v>0</v>
      </c>
      <c r="F41" s="262">
        <f>Alukset_Käynnit!F48</f>
        <v>0</v>
      </c>
      <c r="G41" s="262">
        <f>Alukset_Käynnit!G48</f>
        <v>0</v>
      </c>
      <c r="H41" s="262">
        <f>Alukset_Käynnit!H48</f>
        <v>0</v>
      </c>
      <c r="I41" s="262">
        <f>Alukset_Käynnit!I48</f>
        <v>0</v>
      </c>
      <c r="J41" s="262">
        <f>Alukset_Käynnit!J48</f>
        <v>0</v>
      </c>
      <c r="K41" s="262">
        <f>Alukset_Käynnit!K48</f>
        <v>0</v>
      </c>
      <c r="L41" s="205">
        <f>Alukset_Käynnit!L48</f>
        <v>0</v>
      </c>
      <c r="N41" s="273">
        <f t="shared" si="0"/>
        <v>0</v>
      </c>
      <c r="O41" s="274">
        <f t="shared" si="11"/>
        <v>0</v>
      </c>
      <c r="P41" s="202"/>
      <c r="Q41" s="204">
        <f t="shared" si="1"/>
        <v>0</v>
      </c>
      <c r="R41" s="202">
        <f>IF(Q41="Other dry cargo",L41*Alukset_fx!$B$71,IF(OR(Q41="Dry bulk",Q41="Bulk carrier"),L41*Alukset_fx!$B$69,IF(Q41="Tugboat",L41*Alukset_fx!$B$76,IF(OR(Q41="Tanker",Q41="Gas tanker",Q41="Chemical tanker",Q41="Oil tanker"),L41*Alukset_fx!$B$68,IF(OR(Q41="RoRo",Q41="Vehicle carrier"),L41*Alukset_fx!$B$72,IF(Q41="RoPax",L41*Alukset_fx!$B$73,IF(Q41="Container ship",L41*Alukset_fx!$B$70,IF(Q41="Barge",0,L41*Alukset_fx!$B$75))))))))</f>
        <v>0</v>
      </c>
      <c r="S41" s="210">
        <f>IF(L41=0,IF(Q41="Other dry cargo",Alukset_fx!$H$73*(Alukset_Käynnit_Lask!K41^Alukset_fx!$I$73),IF(OR(Q41="Dry Bulk",Q41="Bulk carrier"),Alukset_fx!$H$71*(Alukset_Käynnit_Lask!K41^Alukset_fx!$I$71),IF(Q41="Tugboat",Alukset_fx!$H$78*(Alukset_Käynnit_Lask!K41^Alukset_fx!$I$78),IF(OR(Q41="Tanker",Q41="Gas tanker",Q41="Chemical tanker",Q41="Oil tanker"),Alukset_fx!$H$70*(Alukset_Käynnit_Lask!K41^Alukset_fx!$I$70),IF(Q41="Container ship",Alukset_fx!$H$72*(Alukset_Käynnit_Lask!K41^Alukset_fx!$I$72),IF(Q41="Barge",0,IF(Q41="RoPax",Alukset_fx!$H$75*(Alukset_Käynnit_Lask!K41^Alukset_fx!$I$75),IF(OR(Q41="RoRo",Q41="Vehicle carrier"),Alukset_fx!$H$74*(Alukset_Käynnit_Lask!K41^Alukset_fx!$I$74),Alukset_fx!$H$77*(Alukset_Käynnit_Lask!K41^Alukset_fx!$I$77))))))))),"-")</f>
        <v>0</v>
      </c>
      <c r="T41" s="208">
        <f>IF(R41=0,IF(Q41="Other dry cargo",S41*Alukset_fx!$B$71,IF(OR(Q41="Dry bulk",Q41="Bulk carrier"),S41*Alukset_fx!$B$69,IF(Q41="Tugboat",S41*Alukset_fx!$B$76,IF(OR(Q41="Tanker",Q41="Gas tanker",Q41="Chemical tanker",Q41="Oil tanker"),S41*Alukset_fx!$B$68,IF(OR(Q41="RoRo",Q41="Vehicle carrier"),S41*Alukset_fx!$B$72,IF(Q41="RoPax",S41*Alukset_fx!$B$73,IF(Q41="Container ship",S41*Alukset_fx!$B$70,S41*Alukset_fx!$B$75))))))),"-")</f>
        <v>0</v>
      </c>
      <c r="U41" s="208">
        <f t="shared" si="2"/>
        <v>0</v>
      </c>
      <c r="V41" s="208">
        <f t="shared" si="3"/>
        <v>0</v>
      </c>
      <c r="W41" s="202">
        <f>Alukset_Käynnit!N48</f>
        <v>0</v>
      </c>
      <c r="X41" s="211">
        <f>IF(Q41="Other dry cargo", Alukset_fx!$C$52, IF(OR(Q41="Dry bulk",Q41="Bulk carrier"),Alukset_fx!$C$35,IF(OR(Q41="Tanker",Q41="Gas tanker",Q41="Oil tanker"),Alukset_fx!$C$57,IF(Q41="Chemical tanker",Alukset_fx!$C$56,IF(OR(Q41="Tugboat",Q41="Barge"),0,IF(Q41="Other vessel",Alukset_fx!$C$54,IF(Q41="Container ship",Alukset_fx!$C$37,IF(OR(Q41="RoPax",Q41="RoRo",Q41="Vehicle carrier"),Alukset_fx!$C$55,0))))))))</f>
        <v>0</v>
      </c>
      <c r="Y41" s="211">
        <f>IF(Q41="Other dry cargo", Alukset_fx!$Q$52, IF(OR(Q41="Dry bulk",Q41="Bulk carrier"),Alukset_fx!$Q$35,IF(OR(Q41="Tanker",Q41="Gas tanker",Q41="Oil tanker"),Alukset_fx!$Q$57,IF(Q41="Chemical tanker",Alukset_fx!$Q$56,IF(OR(Q41="Tugboat",Q41="Barge"),0,IF(Q41="Other vessel",Alukset_fx!$Q$54,IF(Q41="Container ship",Alukset_fx!$Q$37,IF(OR(Q41="RoPax",Q41="RoRo",Q41="Vehicle carrier"),Alukset_fx!$Q$55,0))))))))</f>
        <v>0</v>
      </c>
      <c r="Z41" t="str">
        <f t="shared" si="4"/>
        <v>MDO/MGO</v>
      </c>
      <c r="AA41" t="str">
        <f t="shared" si="5"/>
        <v>MSD</v>
      </c>
      <c r="AB41" t="str">
        <f t="shared" si="6"/>
        <v>MDO/MGO</v>
      </c>
      <c r="AC41" t="str">
        <f t="shared" si="7"/>
        <v>MSD</v>
      </c>
      <c r="AD41" t="str">
        <f t="shared" si="8"/>
        <v>MDO/MGO</v>
      </c>
      <c r="AE41" t="str">
        <f t="shared" si="9"/>
        <v>ST</v>
      </c>
      <c r="AG41">
        <f>Alukset_Käynnit!O48</f>
        <v>0</v>
      </c>
      <c r="AH41" s="207">
        <f>IF(AA41="SSD",((U41*Alukset_fx!$B$24)*Alukset_Käynnit_Lask!W41*(Alukset_fx!$K$49)/1000),IF(AA41="MSD",((U41*Alukset_fx!$B$24)*Alukset_Käynnit_Lask!W41*(Alukset_fx!$K$52)/1000),IF(AA41="HSD",((U41*Alukset_fx!$B$24)*Alukset_Käynnit_Lask!W41*(Alukset_fx!$K$55)/1000),0)))</f>
        <v>0</v>
      </c>
      <c r="AI41" s="207">
        <f>IF(AC41="MSD",((V41*Alukset_fx!$B$25)*Alukset_Käynnit_Lask!W41*(Alukset_fx!$L$52)/1000),IF(AC41="HSD",((V41*Alukset_fx!$B$25)*Alukset_Käynnit_Lask!W41*(Alukset_fx!$L$55)/1000),0))</f>
        <v>0</v>
      </c>
      <c r="AJ41" s="207">
        <f>X41*W41*Alukset_fx!$K$61/1000</f>
        <v>0</v>
      </c>
      <c r="AK41">
        <v>0</v>
      </c>
      <c r="AL41" s="207">
        <f>IF(AG41="Käytetty",0,IF(AC41="MSD",((V41*Alukset_fx!$O$25)*Alukset_Käynnit_Lask!O41*(Alukset_fx!$L$52)/1000),IF(AC41="HSD",((V41*Alukset_fx!$O$25)*Alukset_Käynnit_Lask!O41*(Alukset_fx!$L$55)/1000),0)))</f>
        <v>0</v>
      </c>
      <c r="AM41" s="207">
        <f>IF(AG41="Käytetty",0,Y41*O41*Alukset_fx!$K$61/1000)</f>
        <v>0</v>
      </c>
      <c r="AN41" s="213">
        <f t="shared" si="10"/>
        <v>0</v>
      </c>
    </row>
    <row r="42" spans="1:40" x14ac:dyDescent="0.25">
      <c r="A42" s="203">
        <f>Alukset_Käynnit!A49</f>
        <v>0</v>
      </c>
      <c r="B42" s="203">
        <f>Alukset_Käynnit!B49</f>
        <v>0</v>
      </c>
      <c r="C42" s="262">
        <f>Alukset_Käynnit!C49</f>
        <v>0</v>
      </c>
      <c r="D42" s="266">
        <f>Alukset_Käynnit!D49</f>
        <v>0</v>
      </c>
      <c r="E42" s="262">
        <f>Alukset_Käynnit!E49</f>
        <v>0</v>
      </c>
      <c r="F42" s="262">
        <f>Alukset_Käynnit!F49</f>
        <v>0</v>
      </c>
      <c r="G42" s="262">
        <f>Alukset_Käynnit!G49</f>
        <v>0</v>
      </c>
      <c r="H42" s="262">
        <f>Alukset_Käynnit!H49</f>
        <v>0</v>
      </c>
      <c r="I42" s="262">
        <f>Alukset_Käynnit!I49</f>
        <v>0</v>
      </c>
      <c r="J42" s="262">
        <f>Alukset_Käynnit!J49</f>
        <v>0</v>
      </c>
      <c r="K42" s="262">
        <f>Alukset_Käynnit!K49</f>
        <v>0</v>
      </c>
      <c r="L42" s="205">
        <f>Alukset_Käynnit!L49</f>
        <v>0</v>
      </c>
      <c r="N42" s="273">
        <f t="shared" si="0"/>
        <v>0</v>
      </c>
      <c r="O42" s="274">
        <f t="shared" si="11"/>
        <v>0</v>
      </c>
      <c r="P42" s="202"/>
      <c r="Q42" s="204">
        <f t="shared" si="1"/>
        <v>0</v>
      </c>
      <c r="R42" s="202">
        <f>IF(Q42="Other dry cargo",L42*Alukset_fx!$B$71,IF(OR(Q42="Dry bulk",Q42="Bulk carrier"),L42*Alukset_fx!$B$69,IF(Q42="Tugboat",L42*Alukset_fx!$B$76,IF(OR(Q42="Tanker",Q42="Gas tanker",Q42="Chemical tanker",Q42="Oil tanker"),L42*Alukset_fx!$B$68,IF(OR(Q42="RoRo",Q42="Vehicle carrier"),L42*Alukset_fx!$B$72,IF(Q42="RoPax",L42*Alukset_fx!$B$73,IF(Q42="Container ship",L42*Alukset_fx!$B$70,IF(Q42="Barge",0,L42*Alukset_fx!$B$75))))))))</f>
        <v>0</v>
      </c>
      <c r="S42" s="210">
        <f>IF(L42=0,IF(Q42="Other dry cargo",Alukset_fx!$H$73*(Alukset_Käynnit_Lask!K42^Alukset_fx!$I$73),IF(OR(Q42="Dry Bulk",Q42="Bulk carrier"),Alukset_fx!$H$71*(Alukset_Käynnit_Lask!K42^Alukset_fx!$I$71),IF(Q42="Tugboat",Alukset_fx!$H$78*(Alukset_Käynnit_Lask!K42^Alukset_fx!$I$78),IF(OR(Q42="Tanker",Q42="Gas tanker",Q42="Chemical tanker",Q42="Oil tanker"),Alukset_fx!$H$70*(Alukset_Käynnit_Lask!K42^Alukset_fx!$I$70),IF(Q42="Container ship",Alukset_fx!$H$72*(Alukset_Käynnit_Lask!K42^Alukset_fx!$I$72),IF(Q42="Barge",0,IF(Q42="RoPax",Alukset_fx!$H$75*(Alukset_Käynnit_Lask!K42^Alukset_fx!$I$75),IF(OR(Q42="RoRo",Q42="Vehicle carrier"),Alukset_fx!$H$74*(Alukset_Käynnit_Lask!K42^Alukset_fx!$I$74),Alukset_fx!$H$77*(Alukset_Käynnit_Lask!K42^Alukset_fx!$I$77))))))))),"-")</f>
        <v>0</v>
      </c>
      <c r="T42" s="208">
        <f>IF(R42=0,IF(Q42="Other dry cargo",S42*Alukset_fx!$B$71,IF(OR(Q42="Dry bulk",Q42="Bulk carrier"),S42*Alukset_fx!$B$69,IF(Q42="Tugboat",S42*Alukset_fx!$B$76,IF(OR(Q42="Tanker",Q42="Gas tanker",Q42="Chemical tanker",Q42="Oil tanker"),S42*Alukset_fx!$B$68,IF(OR(Q42="RoRo",Q42="Vehicle carrier"),S42*Alukset_fx!$B$72,IF(Q42="RoPax",S42*Alukset_fx!$B$73,IF(Q42="Container ship",S42*Alukset_fx!$B$70,S42*Alukset_fx!$B$75))))))),"-")</f>
        <v>0</v>
      </c>
      <c r="U42" s="208">
        <f t="shared" si="2"/>
        <v>0</v>
      </c>
      <c r="V42" s="208">
        <f t="shared" si="3"/>
        <v>0</v>
      </c>
      <c r="W42" s="202">
        <f>Alukset_Käynnit!N49</f>
        <v>0</v>
      </c>
      <c r="X42" s="211">
        <f>IF(Q42="Other dry cargo", Alukset_fx!$C$52, IF(OR(Q42="Dry bulk",Q42="Bulk carrier"),Alukset_fx!$C$35,IF(OR(Q42="Tanker",Q42="Gas tanker",Q42="Oil tanker"),Alukset_fx!$C$57,IF(Q42="Chemical tanker",Alukset_fx!$C$56,IF(OR(Q42="Tugboat",Q42="Barge"),0,IF(Q42="Other vessel",Alukset_fx!$C$54,IF(Q42="Container ship",Alukset_fx!$C$37,IF(OR(Q42="RoPax",Q42="RoRo",Q42="Vehicle carrier"),Alukset_fx!$C$55,0))))))))</f>
        <v>0</v>
      </c>
      <c r="Y42" s="211">
        <f>IF(Q42="Other dry cargo", Alukset_fx!$Q$52, IF(OR(Q42="Dry bulk",Q42="Bulk carrier"),Alukset_fx!$Q$35,IF(OR(Q42="Tanker",Q42="Gas tanker",Q42="Oil tanker"),Alukset_fx!$Q$57,IF(Q42="Chemical tanker",Alukset_fx!$Q$56,IF(OR(Q42="Tugboat",Q42="Barge"),0,IF(Q42="Other vessel",Alukset_fx!$Q$54,IF(Q42="Container ship",Alukset_fx!$Q$37,IF(OR(Q42="RoPax",Q42="RoRo",Q42="Vehicle carrier"),Alukset_fx!$Q$55,0))))))))</f>
        <v>0</v>
      </c>
      <c r="Z42" t="str">
        <f t="shared" si="4"/>
        <v>MDO/MGO</v>
      </c>
      <c r="AA42" t="str">
        <f t="shared" si="5"/>
        <v>MSD</v>
      </c>
      <c r="AB42" t="str">
        <f t="shared" si="6"/>
        <v>MDO/MGO</v>
      </c>
      <c r="AC42" t="str">
        <f t="shared" si="7"/>
        <v>MSD</v>
      </c>
      <c r="AD42" t="str">
        <f t="shared" si="8"/>
        <v>MDO/MGO</v>
      </c>
      <c r="AE42" t="str">
        <f t="shared" si="9"/>
        <v>ST</v>
      </c>
      <c r="AG42">
        <f>Alukset_Käynnit!O49</f>
        <v>0</v>
      </c>
      <c r="AH42" s="207">
        <f>IF(AA42="SSD",((U42*Alukset_fx!$B$24)*Alukset_Käynnit_Lask!W42*(Alukset_fx!$K$49)/1000),IF(AA42="MSD",((U42*Alukset_fx!$B$24)*Alukset_Käynnit_Lask!W42*(Alukset_fx!$K$52)/1000),IF(AA42="HSD",((U42*Alukset_fx!$B$24)*Alukset_Käynnit_Lask!W42*(Alukset_fx!$K$55)/1000),0)))</f>
        <v>0</v>
      </c>
      <c r="AI42" s="207">
        <f>IF(AC42="MSD",((V42*Alukset_fx!$B$25)*Alukset_Käynnit_Lask!W42*(Alukset_fx!$L$52)/1000),IF(AC42="HSD",((V42*Alukset_fx!$B$25)*Alukset_Käynnit_Lask!W42*(Alukset_fx!$L$55)/1000),0))</f>
        <v>0</v>
      </c>
      <c r="AJ42" s="207">
        <f>X42*W42*Alukset_fx!$K$61/1000</f>
        <v>0</v>
      </c>
      <c r="AK42">
        <v>0</v>
      </c>
      <c r="AL42" s="207">
        <f>IF(AG42="Käytetty",0,IF(AC42="MSD",((V42*Alukset_fx!$O$25)*Alukset_Käynnit_Lask!O42*(Alukset_fx!$L$52)/1000),IF(AC42="HSD",((V42*Alukset_fx!$O$25)*Alukset_Käynnit_Lask!O42*(Alukset_fx!$L$55)/1000),0)))</f>
        <v>0</v>
      </c>
      <c r="AM42" s="207">
        <f>IF(AG42="Käytetty",0,Y42*O42*Alukset_fx!$K$61/1000)</f>
        <v>0</v>
      </c>
      <c r="AN42" s="213">
        <f t="shared" si="10"/>
        <v>0</v>
      </c>
    </row>
    <row r="43" spans="1:40" x14ac:dyDescent="0.25">
      <c r="A43" s="203">
        <f>Alukset_Käynnit!A50</f>
        <v>0</v>
      </c>
      <c r="B43" s="203">
        <f>Alukset_Käynnit!B50</f>
        <v>0</v>
      </c>
      <c r="C43" s="262">
        <f>Alukset_Käynnit!C50</f>
        <v>0</v>
      </c>
      <c r="D43" s="266">
        <f>Alukset_Käynnit!D50</f>
        <v>0</v>
      </c>
      <c r="E43" s="262">
        <f>Alukset_Käynnit!E50</f>
        <v>0</v>
      </c>
      <c r="F43" s="262">
        <f>Alukset_Käynnit!F50</f>
        <v>0</v>
      </c>
      <c r="G43" s="262">
        <f>Alukset_Käynnit!G50</f>
        <v>0</v>
      </c>
      <c r="H43" s="262">
        <f>Alukset_Käynnit!H50</f>
        <v>0</v>
      </c>
      <c r="I43" s="262">
        <f>Alukset_Käynnit!I50</f>
        <v>0</v>
      </c>
      <c r="J43" s="262">
        <f>Alukset_Käynnit!J50</f>
        <v>0</v>
      </c>
      <c r="K43" s="262">
        <f>Alukset_Käynnit!K50</f>
        <v>0</v>
      </c>
      <c r="L43" s="205">
        <f>Alukset_Käynnit!L50</f>
        <v>0</v>
      </c>
      <c r="N43" s="277">
        <f t="shared" si="0"/>
        <v>0</v>
      </c>
      <c r="O43" s="278">
        <f t="shared" si="11"/>
        <v>0</v>
      </c>
      <c r="P43" s="202"/>
      <c r="Q43" s="204">
        <f t="shared" si="1"/>
        <v>0</v>
      </c>
      <c r="R43" s="202">
        <f>IF(Q43="Other dry cargo",L43*Alukset_fx!$B$71,IF(OR(Q43="Dry bulk",Q43="Bulk carrier"),L43*Alukset_fx!$B$69,IF(Q43="Tugboat",L43*Alukset_fx!$B$76,IF(OR(Q43="Tanker",Q43="Gas tanker",Q43="Chemical tanker",Q43="Oil tanker"),L43*Alukset_fx!$B$68,IF(OR(Q43="RoRo",Q43="Vehicle carrier"),L43*Alukset_fx!$B$72,IF(Q43="RoPax",L43*Alukset_fx!$B$73,IF(Q43="Container ship",L43*Alukset_fx!$B$70,IF(Q43="Barge",0,L43*Alukset_fx!$B$75))))))))</f>
        <v>0</v>
      </c>
      <c r="S43" s="210">
        <f>IF(L43=0,IF(Q43="Other dry cargo",Alukset_fx!$H$73*(Alukset_Käynnit_Lask!K43^Alukset_fx!$I$73),IF(OR(Q43="Dry Bulk",Q43="Bulk carrier"),Alukset_fx!$H$71*(Alukset_Käynnit_Lask!K43^Alukset_fx!$I$71),IF(Q43="Tugboat",Alukset_fx!$H$78*(Alukset_Käynnit_Lask!K43^Alukset_fx!$I$78),IF(OR(Q43="Tanker",Q43="Gas tanker",Q43="Chemical tanker",Q43="Oil tanker"),Alukset_fx!$H$70*(Alukset_Käynnit_Lask!K43^Alukset_fx!$I$70),IF(Q43="Container ship",Alukset_fx!$H$72*(Alukset_Käynnit_Lask!K43^Alukset_fx!$I$72),IF(Q43="Barge",0,IF(Q43="RoPax",Alukset_fx!$H$75*(Alukset_Käynnit_Lask!K43^Alukset_fx!$I$75),IF(OR(Q43="RoRo",Q43="Vehicle carrier"),Alukset_fx!$H$74*(Alukset_Käynnit_Lask!K43^Alukset_fx!$I$74),Alukset_fx!$H$77*(Alukset_Käynnit_Lask!K43^Alukset_fx!$I$77))))))))),"-")</f>
        <v>0</v>
      </c>
      <c r="T43" s="208">
        <f>IF(R43=0,IF(Q43="Other dry cargo",S43*Alukset_fx!$B$71,IF(OR(Q43="Dry bulk",Q43="Bulk carrier"),S43*Alukset_fx!$B$69,IF(Q43="Tugboat",S43*Alukset_fx!$B$76,IF(OR(Q43="Tanker",Q43="Gas tanker",Q43="Chemical tanker",Q43="Oil tanker"),S43*Alukset_fx!$B$68,IF(OR(Q43="RoRo",Q43="Vehicle carrier"),S43*Alukset_fx!$B$72,IF(Q43="RoPax",S43*Alukset_fx!$B$73,IF(Q43="Container ship",S43*Alukset_fx!$B$70,S43*Alukset_fx!$B$75))))))),"-")</f>
        <v>0</v>
      </c>
      <c r="U43" s="208">
        <f t="shared" si="2"/>
        <v>0</v>
      </c>
      <c r="V43" s="208">
        <f t="shared" si="3"/>
        <v>0</v>
      </c>
      <c r="W43" s="202">
        <f>Alukset_Käynnit!N50</f>
        <v>0</v>
      </c>
      <c r="X43" s="211">
        <f>IF(Q43="Other dry cargo", Alukset_fx!$C$52, IF(OR(Q43="Dry bulk",Q43="Bulk carrier"),Alukset_fx!$C$35,IF(OR(Q43="Tanker",Q43="Gas tanker",Q43="Oil tanker"),Alukset_fx!$C$57,IF(Q43="Chemical tanker",Alukset_fx!$C$56,IF(OR(Q43="Tugboat",Q43="Barge"),0,IF(Q43="Other vessel",Alukset_fx!$C$54,IF(Q43="Container ship",Alukset_fx!$C$37,IF(OR(Q43="RoPax",Q43="RoRo",Q43="Vehicle carrier"),Alukset_fx!$C$55,0))))))))</f>
        <v>0</v>
      </c>
      <c r="Y43" s="211">
        <f>IF(Q43="Other dry cargo", Alukset_fx!$Q$52, IF(OR(Q43="Dry bulk",Q43="Bulk carrier"),Alukset_fx!$Q$35,IF(OR(Q43="Tanker",Q43="Gas tanker",Q43="Oil tanker"),Alukset_fx!$Q$57,IF(Q43="Chemical tanker",Alukset_fx!$Q$56,IF(OR(Q43="Tugboat",Q43="Barge"),0,IF(Q43="Other vessel",Alukset_fx!$Q$54,IF(Q43="Container ship",Alukset_fx!$Q$37,IF(OR(Q43="RoPax",Q43="RoRo",Q43="Vehicle carrier"),Alukset_fx!$Q$55,0))))))))</f>
        <v>0</v>
      </c>
      <c r="Z43" t="str">
        <f t="shared" si="4"/>
        <v>MDO/MGO</v>
      </c>
      <c r="AA43" t="str">
        <f t="shared" si="5"/>
        <v>MSD</v>
      </c>
      <c r="AB43" t="str">
        <f t="shared" si="6"/>
        <v>MDO/MGO</v>
      </c>
      <c r="AC43" t="str">
        <f t="shared" si="7"/>
        <v>MSD</v>
      </c>
      <c r="AD43" t="str">
        <f t="shared" si="8"/>
        <v>MDO/MGO</v>
      </c>
      <c r="AE43" t="str">
        <f t="shared" si="9"/>
        <v>ST</v>
      </c>
      <c r="AG43">
        <f>Alukset_Käynnit!O50</f>
        <v>0</v>
      </c>
      <c r="AH43" s="207">
        <f>IF(AA43="SSD",((U43*Alukset_fx!$B$24)*Alukset_Käynnit_Lask!W43*(Alukset_fx!$K$49)/1000),IF(AA43="MSD",((U43*Alukset_fx!$B$24)*Alukset_Käynnit_Lask!W43*(Alukset_fx!$K$52)/1000),IF(AA43="HSD",((U43*Alukset_fx!$B$24)*Alukset_Käynnit_Lask!W43*(Alukset_fx!$K$55)/1000),0)))</f>
        <v>0</v>
      </c>
      <c r="AI43" s="207">
        <f>IF(AC43="MSD",((V43*Alukset_fx!$B$25)*Alukset_Käynnit_Lask!W43*(Alukset_fx!$L$52)/1000),IF(AC43="HSD",((V43*Alukset_fx!$B$25)*Alukset_Käynnit_Lask!W43*(Alukset_fx!$L$55)/1000),0))</f>
        <v>0</v>
      </c>
      <c r="AJ43" s="207">
        <f>X43*W43*Alukset_fx!$K$61/1000</f>
        <v>0</v>
      </c>
      <c r="AK43">
        <v>0</v>
      </c>
      <c r="AL43" s="207">
        <f>IF(AG43="Käytetty",0,IF(AC43="MSD",((V43*Alukset_fx!$O$25)*Alukset_Käynnit_Lask!O43*(Alukset_fx!$L$52)/1000),IF(AC43="HSD",((V43*Alukset_fx!$O$25)*Alukset_Käynnit_Lask!O43*(Alukset_fx!$L$55)/1000),0)))</f>
        <v>0</v>
      </c>
      <c r="AM43" s="207">
        <f>IF(AG43="Käytetty",0,Y43*O43*Alukset_fx!$K$61/1000)</f>
        <v>0</v>
      </c>
      <c r="AN43" s="213">
        <f>SUM(AH43:AM43)/1000</f>
        <v>0</v>
      </c>
    </row>
    <row r="44" spans="1:40" x14ac:dyDescent="0.25">
      <c r="A44" s="203">
        <f>Alukset_Käynnit!A51</f>
        <v>0</v>
      </c>
      <c r="B44" s="203">
        <f>Alukset_Käynnit!B51</f>
        <v>0</v>
      </c>
      <c r="C44" s="262">
        <f>Alukset_Käynnit!C51</f>
        <v>0</v>
      </c>
      <c r="D44" s="266">
        <f>Alukset_Käynnit!D51</f>
        <v>0</v>
      </c>
      <c r="E44" s="262">
        <f>Alukset_Käynnit!E51</f>
        <v>0</v>
      </c>
      <c r="F44" s="262">
        <f>Alukset_Käynnit!F51</f>
        <v>0</v>
      </c>
      <c r="G44" s="262">
        <f>Alukset_Käynnit!G51</f>
        <v>0</v>
      </c>
      <c r="H44" s="262">
        <f>Alukset_Käynnit!H51</f>
        <v>0</v>
      </c>
      <c r="I44" s="262">
        <f>Alukset_Käynnit!I51</f>
        <v>0</v>
      </c>
      <c r="J44" s="262">
        <f>Alukset_Käynnit!J51</f>
        <v>0</v>
      </c>
      <c r="K44" s="262">
        <f>Alukset_Käynnit!K51</f>
        <v>0</v>
      </c>
      <c r="L44" s="205">
        <f>Alukset_Käynnit!L51</f>
        <v>0</v>
      </c>
      <c r="N44" s="275">
        <f t="shared" si="0"/>
        <v>0</v>
      </c>
      <c r="O44" s="276">
        <f t="shared" si="11"/>
        <v>0</v>
      </c>
      <c r="P44" s="202"/>
      <c r="Q44" s="204">
        <f t="shared" si="1"/>
        <v>0</v>
      </c>
      <c r="R44" s="202">
        <f>IF(Q44="Other dry cargo",L44*Alukset_fx!$B$71,IF(OR(Q44="Dry bulk",Q44="Bulk carrier"),L44*Alukset_fx!$B$69,IF(Q44="Tugboat",L44*Alukset_fx!$B$76,IF(OR(Q44="Tanker",Q44="Gas tanker",Q44="Chemical tanker",Q44="Oil tanker"),L44*Alukset_fx!$B$68,IF(OR(Q44="RoRo",Q44="Vehicle carrier"),L44*Alukset_fx!$B$72,IF(Q44="RoPax",L44*Alukset_fx!$B$73,IF(Q44="Container ship",L44*Alukset_fx!$B$70,IF(Q44="Barge",0,L44*Alukset_fx!$B$75))))))))</f>
        <v>0</v>
      </c>
      <c r="S44" s="210">
        <f>IF(L44=0,IF(Q44="Other dry cargo",Alukset_fx!$H$73*(Alukset_Käynnit_Lask!K44^Alukset_fx!$I$73),IF(OR(Q44="Dry Bulk",Q44="Bulk carrier"),Alukset_fx!$H$71*(Alukset_Käynnit_Lask!K44^Alukset_fx!$I$71),IF(Q44="Tugboat",Alukset_fx!$H$78*(Alukset_Käynnit_Lask!K44^Alukset_fx!$I$78),IF(OR(Q44="Tanker",Q44="Gas tanker",Q44="Chemical tanker",Q44="Oil tanker"),Alukset_fx!$H$70*(Alukset_Käynnit_Lask!K44^Alukset_fx!$I$70),IF(Q44="Container ship",Alukset_fx!$H$72*(Alukset_Käynnit_Lask!K44^Alukset_fx!$I$72),IF(Q44="Barge",0,IF(Q44="RoPax",Alukset_fx!$H$75*(Alukset_Käynnit_Lask!K44^Alukset_fx!$I$75),IF(OR(Q44="RoRo",Q44="Vehicle carrier"),Alukset_fx!$H$74*(Alukset_Käynnit_Lask!K44^Alukset_fx!$I$74),Alukset_fx!$H$77*(Alukset_Käynnit_Lask!K44^Alukset_fx!$I$77))))))))),"-")</f>
        <v>0</v>
      </c>
      <c r="T44" s="208">
        <f>IF(R44=0,IF(Q44="Other dry cargo",S44*Alukset_fx!$B$71,IF(OR(Q44="Dry bulk",Q44="Bulk carrier"),S44*Alukset_fx!$B$69,IF(Q44="Tugboat",S44*Alukset_fx!$B$76,IF(OR(Q44="Tanker",Q44="Gas tanker",Q44="Chemical tanker",Q44="Oil tanker"),S44*Alukset_fx!$B$68,IF(OR(Q44="RoRo",Q44="Vehicle carrier"),S44*Alukset_fx!$B$72,IF(Q44="RoPax",S44*Alukset_fx!$B$73,IF(Q44="Container ship",S44*Alukset_fx!$B$70,S44*Alukset_fx!$B$75))))))),"-")</f>
        <v>0</v>
      </c>
      <c r="U44" s="208">
        <f t="shared" si="2"/>
        <v>0</v>
      </c>
      <c r="V44" s="208">
        <f t="shared" si="3"/>
        <v>0</v>
      </c>
      <c r="W44" s="202">
        <f>Alukset_Käynnit!N51</f>
        <v>0</v>
      </c>
      <c r="X44" s="211">
        <f>IF(Q44="Other dry cargo", Alukset_fx!$C$52, IF(OR(Q44="Dry bulk",Q44="Bulk carrier"),Alukset_fx!$C$35,IF(OR(Q44="Tanker",Q44="Gas tanker",Q44="Oil tanker"),Alukset_fx!$C$57,IF(Q44="Chemical tanker",Alukset_fx!$C$56,IF(OR(Q44="Tugboat",Q44="Barge"),0,IF(Q44="Other vessel",Alukset_fx!$C$54,IF(Q44="Container ship",Alukset_fx!$C$37,IF(OR(Q44="RoPax",Q44="RoRo",Q44="Vehicle carrier"),Alukset_fx!$C$55,0))))))))</f>
        <v>0</v>
      </c>
      <c r="Y44" s="211">
        <f>IF(Q44="Other dry cargo", Alukset_fx!$Q$52, IF(OR(Q44="Dry bulk",Q44="Bulk carrier"),Alukset_fx!$Q$35,IF(OR(Q44="Tanker",Q44="Gas tanker",Q44="Oil tanker"),Alukset_fx!$Q$57,IF(Q44="Chemical tanker",Alukset_fx!$Q$56,IF(OR(Q44="Tugboat",Q44="Barge"),0,IF(Q44="Other vessel",Alukset_fx!$Q$54,IF(Q44="Container ship",Alukset_fx!$Q$37,IF(OR(Q44="RoPax",Q44="RoRo",Q44="Vehicle carrier"),Alukset_fx!$Q$55,0))))))))</f>
        <v>0</v>
      </c>
      <c r="Z44" t="str">
        <f t="shared" si="4"/>
        <v>MDO/MGO</v>
      </c>
      <c r="AA44" t="str">
        <f t="shared" si="5"/>
        <v>MSD</v>
      </c>
      <c r="AB44" t="str">
        <f t="shared" si="6"/>
        <v>MDO/MGO</v>
      </c>
      <c r="AC44" t="str">
        <f t="shared" si="7"/>
        <v>MSD</v>
      </c>
      <c r="AD44" t="str">
        <f t="shared" si="8"/>
        <v>MDO/MGO</v>
      </c>
      <c r="AE44" t="str">
        <f t="shared" si="9"/>
        <v>ST</v>
      </c>
      <c r="AG44">
        <f>Alukset_Käynnit!O51</f>
        <v>0</v>
      </c>
      <c r="AH44" s="207">
        <f>IF(AA44="SSD",((U44*Alukset_fx!$B$24)*Alukset_Käynnit_Lask!W44*(Alukset_fx!$K$49)/1000),IF(AA44="MSD",((U44*Alukset_fx!$B$24)*Alukset_Käynnit_Lask!W44*(Alukset_fx!$K$52)/1000),IF(AA44="HSD",((U44*Alukset_fx!$B$24)*Alukset_Käynnit_Lask!W44*(Alukset_fx!$K$55)/1000),0)))</f>
        <v>0</v>
      </c>
      <c r="AI44" s="207">
        <f>IF(AC44="MSD",((V44*Alukset_fx!$B$25)*Alukset_Käynnit_Lask!W44*(Alukset_fx!$L$52)/1000),IF(AC44="HSD",((V44*Alukset_fx!$B$25)*Alukset_Käynnit_Lask!W44*(Alukset_fx!$L$55)/1000),0))</f>
        <v>0</v>
      </c>
      <c r="AJ44" s="207">
        <f>X44*W44*Alukset_fx!$K$61/1000</f>
        <v>0</v>
      </c>
      <c r="AK44">
        <v>0</v>
      </c>
      <c r="AL44" s="207">
        <f>IF(AG44="Käytetty",0,IF(AC44="MSD",((V44*Alukset_fx!$O$25)*Alukset_Käynnit_Lask!O44*(Alukset_fx!$L$52)/1000),IF(AC44="HSD",((V44*Alukset_fx!$O$25)*Alukset_Käynnit_Lask!O44*(Alukset_fx!$L$55)/1000),0)))</f>
        <v>0</v>
      </c>
      <c r="AM44" s="207">
        <f>IF(AG44="Käytetty",0,Y44*O44*Alukset_fx!$K$61/1000)</f>
        <v>0</v>
      </c>
      <c r="AN44" s="213">
        <f t="shared" si="10"/>
        <v>0</v>
      </c>
    </row>
    <row r="45" spans="1:40" x14ac:dyDescent="0.25">
      <c r="A45" s="203">
        <f>Alukset_Käynnit!A52</f>
        <v>0</v>
      </c>
      <c r="B45" s="203">
        <f>Alukset_Käynnit!B52</f>
        <v>0</v>
      </c>
      <c r="C45" s="262">
        <f>Alukset_Käynnit!C52</f>
        <v>0</v>
      </c>
      <c r="D45" s="266">
        <f>Alukset_Käynnit!D52</f>
        <v>0</v>
      </c>
      <c r="E45" s="262">
        <f>Alukset_Käynnit!E52</f>
        <v>0</v>
      </c>
      <c r="F45" s="262">
        <f>Alukset_Käynnit!F52</f>
        <v>0</v>
      </c>
      <c r="G45" s="262">
        <f>Alukset_Käynnit!G52</f>
        <v>0</v>
      </c>
      <c r="H45" s="262">
        <f>Alukset_Käynnit!H52</f>
        <v>0</v>
      </c>
      <c r="I45" s="262">
        <f>Alukset_Käynnit!I52</f>
        <v>0</v>
      </c>
      <c r="J45" s="262">
        <f>Alukset_Käynnit!J52</f>
        <v>0</v>
      </c>
      <c r="K45" s="262">
        <f>Alukset_Käynnit!K52</f>
        <v>0</v>
      </c>
      <c r="L45" s="205">
        <f>Alukset_Käynnit!L52</f>
        <v>0</v>
      </c>
      <c r="N45" s="277">
        <f t="shared" ref="N45:N76" si="12">(B45-A45)*1440</f>
        <v>0</v>
      </c>
      <c r="O45" s="278">
        <f t="shared" si="11"/>
        <v>0</v>
      </c>
      <c r="P45" s="202"/>
      <c r="Q45" s="204">
        <f t="shared" si="1"/>
        <v>0</v>
      </c>
      <c r="R45" s="202">
        <f>IF(Q45="Other dry cargo",L45*Alukset_fx!$B$71,IF(OR(Q45="Dry bulk",Q45="Bulk carrier"),L45*Alukset_fx!$B$69,IF(Q45="Tugboat",L45*Alukset_fx!$B$76,IF(OR(Q45="Tanker",Q45="Gas tanker",Q45="Chemical tanker",Q45="Oil tanker"),L45*Alukset_fx!$B$68,IF(OR(Q45="RoRo",Q45="Vehicle carrier"),L45*Alukset_fx!$B$72,IF(Q45="RoPax",L45*Alukset_fx!$B$73,IF(Q45="Container ship",L45*Alukset_fx!$B$70,IF(Q45="Barge",0,L45*Alukset_fx!$B$75))))))))</f>
        <v>0</v>
      </c>
      <c r="S45" s="210">
        <f>IF(L45=0,IF(Q45="Other dry cargo",Alukset_fx!$H$73*(Alukset_Käynnit_Lask!K45^Alukset_fx!$I$73),IF(OR(Q45="Dry Bulk",Q45="Bulk carrier"),Alukset_fx!$H$71*(Alukset_Käynnit_Lask!K45^Alukset_fx!$I$71),IF(Q45="Tugboat",Alukset_fx!$H$78*(Alukset_Käynnit_Lask!K45^Alukset_fx!$I$78),IF(OR(Q45="Tanker",Q45="Gas tanker",Q45="Chemical tanker",Q45="Oil tanker"),Alukset_fx!$H$70*(Alukset_Käynnit_Lask!K45^Alukset_fx!$I$70),IF(Q45="Container ship",Alukset_fx!$H$72*(Alukset_Käynnit_Lask!K45^Alukset_fx!$I$72),IF(Q45="Barge",0,IF(Q45="RoPax",Alukset_fx!$H$75*(Alukset_Käynnit_Lask!K45^Alukset_fx!$I$75),IF(OR(Q45="RoRo",Q45="Vehicle carrier"),Alukset_fx!$H$74*(Alukset_Käynnit_Lask!K45^Alukset_fx!$I$74),Alukset_fx!$H$77*(Alukset_Käynnit_Lask!K45^Alukset_fx!$I$77))))))))),"-")</f>
        <v>0</v>
      </c>
      <c r="T45" s="208">
        <f>IF(R45=0,IF(Q45="Other dry cargo",S45*Alukset_fx!$B$71,IF(OR(Q45="Dry bulk",Q45="Bulk carrier"),S45*Alukset_fx!$B$69,IF(Q45="Tugboat",S45*Alukset_fx!$B$76,IF(OR(Q45="Tanker",Q45="Gas tanker",Q45="Chemical tanker",Q45="Oil tanker"),S45*Alukset_fx!$B$68,IF(OR(Q45="RoRo",Q45="Vehicle carrier"),S45*Alukset_fx!$B$72,IF(Q45="RoPax",S45*Alukset_fx!$B$73,IF(Q45="Container ship",S45*Alukset_fx!$B$70,S45*Alukset_fx!$B$75))))))),"-")</f>
        <v>0</v>
      </c>
      <c r="U45" s="208">
        <f t="shared" si="2"/>
        <v>0</v>
      </c>
      <c r="V45" s="208">
        <f t="shared" si="3"/>
        <v>0</v>
      </c>
      <c r="W45" s="202">
        <f>Alukset_Käynnit!N52</f>
        <v>0</v>
      </c>
      <c r="X45" s="211">
        <f>IF(Q45="Other dry cargo", Alukset_fx!$C$52, IF(OR(Q45="Dry bulk",Q45="Bulk carrier"),Alukset_fx!$C$35,IF(OR(Q45="Tanker",Q45="Gas tanker",Q45="Oil tanker"),Alukset_fx!$C$57,IF(Q45="Chemical tanker",Alukset_fx!$C$56,IF(OR(Q45="Tugboat",Q45="Barge"),0,IF(Q45="Other vessel",Alukset_fx!$C$54,IF(Q45="Container ship",Alukset_fx!$C$37,IF(OR(Q45="RoPax",Q45="RoRo",Q45="Vehicle carrier"),Alukset_fx!$C$55,0))))))))</f>
        <v>0</v>
      </c>
      <c r="Y45" s="211">
        <f>IF(Q45="Other dry cargo", Alukset_fx!$Q$52, IF(OR(Q45="Dry bulk",Q45="Bulk carrier"),Alukset_fx!$Q$35,IF(OR(Q45="Tanker",Q45="Gas tanker",Q45="Oil tanker"),Alukset_fx!$Q$57,IF(Q45="Chemical tanker",Alukset_fx!$Q$56,IF(OR(Q45="Tugboat",Q45="Barge"),0,IF(Q45="Other vessel",Alukset_fx!$Q$54,IF(Q45="Container ship",Alukset_fx!$Q$37,IF(OR(Q45="RoPax",Q45="RoRo",Q45="Vehicle carrier"),Alukset_fx!$Q$55,0))))))))</f>
        <v>0</v>
      </c>
      <c r="Z45" t="str">
        <f t="shared" si="4"/>
        <v>MDO/MGO</v>
      </c>
      <c r="AA45" t="str">
        <f t="shared" si="5"/>
        <v>MSD</v>
      </c>
      <c r="AB45" t="str">
        <f t="shared" si="6"/>
        <v>MDO/MGO</v>
      </c>
      <c r="AC45" t="str">
        <f t="shared" si="7"/>
        <v>MSD</v>
      </c>
      <c r="AD45" t="str">
        <f t="shared" si="8"/>
        <v>MDO/MGO</v>
      </c>
      <c r="AE45" t="str">
        <f t="shared" si="9"/>
        <v>ST</v>
      </c>
      <c r="AG45">
        <f>Alukset_Käynnit!O52</f>
        <v>0</v>
      </c>
      <c r="AH45" s="207">
        <f>IF(AA45="SSD",((U45*Alukset_fx!$B$24)*Alukset_Käynnit_Lask!W45*(Alukset_fx!$K$49)/1000),IF(AA45="MSD",((U45*Alukset_fx!$B$24)*Alukset_Käynnit_Lask!W45*(Alukset_fx!$K$52)/1000),IF(AA45="HSD",((U45*Alukset_fx!$B$24)*Alukset_Käynnit_Lask!W45*(Alukset_fx!$K$55)/1000),0)))</f>
        <v>0</v>
      </c>
      <c r="AI45" s="207">
        <f>IF(AC45="MSD",((V45*Alukset_fx!$B$25)*Alukset_Käynnit_Lask!W45*(Alukset_fx!$L$52)/1000),IF(AC45="HSD",((V45*Alukset_fx!$B$25)*Alukset_Käynnit_Lask!W45*(Alukset_fx!$L$55)/1000),0))</f>
        <v>0</v>
      </c>
      <c r="AJ45" s="207">
        <f>X45*W45*Alukset_fx!$K$61/1000</f>
        <v>0</v>
      </c>
      <c r="AK45">
        <v>0</v>
      </c>
      <c r="AL45" s="207">
        <f>IF(AG45="Käytetty",0,IF(AC45="MSD",((V45*Alukset_fx!$O$25)*Alukset_Käynnit_Lask!O45*(Alukset_fx!$L$52)/1000),IF(AC45="HSD",((V45*Alukset_fx!$O$25)*Alukset_Käynnit_Lask!O45*(Alukset_fx!$L$55)/1000),0)))</f>
        <v>0</v>
      </c>
      <c r="AM45" s="207">
        <f>IF(AG45="Käytetty",0,Y45*O45*Alukset_fx!$K$61/1000)</f>
        <v>0</v>
      </c>
      <c r="AN45" s="213">
        <f t="shared" si="10"/>
        <v>0</v>
      </c>
    </row>
    <row r="46" spans="1:40" x14ac:dyDescent="0.25">
      <c r="A46" s="203">
        <f>Alukset_Käynnit!A53</f>
        <v>0</v>
      </c>
      <c r="B46" s="203">
        <f>Alukset_Käynnit!B53</f>
        <v>0</v>
      </c>
      <c r="C46" s="262">
        <f>Alukset_Käynnit!C53</f>
        <v>0</v>
      </c>
      <c r="D46" s="266">
        <f>Alukset_Käynnit!D53</f>
        <v>0</v>
      </c>
      <c r="E46" s="262">
        <f>Alukset_Käynnit!E53</f>
        <v>0</v>
      </c>
      <c r="F46" s="262">
        <f>Alukset_Käynnit!F53</f>
        <v>0</v>
      </c>
      <c r="G46" s="262">
        <f>Alukset_Käynnit!G53</f>
        <v>0</v>
      </c>
      <c r="H46" s="262">
        <f>Alukset_Käynnit!H53</f>
        <v>0</v>
      </c>
      <c r="I46" s="262">
        <f>Alukset_Käynnit!I53</f>
        <v>0</v>
      </c>
      <c r="J46" s="262">
        <f>Alukset_Käynnit!J53</f>
        <v>0</v>
      </c>
      <c r="K46" s="262">
        <f>Alukset_Käynnit!K53</f>
        <v>0</v>
      </c>
      <c r="L46" s="205">
        <f>Alukset_Käynnit!L53</f>
        <v>0</v>
      </c>
      <c r="N46" s="273">
        <f t="shared" si="12"/>
        <v>0</v>
      </c>
      <c r="O46" s="274">
        <f t="shared" si="11"/>
        <v>0</v>
      </c>
      <c r="P46" s="202"/>
      <c r="Q46" s="204">
        <f t="shared" si="1"/>
        <v>0</v>
      </c>
      <c r="R46" s="202">
        <f>IF(Q46="Other dry cargo",L46*Alukset_fx!$B$71,IF(OR(Q46="Dry bulk",Q46="Bulk carrier"),L46*Alukset_fx!$B$69,IF(Q46="Tugboat",L46*Alukset_fx!$B$76,IF(OR(Q46="Tanker",Q46="Gas tanker",Q46="Chemical tanker",Q46="Oil tanker"),L46*Alukset_fx!$B$68,IF(OR(Q46="RoRo",Q46="Vehicle carrier"),L46*Alukset_fx!$B$72,IF(Q46="RoPax",L46*Alukset_fx!$B$73,IF(Q46="Container ship",L46*Alukset_fx!$B$70,IF(Q46="Barge",0,L46*Alukset_fx!$B$75))))))))</f>
        <v>0</v>
      </c>
      <c r="S46" s="210">
        <f>IF(L46=0,IF(Q46="Other dry cargo",Alukset_fx!$H$73*(Alukset_Käynnit_Lask!K46^Alukset_fx!$I$73),IF(OR(Q46="Dry Bulk",Q46="Bulk carrier"),Alukset_fx!$H$71*(Alukset_Käynnit_Lask!K46^Alukset_fx!$I$71),IF(Q46="Tugboat",Alukset_fx!$H$78*(Alukset_Käynnit_Lask!K46^Alukset_fx!$I$78),IF(OR(Q46="Tanker",Q46="Gas tanker",Q46="Chemical tanker",Q46="Oil tanker"),Alukset_fx!$H$70*(Alukset_Käynnit_Lask!K46^Alukset_fx!$I$70),IF(Q46="Container ship",Alukset_fx!$H$72*(Alukset_Käynnit_Lask!K46^Alukset_fx!$I$72),IF(Q46="Barge",0,IF(Q46="RoPax",Alukset_fx!$H$75*(Alukset_Käynnit_Lask!K46^Alukset_fx!$I$75),IF(OR(Q46="RoRo",Q46="Vehicle carrier"),Alukset_fx!$H$74*(Alukset_Käynnit_Lask!K46^Alukset_fx!$I$74),Alukset_fx!$H$77*(Alukset_Käynnit_Lask!K46^Alukset_fx!$I$77))))))))),"-")</f>
        <v>0</v>
      </c>
      <c r="T46" s="208">
        <f>IF(R46=0,IF(Q46="Other dry cargo",S46*Alukset_fx!$B$71,IF(OR(Q46="Dry bulk",Q46="Bulk carrier"),S46*Alukset_fx!$B$69,IF(Q46="Tugboat",S46*Alukset_fx!$B$76,IF(OR(Q46="Tanker",Q46="Gas tanker",Q46="Chemical tanker",Q46="Oil tanker"),S46*Alukset_fx!$B$68,IF(OR(Q46="RoRo",Q46="Vehicle carrier"),S46*Alukset_fx!$B$72,IF(Q46="RoPax",S46*Alukset_fx!$B$73,IF(Q46="Container ship",S46*Alukset_fx!$B$70,S46*Alukset_fx!$B$75))))))),"-")</f>
        <v>0</v>
      </c>
      <c r="U46" s="208">
        <f t="shared" si="2"/>
        <v>0</v>
      </c>
      <c r="V46" s="208">
        <f t="shared" si="3"/>
        <v>0</v>
      </c>
      <c r="W46" s="202">
        <f>Alukset_Käynnit!N53</f>
        <v>0</v>
      </c>
      <c r="X46" s="211">
        <f>IF(Q46="Other dry cargo", Alukset_fx!$C$52, IF(OR(Q46="Dry bulk",Q46="Bulk carrier"),Alukset_fx!$C$35,IF(OR(Q46="Tanker",Q46="Gas tanker",Q46="Oil tanker"),Alukset_fx!$C$57,IF(Q46="Chemical tanker",Alukset_fx!$C$56,IF(OR(Q46="Tugboat",Q46="Barge"),0,IF(Q46="Other vessel",Alukset_fx!$C$54,IF(Q46="Container ship",Alukset_fx!$C$37,IF(OR(Q46="RoPax",Q46="RoRo",Q46="Vehicle carrier"),Alukset_fx!$C$55,0))))))))</f>
        <v>0</v>
      </c>
      <c r="Y46" s="211">
        <f>IF(Q46="Other dry cargo", Alukset_fx!$Q$52, IF(OR(Q46="Dry bulk",Q46="Bulk carrier"),Alukset_fx!$Q$35,IF(OR(Q46="Tanker",Q46="Gas tanker",Q46="Oil tanker"),Alukset_fx!$Q$57,IF(Q46="Chemical tanker",Alukset_fx!$Q$56,IF(OR(Q46="Tugboat",Q46="Barge"),0,IF(Q46="Other vessel",Alukset_fx!$Q$54,IF(Q46="Container ship",Alukset_fx!$Q$37,IF(OR(Q46="RoPax",Q46="RoRo",Q46="Vehicle carrier"),Alukset_fx!$Q$55,0))))))))</f>
        <v>0</v>
      </c>
      <c r="Z46" t="str">
        <f t="shared" si="4"/>
        <v>MDO/MGO</v>
      </c>
      <c r="AA46" t="str">
        <f t="shared" si="5"/>
        <v>MSD</v>
      </c>
      <c r="AB46" t="str">
        <f t="shared" si="6"/>
        <v>MDO/MGO</v>
      </c>
      <c r="AC46" t="str">
        <f t="shared" si="7"/>
        <v>MSD</v>
      </c>
      <c r="AD46" t="str">
        <f t="shared" si="8"/>
        <v>MDO/MGO</v>
      </c>
      <c r="AE46" t="str">
        <f t="shared" si="9"/>
        <v>ST</v>
      </c>
      <c r="AG46">
        <f>Alukset_Käynnit!O53</f>
        <v>0</v>
      </c>
      <c r="AH46" s="207">
        <f>IF(AA46="SSD",((U46*Alukset_fx!$B$24)*Alukset_Käynnit_Lask!W46*(Alukset_fx!$K$49)/1000),IF(AA46="MSD",((U46*Alukset_fx!$B$24)*Alukset_Käynnit_Lask!W46*(Alukset_fx!$K$52)/1000),IF(AA46="HSD",((U46*Alukset_fx!$B$24)*Alukset_Käynnit_Lask!W46*(Alukset_fx!$K$55)/1000),0)))</f>
        <v>0</v>
      </c>
      <c r="AI46" s="207">
        <f>IF(AC46="MSD",((V46*Alukset_fx!$B$25)*Alukset_Käynnit_Lask!W46*(Alukset_fx!$L$52)/1000),IF(AC46="HSD",((V46*Alukset_fx!$B$25)*Alukset_Käynnit_Lask!W46*(Alukset_fx!$L$55)/1000),0))</f>
        <v>0</v>
      </c>
      <c r="AJ46" s="207">
        <f>X46*W46*Alukset_fx!$K$61/1000</f>
        <v>0</v>
      </c>
      <c r="AK46">
        <v>0</v>
      </c>
      <c r="AL46" s="207">
        <f>IF(AG46="Käytetty",0,IF(AC46="MSD",((V46*Alukset_fx!$O$25)*Alukset_Käynnit_Lask!O46*(Alukset_fx!$L$52)/1000),IF(AC46="HSD",((V46*Alukset_fx!$O$25)*Alukset_Käynnit_Lask!O46*(Alukset_fx!$L$55)/1000),0)))</f>
        <v>0</v>
      </c>
      <c r="AM46" s="207">
        <f>IF(AG46="Käytetty",0,Y46*O46*Alukset_fx!$K$61/1000)</f>
        <v>0</v>
      </c>
      <c r="AN46" s="213">
        <f t="shared" si="10"/>
        <v>0</v>
      </c>
    </row>
    <row r="47" spans="1:40" x14ac:dyDescent="0.25">
      <c r="A47" s="203">
        <f>Alukset_Käynnit!A54</f>
        <v>0</v>
      </c>
      <c r="B47" s="203">
        <f>Alukset_Käynnit!B54</f>
        <v>0</v>
      </c>
      <c r="C47" s="262">
        <f>Alukset_Käynnit!C54</f>
        <v>0</v>
      </c>
      <c r="D47" s="266">
        <f>Alukset_Käynnit!D54</f>
        <v>0</v>
      </c>
      <c r="E47" s="262">
        <f>Alukset_Käynnit!E54</f>
        <v>0</v>
      </c>
      <c r="F47" s="262">
        <f>Alukset_Käynnit!F54</f>
        <v>0</v>
      </c>
      <c r="G47" s="262">
        <f>Alukset_Käynnit!G54</f>
        <v>0</v>
      </c>
      <c r="H47" s="262">
        <f>Alukset_Käynnit!H54</f>
        <v>0</v>
      </c>
      <c r="I47" s="262">
        <f>Alukset_Käynnit!I54</f>
        <v>0</v>
      </c>
      <c r="J47" s="262">
        <f>Alukset_Käynnit!J54</f>
        <v>0</v>
      </c>
      <c r="K47" s="262">
        <f>Alukset_Käynnit!K54</f>
        <v>0</v>
      </c>
      <c r="L47" s="205">
        <f>Alukset_Käynnit!L54</f>
        <v>0</v>
      </c>
      <c r="N47" s="275">
        <f t="shared" si="12"/>
        <v>0</v>
      </c>
      <c r="O47" s="276">
        <f t="shared" si="11"/>
        <v>0</v>
      </c>
      <c r="P47" s="202"/>
      <c r="Q47" s="204">
        <f t="shared" si="1"/>
        <v>0</v>
      </c>
      <c r="R47" s="202">
        <f>IF(Q47="Other dry cargo",L47*Alukset_fx!$B$71,IF(OR(Q47="Dry bulk",Q47="Bulk carrier"),L47*Alukset_fx!$B$69,IF(Q47="Tugboat",L47*Alukset_fx!$B$76,IF(OR(Q47="Tanker",Q47="Gas tanker",Q47="Chemical tanker",Q47="Oil tanker"),L47*Alukset_fx!$B$68,IF(OR(Q47="RoRo",Q47="Vehicle carrier"),L47*Alukset_fx!$B$72,IF(Q47="RoPax",L47*Alukset_fx!$B$73,IF(Q47="Container ship",L47*Alukset_fx!$B$70,IF(Q47="Barge",0,L47*Alukset_fx!$B$75))))))))</f>
        <v>0</v>
      </c>
      <c r="S47" s="210">
        <f>IF(L47=0,IF(Q47="Other dry cargo",Alukset_fx!$H$73*(Alukset_Käynnit_Lask!K47^Alukset_fx!$I$73),IF(OR(Q47="Dry Bulk",Q47="Bulk carrier"),Alukset_fx!$H$71*(Alukset_Käynnit_Lask!K47^Alukset_fx!$I$71),IF(Q47="Tugboat",Alukset_fx!$H$78*(Alukset_Käynnit_Lask!K47^Alukset_fx!$I$78),IF(OR(Q47="Tanker",Q47="Gas tanker",Q47="Chemical tanker",Q47="Oil tanker"),Alukset_fx!$H$70*(Alukset_Käynnit_Lask!K47^Alukset_fx!$I$70),IF(Q47="Container ship",Alukset_fx!$H$72*(Alukset_Käynnit_Lask!K47^Alukset_fx!$I$72),IF(Q47="Barge",0,IF(Q47="RoPax",Alukset_fx!$H$75*(Alukset_Käynnit_Lask!K47^Alukset_fx!$I$75),IF(OR(Q47="RoRo",Q47="Vehicle carrier"),Alukset_fx!$H$74*(Alukset_Käynnit_Lask!K47^Alukset_fx!$I$74),Alukset_fx!$H$77*(Alukset_Käynnit_Lask!K47^Alukset_fx!$I$77))))))))),"-")</f>
        <v>0</v>
      </c>
      <c r="T47" s="208">
        <f>IF(R47=0,IF(Q47="Other dry cargo",S47*Alukset_fx!$B$71,IF(OR(Q47="Dry bulk",Q47="Bulk carrier"),S47*Alukset_fx!$B$69,IF(Q47="Tugboat",S47*Alukset_fx!$B$76,IF(OR(Q47="Tanker",Q47="Gas tanker",Q47="Chemical tanker",Q47="Oil tanker"),S47*Alukset_fx!$B$68,IF(OR(Q47="RoRo",Q47="Vehicle carrier"),S47*Alukset_fx!$B$72,IF(Q47="RoPax",S47*Alukset_fx!$B$73,IF(Q47="Container ship",S47*Alukset_fx!$B$70,S47*Alukset_fx!$B$75))))))),"-")</f>
        <v>0</v>
      </c>
      <c r="U47" s="208">
        <f t="shared" si="2"/>
        <v>0</v>
      </c>
      <c r="V47" s="208">
        <f t="shared" si="3"/>
        <v>0</v>
      </c>
      <c r="W47" s="202">
        <f>Alukset_Käynnit!N54</f>
        <v>0</v>
      </c>
      <c r="X47" s="211">
        <f>IF(Q47="Other dry cargo", Alukset_fx!$C$52, IF(OR(Q47="Dry bulk",Q47="Bulk carrier"),Alukset_fx!$C$35,IF(OR(Q47="Tanker",Q47="Gas tanker",Q47="Oil tanker"),Alukset_fx!$C$57,IF(Q47="Chemical tanker",Alukset_fx!$C$56,IF(OR(Q47="Tugboat",Q47="Barge"),0,IF(Q47="Other vessel",Alukset_fx!$C$54,IF(Q47="Container ship",Alukset_fx!$C$37,IF(OR(Q47="RoPax",Q47="RoRo",Q47="Vehicle carrier"),Alukset_fx!$C$55,0))))))))</f>
        <v>0</v>
      </c>
      <c r="Y47" s="211">
        <f>IF(Q47="Other dry cargo", Alukset_fx!$Q$52, IF(OR(Q47="Dry bulk",Q47="Bulk carrier"),Alukset_fx!$Q$35,IF(OR(Q47="Tanker",Q47="Gas tanker",Q47="Oil tanker"),Alukset_fx!$Q$57,IF(Q47="Chemical tanker",Alukset_fx!$Q$56,IF(OR(Q47="Tugboat",Q47="Barge"),0,IF(Q47="Other vessel",Alukset_fx!$Q$54,IF(Q47="Container ship",Alukset_fx!$Q$37,IF(OR(Q47="RoPax",Q47="RoRo",Q47="Vehicle carrier"),Alukset_fx!$Q$55,0))))))))</f>
        <v>0</v>
      </c>
      <c r="Z47" t="str">
        <f t="shared" si="4"/>
        <v>MDO/MGO</v>
      </c>
      <c r="AA47" t="str">
        <f t="shared" si="5"/>
        <v>MSD</v>
      </c>
      <c r="AB47" t="str">
        <f t="shared" si="6"/>
        <v>MDO/MGO</v>
      </c>
      <c r="AC47" t="str">
        <f t="shared" si="7"/>
        <v>MSD</v>
      </c>
      <c r="AD47" t="str">
        <f t="shared" si="8"/>
        <v>MDO/MGO</v>
      </c>
      <c r="AE47" t="str">
        <f t="shared" si="9"/>
        <v>ST</v>
      </c>
      <c r="AG47">
        <f>Alukset_Käynnit!O54</f>
        <v>0</v>
      </c>
      <c r="AH47" s="207">
        <f>IF(AA47="SSD",((U47*Alukset_fx!$B$24)*Alukset_Käynnit_Lask!W47*(Alukset_fx!$K$49)/1000),IF(AA47="MSD",((U47*Alukset_fx!$B$24)*Alukset_Käynnit_Lask!W47*(Alukset_fx!$K$52)/1000),IF(AA47="HSD",((U47*Alukset_fx!$B$24)*Alukset_Käynnit_Lask!W47*(Alukset_fx!$K$55)/1000),0)))</f>
        <v>0</v>
      </c>
      <c r="AI47" s="207">
        <f>IF(AC47="MSD",((V47*Alukset_fx!$B$25)*Alukset_Käynnit_Lask!W47*(Alukset_fx!$L$52)/1000),IF(AC47="HSD",((V47*Alukset_fx!$B$25)*Alukset_Käynnit_Lask!W47*(Alukset_fx!$L$55)/1000),0))</f>
        <v>0</v>
      </c>
      <c r="AJ47" s="207">
        <f>X47*W47*Alukset_fx!$K$61/1000</f>
        <v>0</v>
      </c>
      <c r="AK47">
        <v>0</v>
      </c>
      <c r="AL47" s="207">
        <f>IF(AG47="Käytetty",0,IF(AC47="MSD",((V47*Alukset_fx!$O$25)*Alukset_Käynnit_Lask!O47*(Alukset_fx!$L$52)/1000),IF(AC47="HSD",((V47*Alukset_fx!$O$25)*Alukset_Käynnit_Lask!O47*(Alukset_fx!$L$55)/1000),0)))</f>
        <v>0</v>
      </c>
      <c r="AM47" s="207">
        <f>IF(AG47="Käytetty",0,Y47*O47*Alukset_fx!$K$61/1000)</f>
        <v>0</v>
      </c>
      <c r="AN47" s="213">
        <f t="shared" si="10"/>
        <v>0</v>
      </c>
    </row>
    <row r="48" spans="1:40" x14ac:dyDescent="0.25">
      <c r="A48" s="203">
        <f>Alukset_Käynnit!A55</f>
        <v>0</v>
      </c>
      <c r="B48" s="203">
        <f>Alukset_Käynnit!B55</f>
        <v>0</v>
      </c>
      <c r="C48" s="262">
        <f>Alukset_Käynnit!C55</f>
        <v>0</v>
      </c>
      <c r="D48" s="266">
        <f>Alukset_Käynnit!D55</f>
        <v>0</v>
      </c>
      <c r="E48" s="262">
        <f>Alukset_Käynnit!E55</f>
        <v>0</v>
      </c>
      <c r="F48" s="262">
        <f>Alukset_Käynnit!F55</f>
        <v>0</v>
      </c>
      <c r="G48" s="262">
        <f>Alukset_Käynnit!G55</f>
        <v>0</v>
      </c>
      <c r="H48" s="262">
        <f>Alukset_Käynnit!H55</f>
        <v>0</v>
      </c>
      <c r="I48" s="262">
        <f>Alukset_Käynnit!I55</f>
        <v>0</v>
      </c>
      <c r="J48" s="262">
        <f>Alukset_Käynnit!J55</f>
        <v>0</v>
      </c>
      <c r="K48" s="262">
        <f>Alukset_Käynnit!K55</f>
        <v>0</v>
      </c>
      <c r="L48" s="205">
        <f>Alukset_Käynnit!L55</f>
        <v>0</v>
      </c>
      <c r="N48" s="273">
        <f t="shared" si="12"/>
        <v>0</v>
      </c>
      <c r="O48" s="274">
        <f t="shared" si="11"/>
        <v>0</v>
      </c>
      <c r="P48" s="202"/>
      <c r="Q48" s="204">
        <f t="shared" si="1"/>
        <v>0</v>
      </c>
      <c r="R48" s="202">
        <f>IF(Q48="Other dry cargo",L48*Alukset_fx!$B$71,IF(OR(Q48="Dry bulk",Q48="Bulk carrier"),L48*Alukset_fx!$B$69,IF(Q48="Tugboat",L48*Alukset_fx!$B$76,IF(OR(Q48="Tanker",Q48="Gas tanker",Q48="Chemical tanker",Q48="Oil tanker"),L48*Alukset_fx!$B$68,IF(OR(Q48="RoRo",Q48="Vehicle carrier"),L48*Alukset_fx!$B$72,IF(Q48="RoPax",L48*Alukset_fx!$B$73,IF(Q48="Container ship",L48*Alukset_fx!$B$70,IF(Q48="Barge",0,L48*Alukset_fx!$B$75))))))))</f>
        <v>0</v>
      </c>
      <c r="S48" s="210">
        <f>IF(L48=0,IF(Q48="Other dry cargo",Alukset_fx!$H$73*(Alukset_Käynnit_Lask!K48^Alukset_fx!$I$73),IF(OR(Q48="Dry Bulk",Q48="Bulk carrier"),Alukset_fx!$H$71*(Alukset_Käynnit_Lask!K48^Alukset_fx!$I$71),IF(Q48="Tugboat",Alukset_fx!$H$78*(Alukset_Käynnit_Lask!K48^Alukset_fx!$I$78),IF(OR(Q48="Tanker",Q48="Gas tanker",Q48="Chemical tanker",Q48="Oil tanker"),Alukset_fx!$H$70*(Alukset_Käynnit_Lask!K48^Alukset_fx!$I$70),IF(Q48="Container ship",Alukset_fx!$H$72*(Alukset_Käynnit_Lask!K48^Alukset_fx!$I$72),IF(Q48="Barge",0,IF(Q48="RoPax",Alukset_fx!$H$75*(Alukset_Käynnit_Lask!K48^Alukset_fx!$I$75),IF(OR(Q48="RoRo",Q48="Vehicle carrier"),Alukset_fx!$H$74*(Alukset_Käynnit_Lask!K48^Alukset_fx!$I$74),Alukset_fx!$H$77*(Alukset_Käynnit_Lask!K48^Alukset_fx!$I$77))))))))),"-")</f>
        <v>0</v>
      </c>
      <c r="T48" s="208">
        <f>IF(R48=0,IF(Q48="Other dry cargo",S48*Alukset_fx!$B$71,IF(OR(Q48="Dry bulk",Q48="Bulk carrier"),S48*Alukset_fx!$B$69,IF(Q48="Tugboat",S48*Alukset_fx!$B$76,IF(OR(Q48="Tanker",Q48="Gas tanker",Q48="Chemical tanker",Q48="Oil tanker"),S48*Alukset_fx!$B$68,IF(OR(Q48="RoRo",Q48="Vehicle carrier"),S48*Alukset_fx!$B$72,IF(Q48="RoPax",S48*Alukset_fx!$B$73,IF(Q48="Container ship",S48*Alukset_fx!$B$70,S48*Alukset_fx!$B$75))))))),"-")</f>
        <v>0</v>
      </c>
      <c r="U48" s="208">
        <f t="shared" si="2"/>
        <v>0</v>
      </c>
      <c r="V48" s="208">
        <f t="shared" si="3"/>
        <v>0</v>
      </c>
      <c r="W48" s="202">
        <f>Alukset_Käynnit!N55</f>
        <v>0</v>
      </c>
      <c r="X48" s="211">
        <f>IF(Q48="Other dry cargo", Alukset_fx!$C$52, IF(OR(Q48="Dry bulk",Q48="Bulk carrier"),Alukset_fx!$C$35,IF(OR(Q48="Tanker",Q48="Gas tanker",Q48="Oil tanker"),Alukset_fx!$C$57,IF(Q48="Chemical tanker",Alukset_fx!$C$56,IF(OR(Q48="Tugboat",Q48="Barge"),0,IF(Q48="Other vessel",Alukset_fx!$C$54,IF(Q48="Container ship",Alukset_fx!$C$37,IF(OR(Q48="RoPax",Q48="RoRo",Q48="Vehicle carrier"),Alukset_fx!$C$55,0))))))))</f>
        <v>0</v>
      </c>
      <c r="Y48" s="211">
        <f>IF(Q48="Other dry cargo", Alukset_fx!$Q$52, IF(OR(Q48="Dry bulk",Q48="Bulk carrier"),Alukset_fx!$Q$35,IF(OR(Q48="Tanker",Q48="Gas tanker",Q48="Oil tanker"),Alukset_fx!$Q$57,IF(Q48="Chemical tanker",Alukset_fx!$Q$56,IF(OR(Q48="Tugboat",Q48="Barge"),0,IF(Q48="Other vessel",Alukset_fx!$Q$54,IF(Q48="Container ship",Alukset_fx!$Q$37,IF(OR(Q48="RoPax",Q48="RoRo",Q48="Vehicle carrier"),Alukset_fx!$Q$55,0))))))))</f>
        <v>0</v>
      </c>
      <c r="Z48" t="str">
        <f t="shared" si="4"/>
        <v>MDO/MGO</v>
      </c>
      <c r="AA48" t="str">
        <f t="shared" si="5"/>
        <v>MSD</v>
      </c>
      <c r="AB48" t="str">
        <f t="shared" si="6"/>
        <v>MDO/MGO</v>
      </c>
      <c r="AC48" t="str">
        <f t="shared" si="7"/>
        <v>MSD</v>
      </c>
      <c r="AD48" t="str">
        <f t="shared" si="8"/>
        <v>MDO/MGO</v>
      </c>
      <c r="AE48" t="str">
        <f t="shared" si="9"/>
        <v>ST</v>
      </c>
      <c r="AG48">
        <f>Alukset_Käynnit!O55</f>
        <v>0</v>
      </c>
      <c r="AH48" s="207">
        <f>IF(AA48="SSD",((U48*Alukset_fx!$B$24)*Alukset_Käynnit_Lask!W48*(Alukset_fx!$K$49)/1000),IF(AA48="MSD",((U48*Alukset_fx!$B$24)*Alukset_Käynnit_Lask!W48*(Alukset_fx!$K$52)/1000),IF(AA48="HSD",((U48*Alukset_fx!$B$24)*Alukset_Käynnit_Lask!W48*(Alukset_fx!$K$55)/1000),0)))</f>
        <v>0</v>
      </c>
      <c r="AI48" s="207">
        <f>IF(AC48="MSD",((V48*Alukset_fx!$B$25)*Alukset_Käynnit_Lask!W48*(Alukset_fx!$L$52)/1000),IF(AC48="HSD",((V48*Alukset_fx!$B$25)*Alukset_Käynnit_Lask!W48*(Alukset_fx!$L$55)/1000),0))</f>
        <v>0</v>
      </c>
      <c r="AJ48" s="207">
        <f>X48*W48*Alukset_fx!$K$61/1000</f>
        <v>0</v>
      </c>
      <c r="AK48">
        <v>0</v>
      </c>
      <c r="AL48" s="207">
        <f>IF(AG48="Käytetty",0,IF(AC48="MSD",((V48*Alukset_fx!$O$25)*Alukset_Käynnit_Lask!O48*(Alukset_fx!$L$52)/1000),IF(AC48="HSD",((V48*Alukset_fx!$O$25)*Alukset_Käynnit_Lask!O48*(Alukset_fx!$L$55)/1000),0)))</f>
        <v>0</v>
      </c>
      <c r="AM48" s="207">
        <f>IF(AG48="Käytetty",0,Y48*O48*Alukset_fx!$K$61/1000)</f>
        <v>0</v>
      </c>
      <c r="AN48" s="213">
        <f t="shared" si="10"/>
        <v>0</v>
      </c>
    </row>
    <row r="49" spans="1:40" x14ac:dyDescent="0.25">
      <c r="A49" s="203">
        <f>Alukset_Käynnit!A56</f>
        <v>0</v>
      </c>
      <c r="B49" s="203">
        <f>Alukset_Käynnit!B56</f>
        <v>0</v>
      </c>
      <c r="C49" s="262">
        <f>Alukset_Käynnit!C56</f>
        <v>0</v>
      </c>
      <c r="D49" s="266">
        <f>Alukset_Käynnit!D56</f>
        <v>0</v>
      </c>
      <c r="E49" s="262">
        <f>Alukset_Käynnit!E56</f>
        <v>0</v>
      </c>
      <c r="F49" s="262">
        <f>Alukset_Käynnit!F56</f>
        <v>0</v>
      </c>
      <c r="G49" s="262">
        <f>Alukset_Käynnit!G56</f>
        <v>0</v>
      </c>
      <c r="H49" s="262">
        <f>Alukset_Käynnit!H56</f>
        <v>0</v>
      </c>
      <c r="I49" s="262">
        <f>Alukset_Käynnit!I56</f>
        <v>0</v>
      </c>
      <c r="J49" s="262">
        <f>Alukset_Käynnit!J56</f>
        <v>0</v>
      </c>
      <c r="K49" s="262">
        <f>Alukset_Käynnit!K56</f>
        <v>0</v>
      </c>
      <c r="L49" s="205">
        <f>Alukset_Käynnit!L56</f>
        <v>0</v>
      </c>
      <c r="N49" s="273">
        <f t="shared" si="12"/>
        <v>0</v>
      </c>
      <c r="O49" s="274">
        <f t="shared" si="11"/>
        <v>0</v>
      </c>
      <c r="P49" s="202"/>
      <c r="Q49" s="204">
        <f t="shared" si="1"/>
        <v>0</v>
      </c>
      <c r="R49" s="202">
        <f>IF(Q49="Other dry cargo",L49*Alukset_fx!$B$71,IF(OR(Q49="Dry bulk",Q49="Bulk carrier"),L49*Alukset_fx!$B$69,IF(Q49="Tugboat",L49*Alukset_fx!$B$76,IF(OR(Q49="Tanker",Q49="Gas tanker",Q49="Chemical tanker",Q49="Oil tanker"),L49*Alukset_fx!$B$68,IF(OR(Q49="RoRo",Q49="Vehicle carrier"),L49*Alukset_fx!$B$72,IF(Q49="RoPax",L49*Alukset_fx!$B$73,IF(Q49="Container ship",L49*Alukset_fx!$B$70,IF(Q49="Barge",0,L49*Alukset_fx!$B$75))))))))</f>
        <v>0</v>
      </c>
      <c r="S49" s="210">
        <f>IF(L49=0,IF(Q49="Other dry cargo",Alukset_fx!$H$73*(Alukset_Käynnit_Lask!K49^Alukset_fx!$I$73),IF(OR(Q49="Dry Bulk",Q49="Bulk carrier"),Alukset_fx!$H$71*(Alukset_Käynnit_Lask!K49^Alukset_fx!$I$71),IF(Q49="Tugboat",Alukset_fx!$H$78*(Alukset_Käynnit_Lask!K49^Alukset_fx!$I$78),IF(OR(Q49="Tanker",Q49="Gas tanker",Q49="Chemical tanker",Q49="Oil tanker"),Alukset_fx!$H$70*(Alukset_Käynnit_Lask!K49^Alukset_fx!$I$70),IF(Q49="Container ship",Alukset_fx!$H$72*(Alukset_Käynnit_Lask!K49^Alukset_fx!$I$72),IF(Q49="Barge",0,IF(Q49="RoPax",Alukset_fx!$H$75*(Alukset_Käynnit_Lask!K49^Alukset_fx!$I$75),IF(OR(Q49="RoRo",Q49="Vehicle carrier"),Alukset_fx!$H$74*(Alukset_Käynnit_Lask!K49^Alukset_fx!$I$74),Alukset_fx!$H$77*(Alukset_Käynnit_Lask!K49^Alukset_fx!$I$77))))))))),"-")</f>
        <v>0</v>
      </c>
      <c r="T49" s="208">
        <f>IF(R49=0,IF(Q49="Other dry cargo",S49*Alukset_fx!$B$71,IF(OR(Q49="Dry bulk",Q49="Bulk carrier"),S49*Alukset_fx!$B$69,IF(Q49="Tugboat",S49*Alukset_fx!$B$76,IF(OR(Q49="Tanker",Q49="Gas tanker",Q49="Chemical tanker",Q49="Oil tanker"),S49*Alukset_fx!$B$68,IF(OR(Q49="RoRo",Q49="Vehicle carrier"),S49*Alukset_fx!$B$72,IF(Q49="RoPax",S49*Alukset_fx!$B$73,IF(Q49="Container ship",S49*Alukset_fx!$B$70,S49*Alukset_fx!$B$75))))))),"-")</f>
        <v>0</v>
      </c>
      <c r="U49" s="208">
        <f t="shared" si="2"/>
        <v>0</v>
      </c>
      <c r="V49" s="208">
        <f t="shared" si="3"/>
        <v>0</v>
      </c>
      <c r="W49" s="202">
        <f>Alukset_Käynnit!N56</f>
        <v>0</v>
      </c>
      <c r="X49" s="211">
        <f>IF(Q49="Other dry cargo", Alukset_fx!$C$52, IF(OR(Q49="Dry bulk",Q49="Bulk carrier"),Alukset_fx!$C$35,IF(OR(Q49="Tanker",Q49="Gas tanker",Q49="Oil tanker"),Alukset_fx!$C$57,IF(Q49="Chemical tanker",Alukset_fx!$C$56,IF(OR(Q49="Tugboat",Q49="Barge"),0,IF(Q49="Other vessel",Alukset_fx!$C$54,IF(Q49="Container ship",Alukset_fx!$C$37,IF(OR(Q49="RoPax",Q49="RoRo",Q49="Vehicle carrier"),Alukset_fx!$C$55,0))))))))</f>
        <v>0</v>
      </c>
      <c r="Y49" s="211">
        <f>IF(Q49="Other dry cargo", Alukset_fx!$Q$52, IF(OR(Q49="Dry bulk",Q49="Bulk carrier"),Alukset_fx!$Q$35,IF(OR(Q49="Tanker",Q49="Gas tanker",Q49="Oil tanker"),Alukset_fx!$Q$57,IF(Q49="Chemical tanker",Alukset_fx!$Q$56,IF(OR(Q49="Tugboat",Q49="Barge"),0,IF(Q49="Other vessel",Alukset_fx!$Q$54,IF(Q49="Container ship",Alukset_fx!$Q$37,IF(OR(Q49="RoPax",Q49="RoRo",Q49="Vehicle carrier"),Alukset_fx!$Q$55,0))))))))</f>
        <v>0</v>
      </c>
      <c r="Z49" t="str">
        <f t="shared" si="4"/>
        <v>MDO/MGO</v>
      </c>
      <c r="AA49" t="str">
        <f t="shared" si="5"/>
        <v>MSD</v>
      </c>
      <c r="AB49" t="str">
        <f t="shared" si="6"/>
        <v>MDO/MGO</v>
      </c>
      <c r="AC49" t="str">
        <f t="shared" si="7"/>
        <v>MSD</v>
      </c>
      <c r="AD49" t="str">
        <f t="shared" si="8"/>
        <v>MDO/MGO</v>
      </c>
      <c r="AE49" t="str">
        <f t="shared" si="9"/>
        <v>ST</v>
      </c>
      <c r="AG49">
        <f>Alukset_Käynnit!O56</f>
        <v>0</v>
      </c>
      <c r="AH49" s="207">
        <f>IF(AA49="SSD",((U49*Alukset_fx!$B$24)*Alukset_Käynnit_Lask!W49*(Alukset_fx!$K$49)/1000),IF(AA49="MSD",((U49*Alukset_fx!$B$24)*Alukset_Käynnit_Lask!W49*(Alukset_fx!$K$52)/1000),IF(AA49="HSD",((U49*Alukset_fx!$B$24)*Alukset_Käynnit_Lask!W49*(Alukset_fx!$K$55)/1000),0)))</f>
        <v>0</v>
      </c>
      <c r="AI49" s="207">
        <f>IF(AC49="MSD",((V49*Alukset_fx!$B$25)*Alukset_Käynnit_Lask!W49*(Alukset_fx!$L$52)/1000),IF(AC49="HSD",((V49*Alukset_fx!$B$25)*Alukset_Käynnit_Lask!W49*(Alukset_fx!$L$55)/1000),0))</f>
        <v>0</v>
      </c>
      <c r="AJ49" s="207">
        <f>X49*W49*Alukset_fx!$K$61/1000</f>
        <v>0</v>
      </c>
      <c r="AK49">
        <v>0</v>
      </c>
      <c r="AL49" s="207">
        <f>IF(AG49="Käytetty",0,IF(AC49="MSD",((V49*Alukset_fx!$O$25)*Alukset_Käynnit_Lask!O49*(Alukset_fx!$L$52)/1000),IF(AC49="HSD",((V49*Alukset_fx!$O$25)*Alukset_Käynnit_Lask!O49*(Alukset_fx!$L$55)/1000),0)))</f>
        <v>0</v>
      </c>
      <c r="AM49" s="207">
        <f>IF(AG49="Käytetty",0,Y49*O49*Alukset_fx!$K$61/1000)</f>
        <v>0</v>
      </c>
      <c r="AN49" s="213">
        <f t="shared" si="10"/>
        <v>0</v>
      </c>
    </row>
    <row r="50" spans="1:40" x14ac:dyDescent="0.25">
      <c r="A50" s="203">
        <f>Alukset_Käynnit!A57</f>
        <v>0</v>
      </c>
      <c r="B50" s="203">
        <f>Alukset_Käynnit!B57</f>
        <v>0</v>
      </c>
      <c r="C50" s="262">
        <f>Alukset_Käynnit!C57</f>
        <v>0</v>
      </c>
      <c r="D50" s="266">
        <f>Alukset_Käynnit!D57</f>
        <v>0</v>
      </c>
      <c r="E50" s="262">
        <f>Alukset_Käynnit!E57</f>
        <v>0</v>
      </c>
      <c r="F50" s="262">
        <f>Alukset_Käynnit!F57</f>
        <v>0</v>
      </c>
      <c r="G50" s="262">
        <f>Alukset_Käynnit!G57</f>
        <v>0</v>
      </c>
      <c r="H50" s="262">
        <f>Alukset_Käynnit!H57</f>
        <v>0</v>
      </c>
      <c r="I50" s="262">
        <f>Alukset_Käynnit!I57</f>
        <v>0</v>
      </c>
      <c r="J50" s="262">
        <f>Alukset_Käynnit!J57</f>
        <v>0</v>
      </c>
      <c r="K50" s="262">
        <f>Alukset_Käynnit!K57</f>
        <v>0</v>
      </c>
      <c r="L50" s="205">
        <f>Alukset_Käynnit!L57</f>
        <v>0</v>
      </c>
      <c r="N50" s="273">
        <f t="shared" si="12"/>
        <v>0</v>
      </c>
      <c r="O50" s="274">
        <f t="shared" si="11"/>
        <v>0</v>
      </c>
      <c r="P50" s="202"/>
      <c r="Q50" s="204">
        <f t="shared" si="1"/>
        <v>0</v>
      </c>
      <c r="R50" s="202">
        <f>IF(Q50="Other dry cargo",L50*Alukset_fx!$B$71,IF(OR(Q50="Dry bulk",Q50="Bulk carrier"),L50*Alukset_fx!$B$69,IF(Q50="Tugboat",L50*Alukset_fx!$B$76,IF(OR(Q50="Tanker",Q50="Gas tanker",Q50="Chemical tanker",Q50="Oil tanker"),L50*Alukset_fx!$B$68,IF(OR(Q50="RoRo",Q50="Vehicle carrier"),L50*Alukset_fx!$B$72,IF(Q50="RoPax",L50*Alukset_fx!$B$73,IF(Q50="Container ship",L50*Alukset_fx!$B$70,IF(Q50="Barge",0,L50*Alukset_fx!$B$75))))))))</f>
        <v>0</v>
      </c>
      <c r="S50" s="210">
        <f>IF(L50=0,IF(Q50="Other dry cargo",Alukset_fx!$H$73*(Alukset_Käynnit_Lask!K50^Alukset_fx!$I$73),IF(OR(Q50="Dry Bulk",Q50="Bulk carrier"),Alukset_fx!$H$71*(Alukset_Käynnit_Lask!K50^Alukset_fx!$I$71),IF(Q50="Tugboat",Alukset_fx!$H$78*(Alukset_Käynnit_Lask!K50^Alukset_fx!$I$78),IF(OR(Q50="Tanker",Q50="Gas tanker",Q50="Chemical tanker",Q50="Oil tanker"),Alukset_fx!$H$70*(Alukset_Käynnit_Lask!K50^Alukset_fx!$I$70),IF(Q50="Container ship",Alukset_fx!$H$72*(Alukset_Käynnit_Lask!K50^Alukset_fx!$I$72),IF(Q50="Barge",0,IF(Q50="RoPax",Alukset_fx!$H$75*(Alukset_Käynnit_Lask!K50^Alukset_fx!$I$75),IF(OR(Q50="RoRo",Q50="Vehicle carrier"),Alukset_fx!$H$74*(Alukset_Käynnit_Lask!K50^Alukset_fx!$I$74),Alukset_fx!$H$77*(Alukset_Käynnit_Lask!K50^Alukset_fx!$I$77))))))))),"-")</f>
        <v>0</v>
      </c>
      <c r="T50" s="208">
        <f>IF(R50=0,IF(Q50="Other dry cargo",S50*Alukset_fx!$B$71,IF(OR(Q50="Dry bulk",Q50="Bulk carrier"),S50*Alukset_fx!$B$69,IF(Q50="Tugboat",S50*Alukset_fx!$B$76,IF(OR(Q50="Tanker",Q50="Gas tanker",Q50="Chemical tanker",Q50="Oil tanker"),S50*Alukset_fx!$B$68,IF(OR(Q50="RoRo",Q50="Vehicle carrier"),S50*Alukset_fx!$B$72,IF(Q50="RoPax",S50*Alukset_fx!$B$73,IF(Q50="Container ship",S50*Alukset_fx!$B$70,S50*Alukset_fx!$B$75))))))),"-")</f>
        <v>0</v>
      </c>
      <c r="U50" s="208">
        <f t="shared" si="2"/>
        <v>0</v>
      </c>
      <c r="V50" s="208">
        <f t="shared" si="3"/>
        <v>0</v>
      </c>
      <c r="W50" s="202">
        <f>Alukset_Käynnit!N57</f>
        <v>0</v>
      </c>
      <c r="X50" s="211">
        <f>IF(Q50="Other dry cargo", Alukset_fx!$C$52, IF(OR(Q50="Dry bulk",Q50="Bulk carrier"),Alukset_fx!$C$35,IF(OR(Q50="Tanker",Q50="Gas tanker",Q50="Oil tanker"),Alukset_fx!$C$57,IF(Q50="Chemical tanker",Alukset_fx!$C$56,IF(OR(Q50="Tugboat",Q50="Barge"),0,IF(Q50="Other vessel",Alukset_fx!$C$54,IF(Q50="Container ship",Alukset_fx!$C$37,IF(OR(Q50="RoPax",Q50="RoRo",Q50="Vehicle carrier"),Alukset_fx!$C$55,0))))))))</f>
        <v>0</v>
      </c>
      <c r="Y50" s="211">
        <f>IF(Q50="Other dry cargo", Alukset_fx!$Q$52, IF(OR(Q50="Dry bulk",Q50="Bulk carrier"),Alukset_fx!$Q$35,IF(OR(Q50="Tanker",Q50="Gas tanker",Q50="Oil tanker"),Alukset_fx!$Q$57,IF(Q50="Chemical tanker",Alukset_fx!$Q$56,IF(OR(Q50="Tugboat",Q50="Barge"),0,IF(Q50="Other vessel",Alukset_fx!$Q$54,IF(Q50="Container ship",Alukset_fx!$Q$37,IF(OR(Q50="RoPax",Q50="RoRo",Q50="Vehicle carrier"),Alukset_fx!$Q$55,0))))))))</f>
        <v>0</v>
      </c>
      <c r="Z50" t="str">
        <f t="shared" si="4"/>
        <v>MDO/MGO</v>
      </c>
      <c r="AA50" t="str">
        <f t="shared" si="5"/>
        <v>MSD</v>
      </c>
      <c r="AB50" t="str">
        <f t="shared" si="6"/>
        <v>MDO/MGO</v>
      </c>
      <c r="AC50" t="str">
        <f t="shared" si="7"/>
        <v>MSD</v>
      </c>
      <c r="AD50" t="str">
        <f t="shared" si="8"/>
        <v>MDO/MGO</v>
      </c>
      <c r="AE50" t="str">
        <f t="shared" si="9"/>
        <v>ST</v>
      </c>
      <c r="AG50">
        <f>Alukset_Käynnit!O57</f>
        <v>0</v>
      </c>
      <c r="AH50" s="207">
        <f>IF(AA50="SSD",((U50*Alukset_fx!$B$24)*Alukset_Käynnit_Lask!W50*(Alukset_fx!$K$49)/1000),IF(AA50="MSD",((U50*Alukset_fx!$B$24)*Alukset_Käynnit_Lask!W50*(Alukset_fx!$K$52)/1000),IF(AA50="HSD",((U50*Alukset_fx!$B$24)*Alukset_Käynnit_Lask!W50*(Alukset_fx!$K$55)/1000),0)))</f>
        <v>0</v>
      </c>
      <c r="AI50" s="207">
        <f>IF(AC50="MSD",((V50*Alukset_fx!$B$25)*Alukset_Käynnit_Lask!W50*(Alukset_fx!$L$52)/1000),IF(AC50="HSD",((V50*Alukset_fx!$B$25)*Alukset_Käynnit_Lask!W50*(Alukset_fx!$L$55)/1000),0))</f>
        <v>0</v>
      </c>
      <c r="AJ50" s="207">
        <f>X50*W50*Alukset_fx!$K$61/1000</f>
        <v>0</v>
      </c>
      <c r="AK50">
        <v>0</v>
      </c>
      <c r="AL50" s="207">
        <f>IF(AG50="Käytetty",0,IF(AC50="MSD",((V50*Alukset_fx!$O$25)*Alukset_Käynnit_Lask!O50*(Alukset_fx!$L$52)/1000),IF(AC50="HSD",((V50*Alukset_fx!$O$25)*Alukset_Käynnit_Lask!O50*(Alukset_fx!$L$55)/1000),0)))</f>
        <v>0</v>
      </c>
      <c r="AM50" s="207">
        <f>IF(AG50="Käytetty",0,Y50*O50*Alukset_fx!$K$61/1000)</f>
        <v>0</v>
      </c>
      <c r="AN50" s="213">
        <f t="shared" si="10"/>
        <v>0</v>
      </c>
    </row>
    <row r="51" spans="1:40" x14ac:dyDescent="0.25">
      <c r="A51" s="203">
        <f>Alukset_Käynnit!A58</f>
        <v>0</v>
      </c>
      <c r="B51" s="203">
        <f>Alukset_Käynnit!B58</f>
        <v>0</v>
      </c>
      <c r="C51" s="262">
        <f>Alukset_Käynnit!C58</f>
        <v>0</v>
      </c>
      <c r="D51" s="266">
        <f>Alukset_Käynnit!D58</f>
        <v>0</v>
      </c>
      <c r="E51" s="262">
        <f>Alukset_Käynnit!E58</f>
        <v>0</v>
      </c>
      <c r="F51" s="262">
        <f>Alukset_Käynnit!F58</f>
        <v>0</v>
      </c>
      <c r="G51" s="262">
        <f>Alukset_Käynnit!G58</f>
        <v>0</v>
      </c>
      <c r="H51" s="262">
        <f>Alukset_Käynnit!H58</f>
        <v>0</v>
      </c>
      <c r="I51" s="262">
        <f>Alukset_Käynnit!I58</f>
        <v>0</v>
      </c>
      <c r="J51" s="262">
        <f>Alukset_Käynnit!J58</f>
        <v>0</v>
      </c>
      <c r="K51" s="262">
        <f>Alukset_Käynnit!K58</f>
        <v>0</v>
      </c>
      <c r="L51" s="205">
        <f>Alukset_Käynnit!L58</f>
        <v>0</v>
      </c>
      <c r="N51" s="275">
        <f t="shared" si="12"/>
        <v>0</v>
      </c>
      <c r="O51" s="276">
        <f t="shared" si="11"/>
        <v>0</v>
      </c>
      <c r="P51" s="202"/>
      <c r="Q51" s="204">
        <f t="shared" si="1"/>
        <v>0</v>
      </c>
      <c r="R51" s="202">
        <f>IF(Q51="Other dry cargo",L51*Alukset_fx!$B$71,IF(OR(Q51="Dry bulk",Q51="Bulk carrier"),L51*Alukset_fx!$B$69,IF(Q51="Tugboat",L51*Alukset_fx!$B$76,IF(OR(Q51="Tanker",Q51="Gas tanker",Q51="Chemical tanker",Q51="Oil tanker"),L51*Alukset_fx!$B$68,IF(OR(Q51="RoRo",Q51="Vehicle carrier"),L51*Alukset_fx!$B$72,IF(Q51="RoPax",L51*Alukset_fx!$B$73,IF(Q51="Container ship",L51*Alukset_fx!$B$70,IF(Q51="Barge",0,L51*Alukset_fx!$B$75))))))))</f>
        <v>0</v>
      </c>
      <c r="S51" s="210">
        <f>IF(L51=0,IF(Q51="Other dry cargo",Alukset_fx!$H$73*(Alukset_Käynnit_Lask!K51^Alukset_fx!$I$73),IF(OR(Q51="Dry Bulk",Q51="Bulk carrier"),Alukset_fx!$H$71*(Alukset_Käynnit_Lask!K51^Alukset_fx!$I$71),IF(Q51="Tugboat",Alukset_fx!$H$78*(Alukset_Käynnit_Lask!K51^Alukset_fx!$I$78),IF(OR(Q51="Tanker",Q51="Gas tanker",Q51="Chemical tanker",Q51="Oil tanker"),Alukset_fx!$H$70*(Alukset_Käynnit_Lask!K51^Alukset_fx!$I$70),IF(Q51="Container ship",Alukset_fx!$H$72*(Alukset_Käynnit_Lask!K51^Alukset_fx!$I$72),IF(Q51="Barge",0,IF(Q51="RoPax",Alukset_fx!$H$75*(Alukset_Käynnit_Lask!K51^Alukset_fx!$I$75),IF(OR(Q51="RoRo",Q51="Vehicle carrier"),Alukset_fx!$H$74*(Alukset_Käynnit_Lask!K51^Alukset_fx!$I$74),Alukset_fx!$H$77*(Alukset_Käynnit_Lask!K51^Alukset_fx!$I$77))))))))),"-")</f>
        <v>0</v>
      </c>
      <c r="T51" s="208">
        <f>IF(R51=0,IF(Q51="Other dry cargo",S51*Alukset_fx!$B$71,IF(OR(Q51="Dry bulk",Q51="Bulk carrier"),S51*Alukset_fx!$B$69,IF(Q51="Tugboat",S51*Alukset_fx!$B$76,IF(OR(Q51="Tanker",Q51="Gas tanker",Q51="Chemical tanker",Q51="Oil tanker"),S51*Alukset_fx!$B$68,IF(OR(Q51="RoRo",Q51="Vehicle carrier"),S51*Alukset_fx!$B$72,IF(Q51="RoPax",S51*Alukset_fx!$B$73,IF(Q51="Container ship",S51*Alukset_fx!$B$70,S51*Alukset_fx!$B$75))))))),"-")</f>
        <v>0</v>
      </c>
      <c r="U51" s="208">
        <f t="shared" si="2"/>
        <v>0</v>
      </c>
      <c r="V51" s="208">
        <f t="shared" si="3"/>
        <v>0</v>
      </c>
      <c r="W51" s="202">
        <f>Alukset_Käynnit!N58</f>
        <v>0</v>
      </c>
      <c r="X51" s="211">
        <f>IF(Q51="Other dry cargo", Alukset_fx!$C$52, IF(OR(Q51="Dry bulk",Q51="Bulk carrier"),Alukset_fx!$C$35,IF(OR(Q51="Tanker",Q51="Gas tanker",Q51="Oil tanker"),Alukset_fx!$C$57,IF(Q51="Chemical tanker",Alukset_fx!$C$56,IF(OR(Q51="Tugboat",Q51="Barge"),0,IF(Q51="Other vessel",Alukset_fx!$C$54,IF(Q51="Container ship",Alukset_fx!$C$37,IF(OR(Q51="RoPax",Q51="RoRo",Q51="Vehicle carrier"),Alukset_fx!$C$55,0))))))))</f>
        <v>0</v>
      </c>
      <c r="Y51" s="211">
        <f>IF(Q51="Other dry cargo", Alukset_fx!$Q$52, IF(OR(Q51="Dry bulk",Q51="Bulk carrier"),Alukset_fx!$Q$35,IF(OR(Q51="Tanker",Q51="Gas tanker",Q51="Oil tanker"),Alukset_fx!$Q$57,IF(Q51="Chemical tanker",Alukset_fx!$Q$56,IF(OR(Q51="Tugboat",Q51="Barge"),0,IF(Q51="Other vessel",Alukset_fx!$Q$54,IF(Q51="Container ship",Alukset_fx!$Q$37,IF(OR(Q51="RoPax",Q51="RoRo",Q51="Vehicle carrier"),Alukset_fx!$Q$55,0))))))))</f>
        <v>0</v>
      </c>
      <c r="Z51" t="str">
        <f t="shared" si="4"/>
        <v>MDO/MGO</v>
      </c>
      <c r="AA51" t="str">
        <f t="shared" si="5"/>
        <v>MSD</v>
      </c>
      <c r="AB51" t="str">
        <f t="shared" si="6"/>
        <v>MDO/MGO</v>
      </c>
      <c r="AC51" t="str">
        <f t="shared" si="7"/>
        <v>MSD</v>
      </c>
      <c r="AD51" t="str">
        <f t="shared" si="8"/>
        <v>MDO/MGO</v>
      </c>
      <c r="AE51" t="str">
        <f t="shared" si="9"/>
        <v>ST</v>
      </c>
      <c r="AG51">
        <f>Alukset_Käynnit!O58</f>
        <v>0</v>
      </c>
      <c r="AH51" s="207">
        <f>IF(AA51="SSD",((U51*Alukset_fx!$B$24)*Alukset_Käynnit_Lask!W51*(Alukset_fx!$K$49)/1000),IF(AA51="MSD",((U51*Alukset_fx!$B$24)*Alukset_Käynnit_Lask!W51*(Alukset_fx!$K$52)/1000),IF(AA51="HSD",((U51*Alukset_fx!$B$24)*Alukset_Käynnit_Lask!W51*(Alukset_fx!$K$55)/1000),0)))</f>
        <v>0</v>
      </c>
      <c r="AI51" s="207">
        <f>IF(AC51="MSD",((V51*Alukset_fx!$B$25)*Alukset_Käynnit_Lask!W51*(Alukset_fx!$L$52)/1000),IF(AC51="HSD",((V51*Alukset_fx!$B$25)*Alukset_Käynnit_Lask!W51*(Alukset_fx!$L$55)/1000),0))</f>
        <v>0</v>
      </c>
      <c r="AJ51" s="207">
        <f>X51*W51*Alukset_fx!$K$61/1000</f>
        <v>0</v>
      </c>
      <c r="AK51">
        <v>0</v>
      </c>
      <c r="AL51" s="207">
        <f>IF(AG51="Käytetty",0,IF(AC51="MSD",((V51*Alukset_fx!$O$25)*Alukset_Käynnit_Lask!O51*(Alukset_fx!$L$52)/1000),IF(AC51="HSD",((V51*Alukset_fx!$O$25)*Alukset_Käynnit_Lask!O51*(Alukset_fx!$L$55)/1000),0)))</f>
        <v>0</v>
      </c>
      <c r="AM51" s="207">
        <f>IF(AG51="Käytetty",0,Y51*O51*Alukset_fx!$K$61/1000)</f>
        <v>0</v>
      </c>
      <c r="AN51" s="213">
        <f t="shared" si="10"/>
        <v>0</v>
      </c>
    </row>
    <row r="52" spans="1:40" x14ac:dyDescent="0.25">
      <c r="A52" s="203">
        <f>Alukset_Käynnit!A59</f>
        <v>0</v>
      </c>
      <c r="B52" s="203">
        <f>Alukset_Käynnit!B59</f>
        <v>0</v>
      </c>
      <c r="C52" s="262">
        <f>Alukset_Käynnit!C59</f>
        <v>0</v>
      </c>
      <c r="D52" s="266">
        <f>Alukset_Käynnit!D59</f>
        <v>0</v>
      </c>
      <c r="E52" s="262">
        <f>Alukset_Käynnit!E59</f>
        <v>0</v>
      </c>
      <c r="F52" s="262">
        <f>Alukset_Käynnit!F59</f>
        <v>0</v>
      </c>
      <c r="G52" s="262">
        <f>Alukset_Käynnit!G59</f>
        <v>0</v>
      </c>
      <c r="H52" s="262">
        <f>Alukset_Käynnit!H59</f>
        <v>0</v>
      </c>
      <c r="I52" s="262">
        <f>Alukset_Käynnit!I59</f>
        <v>0</v>
      </c>
      <c r="J52" s="262">
        <f>Alukset_Käynnit!J59</f>
        <v>0</v>
      </c>
      <c r="K52" s="262">
        <f>Alukset_Käynnit!K59</f>
        <v>0</v>
      </c>
      <c r="L52" s="205">
        <f>Alukset_Käynnit!L59</f>
        <v>0</v>
      </c>
      <c r="N52" s="273">
        <f t="shared" si="12"/>
        <v>0</v>
      </c>
      <c r="O52" s="274">
        <f t="shared" si="11"/>
        <v>0</v>
      </c>
      <c r="P52" s="202"/>
      <c r="Q52" s="204">
        <f t="shared" si="1"/>
        <v>0</v>
      </c>
      <c r="R52" s="202">
        <f>IF(Q52="Other dry cargo",L52*Alukset_fx!$B$71,IF(OR(Q52="Dry bulk",Q52="Bulk carrier"),L52*Alukset_fx!$B$69,IF(Q52="Tugboat",L52*Alukset_fx!$B$76,IF(OR(Q52="Tanker",Q52="Gas tanker",Q52="Chemical tanker",Q52="Oil tanker"),L52*Alukset_fx!$B$68,IF(OR(Q52="RoRo",Q52="Vehicle carrier"),L52*Alukset_fx!$B$72,IF(Q52="RoPax",L52*Alukset_fx!$B$73,IF(Q52="Container ship",L52*Alukset_fx!$B$70,IF(Q52="Barge",0,L52*Alukset_fx!$B$75))))))))</f>
        <v>0</v>
      </c>
      <c r="S52" s="210">
        <f>IF(L52=0,IF(Q52="Other dry cargo",Alukset_fx!$H$73*(Alukset_Käynnit_Lask!K52^Alukset_fx!$I$73),IF(OR(Q52="Dry Bulk",Q52="Bulk carrier"),Alukset_fx!$H$71*(Alukset_Käynnit_Lask!K52^Alukset_fx!$I$71),IF(Q52="Tugboat",Alukset_fx!$H$78*(Alukset_Käynnit_Lask!K52^Alukset_fx!$I$78),IF(OR(Q52="Tanker",Q52="Gas tanker",Q52="Chemical tanker",Q52="Oil tanker"),Alukset_fx!$H$70*(Alukset_Käynnit_Lask!K52^Alukset_fx!$I$70),IF(Q52="Container ship",Alukset_fx!$H$72*(Alukset_Käynnit_Lask!K52^Alukset_fx!$I$72),IF(Q52="Barge",0,IF(Q52="RoPax",Alukset_fx!$H$75*(Alukset_Käynnit_Lask!K52^Alukset_fx!$I$75),IF(OR(Q52="RoRo",Q52="Vehicle carrier"),Alukset_fx!$H$74*(Alukset_Käynnit_Lask!K52^Alukset_fx!$I$74),Alukset_fx!$H$77*(Alukset_Käynnit_Lask!K52^Alukset_fx!$I$77))))))))),"-")</f>
        <v>0</v>
      </c>
      <c r="T52" s="208">
        <f>IF(R52=0,IF(Q52="Other dry cargo",S52*Alukset_fx!$B$71,IF(OR(Q52="Dry bulk",Q52="Bulk carrier"),S52*Alukset_fx!$B$69,IF(Q52="Tugboat",S52*Alukset_fx!$B$76,IF(OR(Q52="Tanker",Q52="Gas tanker",Q52="Chemical tanker",Q52="Oil tanker"),S52*Alukset_fx!$B$68,IF(OR(Q52="RoRo",Q52="Vehicle carrier"),S52*Alukset_fx!$B$72,IF(Q52="RoPax",S52*Alukset_fx!$B$73,IF(Q52="Container ship",S52*Alukset_fx!$B$70,S52*Alukset_fx!$B$75))))))),"-")</f>
        <v>0</v>
      </c>
      <c r="U52" s="208">
        <f t="shared" si="2"/>
        <v>0</v>
      </c>
      <c r="V52" s="208">
        <f t="shared" si="3"/>
        <v>0</v>
      </c>
      <c r="W52" s="202">
        <f>Alukset_Käynnit!N59</f>
        <v>0</v>
      </c>
      <c r="X52" s="211">
        <f>IF(Q52="Other dry cargo", Alukset_fx!$C$52, IF(OR(Q52="Dry bulk",Q52="Bulk carrier"),Alukset_fx!$C$35,IF(OR(Q52="Tanker",Q52="Gas tanker",Q52="Oil tanker"),Alukset_fx!$C$57,IF(Q52="Chemical tanker",Alukset_fx!$C$56,IF(OR(Q52="Tugboat",Q52="Barge"),0,IF(Q52="Other vessel",Alukset_fx!$C$54,IF(Q52="Container ship",Alukset_fx!$C$37,IF(OR(Q52="RoPax",Q52="RoRo",Q52="Vehicle carrier"),Alukset_fx!$C$55,0))))))))</f>
        <v>0</v>
      </c>
      <c r="Y52" s="211">
        <f>IF(Q52="Other dry cargo", Alukset_fx!$Q$52, IF(OR(Q52="Dry bulk",Q52="Bulk carrier"),Alukset_fx!$Q$35,IF(OR(Q52="Tanker",Q52="Gas tanker",Q52="Oil tanker"),Alukset_fx!$Q$57,IF(Q52="Chemical tanker",Alukset_fx!$Q$56,IF(OR(Q52="Tugboat",Q52="Barge"),0,IF(Q52="Other vessel",Alukset_fx!$Q$54,IF(Q52="Container ship",Alukset_fx!$Q$37,IF(OR(Q52="RoPax",Q52="RoRo",Q52="Vehicle carrier"),Alukset_fx!$Q$55,0))))))))</f>
        <v>0</v>
      </c>
      <c r="Z52" t="str">
        <f t="shared" si="4"/>
        <v>MDO/MGO</v>
      </c>
      <c r="AA52" t="str">
        <f t="shared" si="5"/>
        <v>MSD</v>
      </c>
      <c r="AB52" t="str">
        <f t="shared" si="6"/>
        <v>MDO/MGO</v>
      </c>
      <c r="AC52" t="str">
        <f t="shared" si="7"/>
        <v>MSD</v>
      </c>
      <c r="AD52" t="str">
        <f t="shared" si="8"/>
        <v>MDO/MGO</v>
      </c>
      <c r="AE52" t="str">
        <f t="shared" si="9"/>
        <v>ST</v>
      </c>
      <c r="AG52">
        <f>Alukset_Käynnit!O59</f>
        <v>0</v>
      </c>
      <c r="AH52" s="207">
        <f>IF(AA52="SSD",((U52*Alukset_fx!$B$24)*Alukset_Käynnit_Lask!W52*(Alukset_fx!$K$49)/1000),IF(AA52="MSD",((U52*Alukset_fx!$B$24)*Alukset_Käynnit_Lask!W52*(Alukset_fx!$K$52)/1000),IF(AA52="HSD",((U52*Alukset_fx!$B$24)*Alukset_Käynnit_Lask!W52*(Alukset_fx!$K$55)/1000),0)))</f>
        <v>0</v>
      </c>
      <c r="AI52" s="207">
        <f>IF(AC52="MSD",((V52*Alukset_fx!$B$25)*Alukset_Käynnit_Lask!W52*(Alukset_fx!$L$52)/1000),IF(AC52="HSD",((V52*Alukset_fx!$B$25)*Alukset_Käynnit_Lask!W52*(Alukset_fx!$L$55)/1000),0))</f>
        <v>0</v>
      </c>
      <c r="AJ52" s="207">
        <f>X52*W52*Alukset_fx!$K$61/1000</f>
        <v>0</v>
      </c>
      <c r="AK52">
        <v>0</v>
      </c>
      <c r="AL52" s="207">
        <f>IF(AG52="Käytetty",0,IF(AC52="MSD",((V52*Alukset_fx!$O$25)*Alukset_Käynnit_Lask!O52*(Alukset_fx!$L$52)/1000),IF(AC52="HSD",((V52*Alukset_fx!$O$25)*Alukset_Käynnit_Lask!O52*(Alukset_fx!$L$55)/1000),0)))</f>
        <v>0</v>
      </c>
      <c r="AM52" s="207">
        <f>IF(AG52="Käytetty",0,Y52*O52*Alukset_fx!$K$61/1000)</f>
        <v>0</v>
      </c>
      <c r="AN52" s="213">
        <f t="shared" si="10"/>
        <v>0</v>
      </c>
    </row>
    <row r="53" spans="1:40" x14ac:dyDescent="0.25">
      <c r="A53" s="203">
        <f>Alukset_Käynnit!A60</f>
        <v>0</v>
      </c>
      <c r="B53" s="203">
        <f>Alukset_Käynnit!B60</f>
        <v>0</v>
      </c>
      <c r="C53" s="262">
        <f>Alukset_Käynnit!C60</f>
        <v>0</v>
      </c>
      <c r="D53" s="266">
        <f>Alukset_Käynnit!D60</f>
        <v>0</v>
      </c>
      <c r="E53" s="262">
        <f>Alukset_Käynnit!E60</f>
        <v>0</v>
      </c>
      <c r="F53" s="262">
        <f>Alukset_Käynnit!F60</f>
        <v>0</v>
      </c>
      <c r="G53" s="262">
        <f>Alukset_Käynnit!G60</f>
        <v>0</v>
      </c>
      <c r="H53" s="262">
        <f>Alukset_Käynnit!H60</f>
        <v>0</v>
      </c>
      <c r="I53" s="262">
        <f>Alukset_Käynnit!I60</f>
        <v>0</v>
      </c>
      <c r="J53" s="262">
        <f>Alukset_Käynnit!J60</f>
        <v>0</v>
      </c>
      <c r="K53" s="262">
        <f>Alukset_Käynnit!K60</f>
        <v>0</v>
      </c>
      <c r="L53" s="205">
        <f>Alukset_Käynnit!L60</f>
        <v>0</v>
      </c>
      <c r="N53" s="273">
        <f t="shared" si="12"/>
        <v>0</v>
      </c>
      <c r="O53" s="274">
        <f t="shared" si="11"/>
        <v>0</v>
      </c>
      <c r="P53" s="202"/>
      <c r="Q53" s="204">
        <f t="shared" si="1"/>
        <v>0</v>
      </c>
      <c r="R53" s="202">
        <f>IF(Q53="Other dry cargo",L53*Alukset_fx!$B$71,IF(OR(Q53="Dry bulk",Q53="Bulk carrier"),L53*Alukset_fx!$B$69,IF(Q53="Tugboat",L53*Alukset_fx!$B$76,IF(OR(Q53="Tanker",Q53="Gas tanker",Q53="Chemical tanker",Q53="Oil tanker"),L53*Alukset_fx!$B$68,IF(OR(Q53="RoRo",Q53="Vehicle carrier"),L53*Alukset_fx!$B$72,IF(Q53="RoPax",L53*Alukset_fx!$B$73,IF(Q53="Container ship",L53*Alukset_fx!$B$70,IF(Q53="Barge",0,L53*Alukset_fx!$B$75))))))))</f>
        <v>0</v>
      </c>
      <c r="S53" s="210">
        <f>IF(L53=0,IF(Q53="Other dry cargo",Alukset_fx!$H$73*(Alukset_Käynnit_Lask!K53^Alukset_fx!$I$73),IF(OR(Q53="Dry Bulk",Q53="Bulk carrier"),Alukset_fx!$H$71*(Alukset_Käynnit_Lask!K53^Alukset_fx!$I$71),IF(Q53="Tugboat",Alukset_fx!$H$78*(Alukset_Käynnit_Lask!K53^Alukset_fx!$I$78),IF(OR(Q53="Tanker",Q53="Gas tanker",Q53="Chemical tanker",Q53="Oil tanker"),Alukset_fx!$H$70*(Alukset_Käynnit_Lask!K53^Alukset_fx!$I$70),IF(Q53="Container ship",Alukset_fx!$H$72*(Alukset_Käynnit_Lask!K53^Alukset_fx!$I$72),IF(Q53="Barge",0,IF(Q53="RoPax",Alukset_fx!$H$75*(Alukset_Käynnit_Lask!K53^Alukset_fx!$I$75),IF(OR(Q53="RoRo",Q53="Vehicle carrier"),Alukset_fx!$H$74*(Alukset_Käynnit_Lask!K53^Alukset_fx!$I$74),Alukset_fx!$H$77*(Alukset_Käynnit_Lask!K53^Alukset_fx!$I$77))))))))),"-")</f>
        <v>0</v>
      </c>
      <c r="T53" s="208">
        <f>IF(R53=0,IF(Q53="Other dry cargo",S53*Alukset_fx!$B$71,IF(OR(Q53="Dry bulk",Q53="Bulk carrier"),S53*Alukset_fx!$B$69,IF(Q53="Tugboat",S53*Alukset_fx!$B$76,IF(OR(Q53="Tanker",Q53="Gas tanker",Q53="Chemical tanker",Q53="Oil tanker"),S53*Alukset_fx!$B$68,IF(OR(Q53="RoRo",Q53="Vehicle carrier"),S53*Alukset_fx!$B$72,IF(Q53="RoPax",S53*Alukset_fx!$B$73,IF(Q53="Container ship",S53*Alukset_fx!$B$70,S53*Alukset_fx!$B$75))))))),"-")</f>
        <v>0</v>
      </c>
      <c r="U53" s="208">
        <f t="shared" si="2"/>
        <v>0</v>
      </c>
      <c r="V53" s="208">
        <f t="shared" si="3"/>
        <v>0</v>
      </c>
      <c r="W53" s="202">
        <f>Alukset_Käynnit!N60</f>
        <v>0</v>
      </c>
      <c r="X53" s="211">
        <f>IF(Q53="Other dry cargo", Alukset_fx!$C$52, IF(OR(Q53="Dry bulk",Q53="Bulk carrier"),Alukset_fx!$C$35,IF(OR(Q53="Tanker",Q53="Gas tanker",Q53="Oil tanker"),Alukset_fx!$C$57,IF(Q53="Chemical tanker",Alukset_fx!$C$56,IF(OR(Q53="Tugboat",Q53="Barge"),0,IF(Q53="Other vessel",Alukset_fx!$C$54,IF(Q53="Container ship",Alukset_fx!$C$37,IF(OR(Q53="RoPax",Q53="RoRo",Q53="Vehicle carrier"),Alukset_fx!$C$55,0))))))))</f>
        <v>0</v>
      </c>
      <c r="Y53" s="211">
        <f>IF(Q53="Other dry cargo", Alukset_fx!$Q$52, IF(OR(Q53="Dry bulk",Q53="Bulk carrier"),Alukset_fx!$Q$35,IF(OR(Q53="Tanker",Q53="Gas tanker",Q53="Oil tanker"),Alukset_fx!$Q$57,IF(Q53="Chemical tanker",Alukset_fx!$Q$56,IF(OR(Q53="Tugboat",Q53="Barge"),0,IF(Q53="Other vessel",Alukset_fx!$Q$54,IF(Q53="Container ship",Alukset_fx!$Q$37,IF(OR(Q53="RoPax",Q53="RoRo",Q53="Vehicle carrier"),Alukset_fx!$Q$55,0))))))))</f>
        <v>0</v>
      </c>
      <c r="Z53" t="str">
        <f t="shared" si="4"/>
        <v>MDO/MGO</v>
      </c>
      <c r="AA53" t="str">
        <f t="shared" si="5"/>
        <v>MSD</v>
      </c>
      <c r="AB53" t="str">
        <f t="shared" si="6"/>
        <v>MDO/MGO</v>
      </c>
      <c r="AC53" t="str">
        <f t="shared" si="7"/>
        <v>MSD</v>
      </c>
      <c r="AD53" t="str">
        <f t="shared" si="8"/>
        <v>MDO/MGO</v>
      </c>
      <c r="AE53" t="str">
        <f t="shared" si="9"/>
        <v>ST</v>
      </c>
      <c r="AG53">
        <f>Alukset_Käynnit!O60</f>
        <v>0</v>
      </c>
      <c r="AH53" s="207">
        <f>IF(AA53="SSD",((U53*Alukset_fx!$B$24)*Alukset_Käynnit_Lask!W53*(Alukset_fx!$K$49)/1000),IF(AA53="MSD",((U53*Alukset_fx!$B$24)*Alukset_Käynnit_Lask!W53*(Alukset_fx!$K$52)/1000),IF(AA53="HSD",((U53*Alukset_fx!$B$24)*Alukset_Käynnit_Lask!W53*(Alukset_fx!$K$55)/1000),0)))</f>
        <v>0</v>
      </c>
      <c r="AI53" s="207">
        <f>IF(AC53="MSD",((V53*Alukset_fx!$B$25)*Alukset_Käynnit_Lask!W53*(Alukset_fx!$L$52)/1000),IF(AC53="HSD",((V53*Alukset_fx!$B$25)*Alukset_Käynnit_Lask!W53*(Alukset_fx!$L$55)/1000),0))</f>
        <v>0</v>
      </c>
      <c r="AJ53" s="207">
        <f>X53*W53*Alukset_fx!$K$61/1000</f>
        <v>0</v>
      </c>
      <c r="AK53">
        <v>0</v>
      </c>
      <c r="AL53" s="207">
        <f>IF(AG53="Käytetty",0,IF(AC53="MSD",((V53*Alukset_fx!$O$25)*Alukset_Käynnit_Lask!O53*(Alukset_fx!$L$52)/1000),IF(AC53="HSD",((V53*Alukset_fx!$O$25)*Alukset_Käynnit_Lask!O53*(Alukset_fx!$L$55)/1000),0)))</f>
        <v>0</v>
      </c>
      <c r="AM53" s="207">
        <f>IF(AG53="Käytetty",0,Y53*O53*Alukset_fx!$K$61/1000)</f>
        <v>0</v>
      </c>
      <c r="AN53" s="213">
        <f t="shared" si="10"/>
        <v>0</v>
      </c>
    </row>
    <row r="54" spans="1:40" x14ac:dyDescent="0.25">
      <c r="A54" s="203">
        <f>Alukset_Käynnit!A61</f>
        <v>0</v>
      </c>
      <c r="B54" s="203">
        <f>Alukset_Käynnit!B61</f>
        <v>0</v>
      </c>
      <c r="C54" s="262">
        <f>Alukset_Käynnit!C61</f>
        <v>0</v>
      </c>
      <c r="D54" s="266">
        <f>Alukset_Käynnit!D61</f>
        <v>0</v>
      </c>
      <c r="E54" s="262">
        <f>Alukset_Käynnit!E61</f>
        <v>0</v>
      </c>
      <c r="F54" s="262">
        <f>Alukset_Käynnit!F61</f>
        <v>0</v>
      </c>
      <c r="G54" s="262">
        <f>Alukset_Käynnit!G61</f>
        <v>0</v>
      </c>
      <c r="H54" s="262">
        <f>Alukset_Käynnit!H61</f>
        <v>0</v>
      </c>
      <c r="I54" s="262">
        <f>Alukset_Käynnit!I61</f>
        <v>0</v>
      </c>
      <c r="J54" s="262">
        <f>Alukset_Käynnit!J61</f>
        <v>0</v>
      </c>
      <c r="K54" s="262">
        <f>Alukset_Käynnit!K61</f>
        <v>0</v>
      </c>
      <c r="L54" s="205">
        <f>Alukset_Käynnit!L61</f>
        <v>0</v>
      </c>
      <c r="N54" s="273">
        <f t="shared" si="12"/>
        <v>0</v>
      </c>
      <c r="O54" s="274">
        <f t="shared" si="11"/>
        <v>0</v>
      </c>
      <c r="P54" s="202"/>
      <c r="Q54" s="204">
        <f t="shared" si="1"/>
        <v>0</v>
      </c>
      <c r="R54" s="202">
        <f>IF(Q54="Other dry cargo",L54*Alukset_fx!$B$71,IF(OR(Q54="Dry bulk",Q54="Bulk carrier"),L54*Alukset_fx!$B$69,IF(Q54="Tugboat",L54*Alukset_fx!$B$76,IF(OR(Q54="Tanker",Q54="Gas tanker",Q54="Chemical tanker",Q54="Oil tanker"),L54*Alukset_fx!$B$68,IF(OR(Q54="RoRo",Q54="Vehicle carrier"),L54*Alukset_fx!$B$72,IF(Q54="RoPax",L54*Alukset_fx!$B$73,IF(Q54="Container ship",L54*Alukset_fx!$B$70,IF(Q54="Barge",0,L54*Alukset_fx!$B$75))))))))</f>
        <v>0</v>
      </c>
      <c r="S54" s="210">
        <f>IF(L54=0,IF(Q54="Other dry cargo",Alukset_fx!$H$73*(Alukset_Käynnit_Lask!K54^Alukset_fx!$I$73),IF(OR(Q54="Dry Bulk",Q54="Bulk carrier"),Alukset_fx!$H$71*(Alukset_Käynnit_Lask!K54^Alukset_fx!$I$71),IF(Q54="Tugboat",Alukset_fx!$H$78*(Alukset_Käynnit_Lask!K54^Alukset_fx!$I$78),IF(OR(Q54="Tanker",Q54="Gas tanker",Q54="Chemical tanker",Q54="Oil tanker"),Alukset_fx!$H$70*(Alukset_Käynnit_Lask!K54^Alukset_fx!$I$70),IF(Q54="Container ship",Alukset_fx!$H$72*(Alukset_Käynnit_Lask!K54^Alukset_fx!$I$72),IF(Q54="Barge",0,IF(Q54="RoPax",Alukset_fx!$H$75*(Alukset_Käynnit_Lask!K54^Alukset_fx!$I$75),IF(OR(Q54="RoRo",Q54="Vehicle carrier"),Alukset_fx!$H$74*(Alukset_Käynnit_Lask!K54^Alukset_fx!$I$74),Alukset_fx!$H$77*(Alukset_Käynnit_Lask!K54^Alukset_fx!$I$77))))))))),"-")</f>
        <v>0</v>
      </c>
      <c r="T54" s="208">
        <f>IF(R54=0,IF(Q54="Other dry cargo",S54*Alukset_fx!$B$71,IF(OR(Q54="Dry bulk",Q54="Bulk carrier"),S54*Alukset_fx!$B$69,IF(Q54="Tugboat",S54*Alukset_fx!$B$76,IF(OR(Q54="Tanker",Q54="Gas tanker",Q54="Chemical tanker",Q54="Oil tanker"),S54*Alukset_fx!$B$68,IF(OR(Q54="RoRo",Q54="Vehicle carrier"),S54*Alukset_fx!$B$72,IF(Q54="RoPax",S54*Alukset_fx!$B$73,IF(Q54="Container ship",S54*Alukset_fx!$B$70,S54*Alukset_fx!$B$75))))))),"-")</f>
        <v>0</v>
      </c>
      <c r="U54" s="208">
        <f t="shared" si="2"/>
        <v>0</v>
      </c>
      <c r="V54" s="208">
        <f t="shared" si="3"/>
        <v>0</v>
      </c>
      <c r="W54" s="202">
        <f>Alukset_Käynnit!N61</f>
        <v>0</v>
      </c>
      <c r="X54" s="211">
        <f>IF(Q54="Other dry cargo", Alukset_fx!$C$52, IF(OR(Q54="Dry bulk",Q54="Bulk carrier"),Alukset_fx!$C$35,IF(OR(Q54="Tanker",Q54="Gas tanker",Q54="Oil tanker"),Alukset_fx!$C$57,IF(Q54="Chemical tanker",Alukset_fx!$C$56,IF(OR(Q54="Tugboat",Q54="Barge"),0,IF(Q54="Other vessel",Alukset_fx!$C$54,IF(Q54="Container ship",Alukset_fx!$C$37,IF(OR(Q54="RoPax",Q54="RoRo",Q54="Vehicle carrier"),Alukset_fx!$C$55,0))))))))</f>
        <v>0</v>
      </c>
      <c r="Y54" s="211">
        <f>IF(Q54="Other dry cargo", Alukset_fx!$Q$52, IF(OR(Q54="Dry bulk",Q54="Bulk carrier"),Alukset_fx!$Q$35,IF(OR(Q54="Tanker",Q54="Gas tanker",Q54="Oil tanker"),Alukset_fx!$Q$57,IF(Q54="Chemical tanker",Alukset_fx!$Q$56,IF(OR(Q54="Tugboat",Q54="Barge"),0,IF(Q54="Other vessel",Alukset_fx!$Q$54,IF(Q54="Container ship",Alukset_fx!$Q$37,IF(OR(Q54="RoPax",Q54="RoRo",Q54="Vehicle carrier"),Alukset_fx!$Q$55,0))))))))</f>
        <v>0</v>
      </c>
      <c r="Z54" t="str">
        <f t="shared" si="4"/>
        <v>MDO/MGO</v>
      </c>
      <c r="AA54" t="str">
        <f t="shared" si="5"/>
        <v>MSD</v>
      </c>
      <c r="AB54" t="str">
        <f t="shared" si="6"/>
        <v>MDO/MGO</v>
      </c>
      <c r="AC54" t="str">
        <f t="shared" si="7"/>
        <v>MSD</v>
      </c>
      <c r="AD54" t="str">
        <f t="shared" si="8"/>
        <v>MDO/MGO</v>
      </c>
      <c r="AE54" t="str">
        <f t="shared" si="9"/>
        <v>ST</v>
      </c>
      <c r="AG54">
        <f>Alukset_Käynnit!O61</f>
        <v>0</v>
      </c>
      <c r="AH54" s="207">
        <f>IF(AA54="SSD",((U54*Alukset_fx!$B$24)*Alukset_Käynnit_Lask!W54*(Alukset_fx!$K$49)/1000),IF(AA54="MSD",((U54*Alukset_fx!$B$24)*Alukset_Käynnit_Lask!W54*(Alukset_fx!$K$52)/1000),IF(AA54="HSD",((U54*Alukset_fx!$B$24)*Alukset_Käynnit_Lask!W54*(Alukset_fx!$K$55)/1000),0)))</f>
        <v>0</v>
      </c>
      <c r="AI54" s="207">
        <f>IF(AC54="MSD",((V54*Alukset_fx!$B$25)*Alukset_Käynnit_Lask!W54*(Alukset_fx!$L$52)/1000),IF(AC54="HSD",((V54*Alukset_fx!$B$25)*Alukset_Käynnit_Lask!W54*(Alukset_fx!$L$55)/1000),0))</f>
        <v>0</v>
      </c>
      <c r="AJ54" s="207">
        <f>X54*W54*Alukset_fx!$K$61/1000</f>
        <v>0</v>
      </c>
      <c r="AK54">
        <v>0</v>
      </c>
      <c r="AL54" s="207">
        <f>IF(AG54="Käytetty",0,IF(AC54="MSD",((V54*Alukset_fx!$O$25)*Alukset_Käynnit_Lask!O54*(Alukset_fx!$L$52)/1000),IF(AC54="HSD",((V54*Alukset_fx!$O$25)*Alukset_Käynnit_Lask!O54*(Alukset_fx!$L$55)/1000),0)))</f>
        <v>0</v>
      </c>
      <c r="AM54" s="207">
        <f>IF(AG54="Käytetty",0,Y54*O54*Alukset_fx!$K$61/1000)</f>
        <v>0</v>
      </c>
      <c r="AN54" s="213">
        <f t="shared" si="10"/>
        <v>0</v>
      </c>
    </row>
    <row r="55" spans="1:40" x14ac:dyDescent="0.25">
      <c r="A55" s="203">
        <f>Alukset_Käynnit!A62</f>
        <v>0</v>
      </c>
      <c r="B55" s="203">
        <f>Alukset_Käynnit!B62</f>
        <v>0</v>
      </c>
      <c r="C55" s="262">
        <f>Alukset_Käynnit!C62</f>
        <v>0</v>
      </c>
      <c r="D55" s="266">
        <f>Alukset_Käynnit!D62</f>
        <v>0</v>
      </c>
      <c r="E55" s="262">
        <f>Alukset_Käynnit!E62</f>
        <v>0</v>
      </c>
      <c r="F55" s="262">
        <f>Alukset_Käynnit!F62</f>
        <v>0</v>
      </c>
      <c r="G55" s="262">
        <f>Alukset_Käynnit!G62</f>
        <v>0</v>
      </c>
      <c r="H55" s="262">
        <f>Alukset_Käynnit!H62</f>
        <v>0</v>
      </c>
      <c r="I55" s="262">
        <f>Alukset_Käynnit!I62</f>
        <v>0</v>
      </c>
      <c r="J55" s="262">
        <f>Alukset_Käynnit!J62</f>
        <v>0</v>
      </c>
      <c r="K55" s="262">
        <f>Alukset_Käynnit!K62</f>
        <v>0</v>
      </c>
      <c r="L55" s="205">
        <f>Alukset_Käynnit!L62</f>
        <v>0</v>
      </c>
      <c r="N55" s="273">
        <f t="shared" si="12"/>
        <v>0</v>
      </c>
      <c r="O55" s="274">
        <f t="shared" si="11"/>
        <v>0</v>
      </c>
      <c r="P55" s="202"/>
      <c r="Q55" s="204">
        <f t="shared" si="1"/>
        <v>0</v>
      </c>
      <c r="R55" s="202">
        <f>IF(Q55="Other dry cargo",L55*Alukset_fx!$B$71,IF(OR(Q55="Dry bulk",Q55="Bulk carrier"),L55*Alukset_fx!$B$69,IF(Q55="Tugboat",L55*Alukset_fx!$B$76,IF(OR(Q55="Tanker",Q55="Gas tanker",Q55="Chemical tanker",Q55="Oil tanker"),L55*Alukset_fx!$B$68,IF(OR(Q55="RoRo",Q55="Vehicle carrier"),L55*Alukset_fx!$B$72,IF(Q55="RoPax",L55*Alukset_fx!$B$73,IF(Q55="Container ship",L55*Alukset_fx!$B$70,IF(Q55="Barge",0,L55*Alukset_fx!$B$75))))))))</f>
        <v>0</v>
      </c>
      <c r="S55" s="210">
        <f>IF(L55=0,IF(Q55="Other dry cargo",Alukset_fx!$H$73*(Alukset_Käynnit_Lask!K55^Alukset_fx!$I$73),IF(OR(Q55="Dry Bulk",Q55="Bulk carrier"),Alukset_fx!$H$71*(Alukset_Käynnit_Lask!K55^Alukset_fx!$I$71),IF(Q55="Tugboat",Alukset_fx!$H$78*(Alukset_Käynnit_Lask!K55^Alukset_fx!$I$78),IF(OR(Q55="Tanker",Q55="Gas tanker",Q55="Chemical tanker",Q55="Oil tanker"),Alukset_fx!$H$70*(Alukset_Käynnit_Lask!K55^Alukset_fx!$I$70),IF(Q55="Container ship",Alukset_fx!$H$72*(Alukset_Käynnit_Lask!K55^Alukset_fx!$I$72),IF(Q55="Barge",0,IF(Q55="RoPax",Alukset_fx!$H$75*(Alukset_Käynnit_Lask!K55^Alukset_fx!$I$75),IF(OR(Q55="RoRo",Q55="Vehicle carrier"),Alukset_fx!$H$74*(Alukset_Käynnit_Lask!K55^Alukset_fx!$I$74),Alukset_fx!$H$77*(Alukset_Käynnit_Lask!K55^Alukset_fx!$I$77))))))))),"-")</f>
        <v>0</v>
      </c>
      <c r="T55" s="208">
        <f>IF(R55=0,IF(Q55="Other dry cargo",S55*Alukset_fx!$B$71,IF(OR(Q55="Dry bulk",Q55="Bulk carrier"),S55*Alukset_fx!$B$69,IF(Q55="Tugboat",S55*Alukset_fx!$B$76,IF(OR(Q55="Tanker",Q55="Gas tanker",Q55="Chemical tanker",Q55="Oil tanker"),S55*Alukset_fx!$B$68,IF(OR(Q55="RoRo",Q55="Vehicle carrier"),S55*Alukset_fx!$B$72,IF(Q55="RoPax",S55*Alukset_fx!$B$73,IF(Q55="Container ship",S55*Alukset_fx!$B$70,S55*Alukset_fx!$B$75))))))),"-")</f>
        <v>0</v>
      </c>
      <c r="U55" s="208">
        <f t="shared" si="2"/>
        <v>0</v>
      </c>
      <c r="V55" s="208">
        <f t="shared" si="3"/>
        <v>0</v>
      </c>
      <c r="W55" s="202">
        <f>Alukset_Käynnit!N62</f>
        <v>0</v>
      </c>
      <c r="X55" s="211">
        <f>IF(Q55="Other dry cargo", Alukset_fx!$C$52, IF(OR(Q55="Dry bulk",Q55="Bulk carrier"),Alukset_fx!$C$35,IF(OR(Q55="Tanker",Q55="Gas tanker",Q55="Oil tanker"),Alukset_fx!$C$57,IF(Q55="Chemical tanker",Alukset_fx!$C$56,IF(OR(Q55="Tugboat",Q55="Barge"),0,IF(Q55="Other vessel",Alukset_fx!$C$54,IF(Q55="Container ship",Alukset_fx!$C$37,IF(OR(Q55="RoPax",Q55="RoRo",Q55="Vehicle carrier"),Alukset_fx!$C$55,0))))))))</f>
        <v>0</v>
      </c>
      <c r="Y55" s="211">
        <f>IF(Q55="Other dry cargo", Alukset_fx!$Q$52, IF(OR(Q55="Dry bulk",Q55="Bulk carrier"),Alukset_fx!$Q$35,IF(OR(Q55="Tanker",Q55="Gas tanker",Q55="Oil tanker"),Alukset_fx!$Q$57,IF(Q55="Chemical tanker",Alukset_fx!$Q$56,IF(OR(Q55="Tugboat",Q55="Barge"),0,IF(Q55="Other vessel",Alukset_fx!$Q$54,IF(Q55="Container ship",Alukset_fx!$Q$37,IF(OR(Q55="RoPax",Q55="RoRo",Q55="Vehicle carrier"),Alukset_fx!$Q$55,0))))))))</f>
        <v>0</v>
      </c>
      <c r="Z55" t="str">
        <f t="shared" si="4"/>
        <v>MDO/MGO</v>
      </c>
      <c r="AA55" t="str">
        <f t="shared" si="5"/>
        <v>MSD</v>
      </c>
      <c r="AB55" t="str">
        <f t="shared" si="6"/>
        <v>MDO/MGO</v>
      </c>
      <c r="AC55" t="str">
        <f t="shared" si="7"/>
        <v>MSD</v>
      </c>
      <c r="AD55" t="str">
        <f t="shared" si="8"/>
        <v>MDO/MGO</v>
      </c>
      <c r="AE55" t="str">
        <f t="shared" si="9"/>
        <v>ST</v>
      </c>
      <c r="AG55">
        <f>Alukset_Käynnit!O62</f>
        <v>0</v>
      </c>
      <c r="AH55" s="207">
        <f>IF(AA55="SSD",((U55*Alukset_fx!$B$24)*Alukset_Käynnit_Lask!W55*(Alukset_fx!$K$49)/1000),IF(AA55="MSD",((U55*Alukset_fx!$B$24)*Alukset_Käynnit_Lask!W55*(Alukset_fx!$K$52)/1000),IF(AA55="HSD",((U55*Alukset_fx!$B$24)*Alukset_Käynnit_Lask!W55*(Alukset_fx!$K$55)/1000),0)))</f>
        <v>0</v>
      </c>
      <c r="AI55" s="207">
        <f>IF(AC55="MSD",((V55*Alukset_fx!$B$25)*Alukset_Käynnit_Lask!W55*(Alukset_fx!$L$52)/1000),IF(AC55="HSD",((V55*Alukset_fx!$B$25)*Alukset_Käynnit_Lask!W55*(Alukset_fx!$L$55)/1000),0))</f>
        <v>0</v>
      </c>
      <c r="AJ55" s="207">
        <f>X55*W55*Alukset_fx!$K$61/1000</f>
        <v>0</v>
      </c>
      <c r="AK55">
        <v>0</v>
      </c>
      <c r="AL55" s="207">
        <f>IF(AG55="Käytetty",0,IF(AC55="MSD",((V55*Alukset_fx!$O$25)*Alukset_Käynnit_Lask!O55*(Alukset_fx!$L$52)/1000),IF(AC55="HSD",((V55*Alukset_fx!$O$25)*Alukset_Käynnit_Lask!O55*(Alukset_fx!$L$55)/1000),0)))</f>
        <v>0</v>
      </c>
      <c r="AM55" s="207">
        <f>IF(AG55="Käytetty",0,Y55*O55*Alukset_fx!$K$61/1000)</f>
        <v>0</v>
      </c>
      <c r="AN55" s="213">
        <f t="shared" si="10"/>
        <v>0</v>
      </c>
    </row>
    <row r="56" spans="1:40" x14ac:dyDescent="0.25">
      <c r="A56" s="203">
        <f>Alukset_Käynnit!A63</f>
        <v>0</v>
      </c>
      <c r="B56" s="203">
        <f>Alukset_Käynnit!B63</f>
        <v>0</v>
      </c>
      <c r="C56" s="262">
        <f>Alukset_Käynnit!C63</f>
        <v>0</v>
      </c>
      <c r="D56" s="266">
        <f>Alukset_Käynnit!D63</f>
        <v>0</v>
      </c>
      <c r="E56" s="262">
        <f>Alukset_Käynnit!E63</f>
        <v>0</v>
      </c>
      <c r="F56" s="262">
        <f>Alukset_Käynnit!F63</f>
        <v>0</v>
      </c>
      <c r="G56" s="262">
        <f>Alukset_Käynnit!G63</f>
        <v>0</v>
      </c>
      <c r="H56" s="262">
        <f>Alukset_Käynnit!H63</f>
        <v>0</v>
      </c>
      <c r="I56" s="262">
        <f>Alukset_Käynnit!I63</f>
        <v>0</v>
      </c>
      <c r="J56" s="262">
        <f>Alukset_Käynnit!J63</f>
        <v>0</v>
      </c>
      <c r="K56" s="262">
        <f>Alukset_Käynnit!K63</f>
        <v>0</v>
      </c>
      <c r="L56" s="205">
        <f>Alukset_Käynnit!L63</f>
        <v>0</v>
      </c>
      <c r="N56" s="273">
        <f t="shared" si="12"/>
        <v>0</v>
      </c>
      <c r="O56" s="274">
        <f t="shared" si="11"/>
        <v>0</v>
      </c>
      <c r="P56" s="202"/>
      <c r="Q56" s="204">
        <f t="shared" si="1"/>
        <v>0</v>
      </c>
      <c r="R56" s="202">
        <f>IF(Q56="Other dry cargo",L56*Alukset_fx!$B$71,IF(OR(Q56="Dry bulk",Q56="Bulk carrier"),L56*Alukset_fx!$B$69,IF(Q56="Tugboat",L56*Alukset_fx!$B$76,IF(OR(Q56="Tanker",Q56="Gas tanker",Q56="Chemical tanker",Q56="Oil tanker"),L56*Alukset_fx!$B$68,IF(OR(Q56="RoRo",Q56="Vehicle carrier"),L56*Alukset_fx!$B$72,IF(Q56="RoPax",L56*Alukset_fx!$B$73,IF(Q56="Container ship",L56*Alukset_fx!$B$70,IF(Q56="Barge",0,L56*Alukset_fx!$B$75))))))))</f>
        <v>0</v>
      </c>
      <c r="S56" s="210">
        <f>IF(L56=0,IF(Q56="Other dry cargo",Alukset_fx!$H$73*(Alukset_Käynnit_Lask!K56^Alukset_fx!$I$73),IF(OR(Q56="Dry Bulk",Q56="Bulk carrier"),Alukset_fx!$H$71*(Alukset_Käynnit_Lask!K56^Alukset_fx!$I$71),IF(Q56="Tugboat",Alukset_fx!$H$78*(Alukset_Käynnit_Lask!K56^Alukset_fx!$I$78),IF(OR(Q56="Tanker",Q56="Gas tanker",Q56="Chemical tanker",Q56="Oil tanker"),Alukset_fx!$H$70*(Alukset_Käynnit_Lask!K56^Alukset_fx!$I$70),IF(Q56="Container ship",Alukset_fx!$H$72*(Alukset_Käynnit_Lask!K56^Alukset_fx!$I$72),IF(Q56="Barge",0,IF(Q56="RoPax",Alukset_fx!$H$75*(Alukset_Käynnit_Lask!K56^Alukset_fx!$I$75),IF(OR(Q56="RoRo",Q56="Vehicle carrier"),Alukset_fx!$H$74*(Alukset_Käynnit_Lask!K56^Alukset_fx!$I$74),Alukset_fx!$H$77*(Alukset_Käynnit_Lask!K56^Alukset_fx!$I$77))))))))),"-")</f>
        <v>0</v>
      </c>
      <c r="T56" s="208">
        <f>IF(R56=0,IF(Q56="Other dry cargo",S56*Alukset_fx!$B$71,IF(OR(Q56="Dry bulk",Q56="Bulk carrier"),S56*Alukset_fx!$B$69,IF(Q56="Tugboat",S56*Alukset_fx!$B$76,IF(OR(Q56="Tanker",Q56="Gas tanker",Q56="Chemical tanker",Q56="Oil tanker"),S56*Alukset_fx!$B$68,IF(OR(Q56="RoRo",Q56="Vehicle carrier"),S56*Alukset_fx!$B$72,IF(Q56="RoPax",S56*Alukset_fx!$B$73,IF(Q56="Container ship",S56*Alukset_fx!$B$70,S56*Alukset_fx!$B$75))))))),"-")</f>
        <v>0</v>
      </c>
      <c r="U56" s="208">
        <f t="shared" si="2"/>
        <v>0</v>
      </c>
      <c r="V56" s="208">
        <f t="shared" si="3"/>
        <v>0</v>
      </c>
      <c r="W56" s="202">
        <f>Alukset_Käynnit!N63</f>
        <v>0</v>
      </c>
      <c r="X56" s="211">
        <f>IF(Q56="Other dry cargo", Alukset_fx!$C$52, IF(OR(Q56="Dry bulk",Q56="Bulk carrier"),Alukset_fx!$C$35,IF(OR(Q56="Tanker",Q56="Gas tanker",Q56="Oil tanker"),Alukset_fx!$C$57,IF(Q56="Chemical tanker",Alukset_fx!$C$56,IF(OR(Q56="Tugboat",Q56="Barge"),0,IF(Q56="Other vessel",Alukset_fx!$C$54,IF(Q56="Container ship",Alukset_fx!$C$37,IF(OR(Q56="RoPax",Q56="RoRo",Q56="Vehicle carrier"),Alukset_fx!$C$55,0))))))))</f>
        <v>0</v>
      </c>
      <c r="Y56" s="211">
        <f>IF(Q56="Other dry cargo", Alukset_fx!$Q$52, IF(OR(Q56="Dry bulk",Q56="Bulk carrier"),Alukset_fx!$Q$35,IF(OR(Q56="Tanker",Q56="Gas tanker",Q56="Oil tanker"),Alukset_fx!$Q$57,IF(Q56="Chemical tanker",Alukset_fx!$Q$56,IF(OR(Q56="Tugboat",Q56="Barge"),0,IF(Q56="Other vessel",Alukset_fx!$Q$54,IF(Q56="Container ship",Alukset_fx!$Q$37,IF(OR(Q56="RoPax",Q56="RoRo",Q56="Vehicle carrier"),Alukset_fx!$Q$55,0))))))))</f>
        <v>0</v>
      </c>
      <c r="Z56" t="str">
        <f t="shared" si="4"/>
        <v>MDO/MGO</v>
      </c>
      <c r="AA56" t="str">
        <f t="shared" si="5"/>
        <v>MSD</v>
      </c>
      <c r="AB56" t="str">
        <f t="shared" si="6"/>
        <v>MDO/MGO</v>
      </c>
      <c r="AC56" t="str">
        <f t="shared" si="7"/>
        <v>MSD</v>
      </c>
      <c r="AD56" t="str">
        <f t="shared" si="8"/>
        <v>MDO/MGO</v>
      </c>
      <c r="AE56" t="str">
        <f t="shared" si="9"/>
        <v>ST</v>
      </c>
      <c r="AG56">
        <f>Alukset_Käynnit!O63</f>
        <v>0</v>
      </c>
      <c r="AH56" s="207">
        <f>IF(AA56="SSD",((U56*Alukset_fx!$B$24)*Alukset_Käynnit_Lask!W56*(Alukset_fx!$K$49)/1000),IF(AA56="MSD",((U56*Alukset_fx!$B$24)*Alukset_Käynnit_Lask!W56*(Alukset_fx!$K$52)/1000),IF(AA56="HSD",((U56*Alukset_fx!$B$24)*Alukset_Käynnit_Lask!W56*(Alukset_fx!$K$55)/1000),0)))</f>
        <v>0</v>
      </c>
      <c r="AI56" s="207">
        <f>IF(AC56="MSD",((V56*Alukset_fx!$B$25)*Alukset_Käynnit_Lask!W56*(Alukset_fx!$L$52)/1000),IF(AC56="HSD",((V56*Alukset_fx!$B$25)*Alukset_Käynnit_Lask!W56*(Alukset_fx!$L$55)/1000),0))</f>
        <v>0</v>
      </c>
      <c r="AJ56" s="207">
        <f>X56*W56*Alukset_fx!$K$61/1000</f>
        <v>0</v>
      </c>
      <c r="AK56">
        <v>0</v>
      </c>
      <c r="AL56" s="207">
        <f>IF(AG56="Käytetty",0,IF(AC56="MSD",((V56*Alukset_fx!$O$25)*Alukset_Käynnit_Lask!O56*(Alukset_fx!$L$52)/1000),IF(AC56="HSD",((V56*Alukset_fx!$O$25)*Alukset_Käynnit_Lask!O56*(Alukset_fx!$L$55)/1000),0)))</f>
        <v>0</v>
      </c>
      <c r="AM56" s="207">
        <f>IF(AG56="Käytetty",0,Y56*O56*Alukset_fx!$K$61/1000)</f>
        <v>0</v>
      </c>
      <c r="AN56" s="213">
        <f t="shared" si="10"/>
        <v>0</v>
      </c>
    </row>
    <row r="57" spans="1:40" x14ac:dyDescent="0.25">
      <c r="A57" s="203">
        <f>Alukset_Käynnit!A64</f>
        <v>0</v>
      </c>
      <c r="B57" s="203">
        <f>Alukset_Käynnit!B64</f>
        <v>0</v>
      </c>
      <c r="C57" s="262">
        <f>Alukset_Käynnit!C64</f>
        <v>0</v>
      </c>
      <c r="D57" s="266">
        <f>Alukset_Käynnit!D64</f>
        <v>0</v>
      </c>
      <c r="E57" s="262">
        <f>Alukset_Käynnit!E64</f>
        <v>0</v>
      </c>
      <c r="F57" s="262">
        <f>Alukset_Käynnit!F64</f>
        <v>0</v>
      </c>
      <c r="G57" s="262">
        <f>Alukset_Käynnit!G64</f>
        <v>0</v>
      </c>
      <c r="H57" s="262">
        <f>Alukset_Käynnit!H64</f>
        <v>0</v>
      </c>
      <c r="I57" s="262">
        <f>Alukset_Käynnit!I64</f>
        <v>0</v>
      </c>
      <c r="J57" s="262">
        <f>Alukset_Käynnit!J64</f>
        <v>0</v>
      </c>
      <c r="K57" s="262">
        <f>Alukset_Käynnit!K64</f>
        <v>0</v>
      </c>
      <c r="L57" s="205">
        <f>Alukset_Käynnit!L64</f>
        <v>0</v>
      </c>
      <c r="N57" s="273">
        <f t="shared" si="12"/>
        <v>0</v>
      </c>
      <c r="O57" s="274">
        <f t="shared" si="11"/>
        <v>0</v>
      </c>
      <c r="P57" s="202"/>
      <c r="Q57" s="204">
        <f t="shared" si="1"/>
        <v>0</v>
      </c>
      <c r="R57" s="202">
        <f>IF(Q57="Other dry cargo",L57*Alukset_fx!$B$71,IF(OR(Q57="Dry bulk",Q57="Bulk carrier"),L57*Alukset_fx!$B$69,IF(Q57="Tugboat",L57*Alukset_fx!$B$76,IF(OR(Q57="Tanker",Q57="Gas tanker",Q57="Chemical tanker",Q57="Oil tanker"),L57*Alukset_fx!$B$68,IF(OR(Q57="RoRo",Q57="Vehicle carrier"),L57*Alukset_fx!$B$72,IF(Q57="RoPax",L57*Alukset_fx!$B$73,IF(Q57="Container ship",L57*Alukset_fx!$B$70,IF(Q57="Barge",0,L57*Alukset_fx!$B$75))))))))</f>
        <v>0</v>
      </c>
      <c r="S57" s="210">
        <f>IF(L57=0,IF(Q57="Other dry cargo",Alukset_fx!$H$73*(Alukset_Käynnit_Lask!K57^Alukset_fx!$I$73),IF(OR(Q57="Dry Bulk",Q57="Bulk carrier"),Alukset_fx!$H$71*(Alukset_Käynnit_Lask!K57^Alukset_fx!$I$71),IF(Q57="Tugboat",Alukset_fx!$H$78*(Alukset_Käynnit_Lask!K57^Alukset_fx!$I$78),IF(OR(Q57="Tanker",Q57="Gas tanker",Q57="Chemical tanker",Q57="Oil tanker"),Alukset_fx!$H$70*(Alukset_Käynnit_Lask!K57^Alukset_fx!$I$70),IF(Q57="Container ship",Alukset_fx!$H$72*(Alukset_Käynnit_Lask!K57^Alukset_fx!$I$72),IF(Q57="Barge",0,IF(Q57="RoPax",Alukset_fx!$H$75*(Alukset_Käynnit_Lask!K57^Alukset_fx!$I$75),IF(OR(Q57="RoRo",Q57="Vehicle carrier"),Alukset_fx!$H$74*(Alukset_Käynnit_Lask!K57^Alukset_fx!$I$74),Alukset_fx!$H$77*(Alukset_Käynnit_Lask!K57^Alukset_fx!$I$77))))))))),"-")</f>
        <v>0</v>
      </c>
      <c r="T57" s="208">
        <f>IF(R57=0,IF(Q57="Other dry cargo",S57*Alukset_fx!$B$71,IF(OR(Q57="Dry bulk",Q57="Bulk carrier"),S57*Alukset_fx!$B$69,IF(Q57="Tugboat",S57*Alukset_fx!$B$76,IF(OR(Q57="Tanker",Q57="Gas tanker",Q57="Chemical tanker",Q57="Oil tanker"),S57*Alukset_fx!$B$68,IF(OR(Q57="RoRo",Q57="Vehicle carrier"),S57*Alukset_fx!$B$72,IF(Q57="RoPax",S57*Alukset_fx!$B$73,IF(Q57="Container ship",S57*Alukset_fx!$B$70,S57*Alukset_fx!$B$75))))))),"-")</f>
        <v>0</v>
      </c>
      <c r="U57" s="208">
        <f t="shared" si="2"/>
        <v>0</v>
      </c>
      <c r="V57" s="208">
        <f t="shared" si="3"/>
        <v>0</v>
      </c>
      <c r="W57" s="202">
        <f>Alukset_Käynnit!N64</f>
        <v>0</v>
      </c>
      <c r="X57" s="211">
        <f>IF(Q57="Other dry cargo", Alukset_fx!$C$52, IF(OR(Q57="Dry bulk",Q57="Bulk carrier"),Alukset_fx!$C$35,IF(OR(Q57="Tanker",Q57="Gas tanker",Q57="Oil tanker"),Alukset_fx!$C$57,IF(Q57="Chemical tanker",Alukset_fx!$C$56,IF(OR(Q57="Tugboat",Q57="Barge"),0,IF(Q57="Other vessel",Alukset_fx!$C$54,IF(Q57="Container ship",Alukset_fx!$C$37,IF(OR(Q57="RoPax",Q57="RoRo",Q57="Vehicle carrier"),Alukset_fx!$C$55,0))))))))</f>
        <v>0</v>
      </c>
      <c r="Y57" s="211">
        <f>IF(Q57="Other dry cargo", Alukset_fx!$Q$52, IF(OR(Q57="Dry bulk",Q57="Bulk carrier"),Alukset_fx!$Q$35,IF(OR(Q57="Tanker",Q57="Gas tanker",Q57="Oil tanker"),Alukset_fx!$Q$57,IF(Q57="Chemical tanker",Alukset_fx!$Q$56,IF(OR(Q57="Tugboat",Q57="Barge"),0,IF(Q57="Other vessel",Alukset_fx!$Q$54,IF(Q57="Container ship",Alukset_fx!$Q$37,IF(OR(Q57="RoPax",Q57="RoRo",Q57="Vehicle carrier"),Alukset_fx!$Q$55,0))))))))</f>
        <v>0</v>
      </c>
      <c r="Z57" t="str">
        <f t="shared" si="4"/>
        <v>MDO/MGO</v>
      </c>
      <c r="AA57" t="str">
        <f t="shared" si="5"/>
        <v>MSD</v>
      </c>
      <c r="AB57" t="str">
        <f t="shared" si="6"/>
        <v>MDO/MGO</v>
      </c>
      <c r="AC57" t="str">
        <f t="shared" si="7"/>
        <v>MSD</v>
      </c>
      <c r="AD57" t="str">
        <f t="shared" si="8"/>
        <v>MDO/MGO</v>
      </c>
      <c r="AE57" t="str">
        <f t="shared" si="9"/>
        <v>ST</v>
      </c>
      <c r="AG57">
        <f>Alukset_Käynnit!O64</f>
        <v>0</v>
      </c>
      <c r="AH57" s="207">
        <f>IF(AA57="SSD",((U57*Alukset_fx!$B$24)*Alukset_Käynnit_Lask!W57*(Alukset_fx!$K$49)/1000),IF(AA57="MSD",((U57*Alukset_fx!$B$24)*Alukset_Käynnit_Lask!W57*(Alukset_fx!$K$52)/1000),IF(AA57="HSD",((U57*Alukset_fx!$B$24)*Alukset_Käynnit_Lask!W57*(Alukset_fx!$K$55)/1000),0)))</f>
        <v>0</v>
      </c>
      <c r="AI57" s="207">
        <f>IF(AC57="MSD",((V57*Alukset_fx!$B$25)*Alukset_Käynnit_Lask!W57*(Alukset_fx!$L$52)/1000),IF(AC57="HSD",((V57*Alukset_fx!$B$25)*Alukset_Käynnit_Lask!W57*(Alukset_fx!$L$55)/1000),0))</f>
        <v>0</v>
      </c>
      <c r="AJ57" s="207">
        <f>X57*W57*Alukset_fx!$K$61/1000</f>
        <v>0</v>
      </c>
      <c r="AK57">
        <v>0</v>
      </c>
      <c r="AL57" s="207">
        <f>IF(AG57="Käytetty",0,IF(AC57="MSD",((V57*Alukset_fx!$O$25)*Alukset_Käynnit_Lask!O57*(Alukset_fx!$L$52)/1000),IF(AC57="HSD",((V57*Alukset_fx!$O$25)*Alukset_Käynnit_Lask!O57*(Alukset_fx!$L$55)/1000),0)))</f>
        <v>0</v>
      </c>
      <c r="AM57" s="207">
        <f>IF(AG57="Käytetty",0,Y57*O57*Alukset_fx!$K$61/1000)</f>
        <v>0</v>
      </c>
      <c r="AN57" s="213">
        <f t="shared" si="10"/>
        <v>0</v>
      </c>
    </row>
    <row r="58" spans="1:40" x14ac:dyDescent="0.25">
      <c r="A58" s="203">
        <f>Alukset_Käynnit!A65</f>
        <v>0</v>
      </c>
      <c r="B58" s="203">
        <f>Alukset_Käynnit!B65</f>
        <v>0</v>
      </c>
      <c r="C58" s="262">
        <f>Alukset_Käynnit!C65</f>
        <v>0</v>
      </c>
      <c r="D58" s="266">
        <f>Alukset_Käynnit!D65</f>
        <v>0</v>
      </c>
      <c r="E58" s="262">
        <f>Alukset_Käynnit!E65</f>
        <v>0</v>
      </c>
      <c r="F58" s="262">
        <f>Alukset_Käynnit!F65</f>
        <v>0</v>
      </c>
      <c r="G58" s="262">
        <f>Alukset_Käynnit!G65</f>
        <v>0</v>
      </c>
      <c r="H58" s="262">
        <f>Alukset_Käynnit!H65</f>
        <v>0</v>
      </c>
      <c r="I58" s="262">
        <f>Alukset_Käynnit!I65</f>
        <v>0</v>
      </c>
      <c r="J58" s="262">
        <f>Alukset_Käynnit!J65</f>
        <v>0</v>
      </c>
      <c r="K58" s="262">
        <f>Alukset_Käynnit!K65</f>
        <v>0</v>
      </c>
      <c r="L58" s="205">
        <f>Alukset_Käynnit!L65</f>
        <v>0</v>
      </c>
      <c r="N58" s="275">
        <f t="shared" si="12"/>
        <v>0</v>
      </c>
      <c r="O58" s="276">
        <f t="shared" si="11"/>
        <v>0</v>
      </c>
      <c r="P58" s="202"/>
      <c r="Q58" s="204">
        <f t="shared" si="1"/>
        <v>0</v>
      </c>
      <c r="R58" s="202">
        <f>IF(Q58="Other dry cargo",L58*Alukset_fx!$B$71,IF(OR(Q58="Dry bulk",Q58="Bulk carrier"),L58*Alukset_fx!$B$69,IF(Q58="Tugboat",L58*Alukset_fx!$B$76,IF(OR(Q58="Tanker",Q58="Gas tanker",Q58="Chemical tanker",Q58="Oil tanker"),L58*Alukset_fx!$B$68,IF(OR(Q58="RoRo",Q58="Vehicle carrier"),L58*Alukset_fx!$B$72,IF(Q58="RoPax",L58*Alukset_fx!$B$73,IF(Q58="Container ship",L58*Alukset_fx!$B$70,IF(Q58="Barge",0,L58*Alukset_fx!$B$75))))))))</f>
        <v>0</v>
      </c>
      <c r="S58" s="210">
        <f>IF(L58=0,IF(Q58="Other dry cargo",Alukset_fx!$H$73*(Alukset_Käynnit_Lask!K58^Alukset_fx!$I$73),IF(OR(Q58="Dry Bulk",Q58="Bulk carrier"),Alukset_fx!$H$71*(Alukset_Käynnit_Lask!K58^Alukset_fx!$I$71),IF(Q58="Tugboat",Alukset_fx!$H$78*(Alukset_Käynnit_Lask!K58^Alukset_fx!$I$78),IF(OR(Q58="Tanker",Q58="Gas tanker",Q58="Chemical tanker",Q58="Oil tanker"),Alukset_fx!$H$70*(Alukset_Käynnit_Lask!K58^Alukset_fx!$I$70),IF(Q58="Container ship",Alukset_fx!$H$72*(Alukset_Käynnit_Lask!K58^Alukset_fx!$I$72),IF(Q58="Barge",0,IF(Q58="RoPax",Alukset_fx!$H$75*(Alukset_Käynnit_Lask!K58^Alukset_fx!$I$75),IF(OR(Q58="RoRo",Q58="Vehicle carrier"),Alukset_fx!$H$74*(Alukset_Käynnit_Lask!K58^Alukset_fx!$I$74),Alukset_fx!$H$77*(Alukset_Käynnit_Lask!K58^Alukset_fx!$I$77))))))))),"-")</f>
        <v>0</v>
      </c>
      <c r="T58" s="208">
        <f>IF(R58=0,IF(Q58="Other dry cargo",S58*Alukset_fx!$B$71,IF(OR(Q58="Dry bulk",Q58="Bulk carrier"),S58*Alukset_fx!$B$69,IF(Q58="Tugboat",S58*Alukset_fx!$B$76,IF(OR(Q58="Tanker",Q58="Gas tanker",Q58="Chemical tanker",Q58="Oil tanker"),S58*Alukset_fx!$B$68,IF(OR(Q58="RoRo",Q58="Vehicle carrier"),S58*Alukset_fx!$B$72,IF(Q58="RoPax",S58*Alukset_fx!$B$73,IF(Q58="Container ship",S58*Alukset_fx!$B$70,S58*Alukset_fx!$B$75))))))),"-")</f>
        <v>0</v>
      </c>
      <c r="U58" s="208">
        <f t="shared" si="2"/>
        <v>0</v>
      </c>
      <c r="V58" s="208">
        <f t="shared" si="3"/>
        <v>0</v>
      </c>
      <c r="W58" s="202">
        <f>Alukset_Käynnit!N65</f>
        <v>0</v>
      </c>
      <c r="X58" s="211">
        <f>IF(Q58="Other dry cargo", Alukset_fx!$C$52, IF(OR(Q58="Dry bulk",Q58="Bulk carrier"),Alukset_fx!$C$35,IF(OR(Q58="Tanker",Q58="Gas tanker",Q58="Oil tanker"),Alukset_fx!$C$57,IF(Q58="Chemical tanker",Alukset_fx!$C$56,IF(OR(Q58="Tugboat",Q58="Barge"),0,IF(Q58="Other vessel",Alukset_fx!$C$54,IF(Q58="Container ship",Alukset_fx!$C$37,IF(OR(Q58="RoPax",Q58="RoRo",Q58="Vehicle carrier"),Alukset_fx!$C$55,0))))))))</f>
        <v>0</v>
      </c>
      <c r="Y58" s="211">
        <f>IF(Q58="Other dry cargo", Alukset_fx!$Q$52, IF(OR(Q58="Dry bulk",Q58="Bulk carrier"),Alukset_fx!$Q$35,IF(OR(Q58="Tanker",Q58="Gas tanker",Q58="Oil tanker"),Alukset_fx!$Q$57,IF(Q58="Chemical tanker",Alukset_fx!$Q$56,IF(OR(Q58="Tugboat",Q58="Barge"),0,IF(Q58="Other vessel",Alukset_fx!$Q$54,IF(Q58="Container ship",Alukset_fx!$Q$37,IF(OR(Q58="RoPax",Q58="RoRo",Q58="Vehicle carrier"),Alukset_fx!$Q$55,0))))))))</f>
        <v>0</v>
      </c>
      <c r="Z58" t="str">
        <f t="shared" si="4"/>
        <v>MDO/MGO</v>
      </c>
      <c r="AA58" t="str">
        <f t="shared" si="5"/>
        <v>MSD</v>
      </c>
      <c r="AB58" t="str">
        <f t="shared" si="6"/>
        <v>MDO/MGO</v>
      </c>
      <c r="AC58" t="str">
        <f t="shared" si="7"/>
        <v>MSD</v>
      </c>
      <c r="AD58" t="str">
        <f t="shared" si="8"/>
        <v>MDO/MGO</v>
      </c>
      <c r="AE58" t="str">
        <f t="shared" si="9"/>
        <v>ST</v>
      </c>
      <c r="AG58">
        <f>Alukset_Käynnit!O65</f>
        <v>0</v>
      </c>
      <c r="AH58" s="207">
        <f>IF(AA58="SSD",((U58*Alukset_fx!$B$24)*Alukset_Käynnit_Lask!W58*(Alukset_fx!$K$49)/1000),IF(AA58="MSD",((U58*Alukset_fx!$B$24)*Alukset_Käynnit_Lask!W58*(Alukset_fx!$K$52)/1000),IF(AA58="HSD",((U58*Alukset_fx!$B$24)*Alukset_Käynnit_Lask!W58*(Alukset_fx!$K$55)/1000),0)))</f>
        <v>0</v>
      </c>
      <c r="AI58" s="207">
        <f>IF(AC58="MSD",((V58*Alukset_fx!$B$25)*Alukset_Käynnit_Lask!W58*(Alukset_fx!$L$52)/1000),IF(AC58="HSD",((V58*Alukset_fx!$B$25)*Alukset_Käynnit_Lask!W58*(Alukset_fx!$L$55)/1000),0))</f>
        <v>0</v>
      </c>
      <c r="AJ58" s="207">
        <f>X58*W58*Alukset_fx!$K$61/1000</f>
        <v>0</v>
      </c>
      <c r="AK58">
        <v>0</v>
      </c>
      <c r="AL58" s="207">
        <f>IF(AG58="Käytetty",0,IF(AC58="MSD",((V58*Alukset_fx!$O$25)*Alukset_Käynnit_Lask!O58*(Alukset_fx!$L$52)/1000),IF(AC58="HSD",((V58*Alukset_fx!$O$25)*Alukset_Käynnit_Lask!O58*(Alukset_fx!$L$55)/1000),0)))</f>
        <v>0</v>
      </c>
      <c r="AM58" s="207">
        <f>IF(AG58="Käytetty",0,Y58*O58*Alukset_fx!$K$61/1000)</f>
        <v>0</v>
      </c>
      <c r="AN58" s="213">
        <f t="shared" si="10"/>
        <v>0</v>
      </c>
    </row>
    <row r="59" spans="1:40" x14ac:dyDescent="0.25">
      <c r="A59" s="203">
        <f>Alukset_Käynnit!A66</f>
        <v>0</v>
      </c>
      <c r="B59" s="203">
        <f>Alukset_Käynnit!B66</f>
        <v>0</v>
      </c>
      <c r="C59" s="262">
        <f>Alukset_Käynnit!C66</f>
        <v>0</v>
      </c>
      <c r="D59" s="266">
        <f>Alukset_Käynnit!D66</f>
        <v>0</v>
      </c>
      <c r="E59" s="262">
        <f>Alukset_Käynnit!E66</f>
        <v>0</v>
      </c>
      <c r="F59" s="262">
        <f>Alukset_Käynnit!F66</f>
        <v>0</v>
      </c>
      <c r="G59" s="262">
        <f>Alukset_Käynnit!G66</f>
        <v>0</v>
      </c>
      <c r="H59" s="262">
        <f>Alukset_Käynnit!H66</f>
        <v>0</v>
      </c>
      <c r="I59" s="262">
        <f>Alukset_Käynnit!I66</f>
        <v>0</v>
      </c>
      <c r="J59" s="262">
        <f>Alukset_Käynnit!J66</f>
        <v>0</v>
      </c>
      <c r="K59" s="262">
        <f>Alukset_Käynnit!K66</f>
        <v>0</v>
      </c>
      <c r="L59" s="205">
        <f>Alukset_Käynnit!L66</f>
        <v>0</v>
      </c>
      <c r="N59" s="275">
        <f t="shared" si="12"/>
        <v>0</v>
      </c>
      <c r="O59" s="276">
        <f t="shared" si="11"/>
        <v>0</v>
      </c>
      <c r="P59" s="202"/>
      <c r="Q59" s="204">
        <f t="shared" si="1"/>
        <v>0</v>
      </c>
      <c r="R59" s="202">
        <f>IF(Q59="Other dry cargo",L59*Alukset_fx!$B$71,IF(OR(Q59="Dry bulk",Q59="Bulk carrier"),L59*Alukset_fx!$B$69,IF(Q59="Tugboat",L59*Alukset_fx!$B$76,IF(OR(Q59="Tanker",Q59="Gas tanker",Q59="Chemical tanker",Q59="Oil tanker"),L59*Alukset_fx!$B$68,IF(OR(Q59="RoRo",Q59="Vehicle carrier"),L59*Alukset_fx!$B$72,IF(Q59="RoPax",L59*Alukset_fx!$B$73,IF(Q59="Container ship",L59*Alukset_fx!$B$70,IF(Q59="Barge",0,L59*Alukset_fx!$B$75))))))))</f>
        <v>0</v>
      </c>
      <c r="S59" s="210">
        <f>IF(L59=0,IF(Q59="Other dry cargo",Alukset_fx!$H$73*(Alukset_Käynnit_Lask!K59^Alukset_fx!$I$73),IF(OR(Q59="Dry Bulk",Q59="Bulk carrier"),Alukset_fx!$H$71*(Alukset_Käynnit_Lask!K59^Alukset_fx!$I$71),IF(Q59="Tugboat",Alukset_fx!$H$78*(Alukset_Käynnit_Lask!K59^Alukset_fx!$I$78),IF(OR(Q59="Tanker",Q59="Gas tanker",Q59="Chemical tanker",Q59="Oil tanker"),Alukset_fx!$H$70*(Alukset_Käynnit_Lask!K59^Alukset_fx!$I$70),IF(Q59="Container ship",Alukset_fx!$H$72*(Alukset_Käynnit_Lask!K59^Alukset_fx!$I$72),IF(Q59="Barge",0,IF(Q59="RoPax",Alukset_fx!$H$75*(Alukset_Käynnit_Lask!K59^Alukset_fx!$I$75),IF(OR(Q59="RoRo",Q59="Vehicle carrier"),Alukset_fx!$H$74*(Alukset_Käynnit_Lask!K59^Alukset_fx!$I$74),Alukset_fx!$H$77*(Alukset_Käynnit_Lask!K59^Alukset_fx!$I$77))))))))),"-")</f>
        <v>0</v>
      </c>
      <c r="T59" s="208">
        <f>IF(R59=0,IF(Q59="Other dry cargo",S59*Alukset_fx!$B$71,IF(OR(Q59="Dry bulk",Q59="Bulk carrier"),S59*Alukset_fx!$B$69,IF(Q59="Tugboat",S59*Alukset_fx!$B$76,IF(OR(Q59="Tanker",Q59="Gas tanker",Q59="Chemical tanker",Q59="Oil tanker"),S59*Alukset_fx!$B$68,IF(OR(Q59="RoRo",Q59="Vehicle carrier"),S59*Alukset_fx!$B$72,IF(Q59="RoPax",S59*Alukset_fx!$B$73,IF(Q59="Container ship",S59*Alukset_fx!$B$70,S59*Alukset_fx!$B$75))))))),"-")</f>
        <v>0</v>
      </c>
      <c r="U59" s="208">
        <f t="shared" si="2"/>
        <v>0</v>
      </c>
      <c r="V59" s="208">
        <f t="shared" si="3"/>
        <v>0</v>
      </c>
      <c r="W59" s="202">
        <f>Alukset_Käynnit!N66</f>
        <v>0</v>
      </c>
      <c r="X59" s="211">
        <f>IF(Q59="Other dry cargo", Alukset_fx!$C$52, IF(OR(Q59="Dry bulk",Q59="Bulk carrier"),Alukset_fx!$C$35,IF(OR(Q59="Tanker",Q59="Gas tanker",Q59="Oil tanker"),Alukset_fx!$C$57,IF(Q59="Chemical tanker",Alukset_fx!$C$56,IF(OR(Q59="Tugboat",Q59="Barge"),0,IF(Q59="Other vessel",Alukset_fx!$C$54,IF(Q59="Container ship",Alukset_fx!$C$37,IF(OR(Q59="RoPax",Q59="RoRo",Q59="Vehicle carrier"),Alukset_fx!$C$55,0))))))))</f>
        <v>0</v>
      </c>
      <c r="Y59" s="211">
        <f>IF(Q59="Other dry cargo", Alukset_fx!$Q$52, IF(OR(Q59="Dry bulk",Q59="Bulk carrier"),Alukset_fx!$Q$35,IF(OR(Q59="Tanker",Q59="Gas tanker",Q59="Oil tanker"),Alukset_fx!$Q$57,IF(Q59="Chemical tanker",Alukset_fx!$Q$56,IF(OR(Q59="Tugboat",Q59="Barge"),0,IF(Q59="Other vessel",Alukset_fx!$Q$54,IF(Q59="Container ship",Alukset_fx!$Q$37,IF(OR(Q59="RoPax",Q59="RoRo",Q59="Vehicle carrier"),Alukset_fx!$Q$55,0))))))))</f>
        <v>0</v>
      </c>
      <c r="Z59" t="str">
        <f t="shared" si="4"/>
        <v>MDO/MGO</v>
      </c>
      <c r="AA59" t="str">
        <f t="shared" si="5"/>
        <v>MSD</v>
      </c>
      <c r="AB59" t="str">
        <f t="shared" si="6"/>
        <v>MDO/MGO</v>
      </c>
      <c r="AC59" t="str">
        <f t="shared" si="7"/>
        <v>MSD</v>
      </c>
      <c r="AD59" t="str">
        <f t="shared" si="8"/>
        <v>MDO/MGO</v>
      </c>
      <c r="AE59" t="str">
        <f t="shared" si="9"/>
        <v>ST</v>
      </c>
      <c r="AG59">
        <f>Alukset_Käynnit!O66</f>
        <v>0</v>
      </c>
      <c r="AH59" s="207">
        <f>IF(AA59="SSD",((U59*Alukset_fx!$B$24)*Alukset_Käynnit_Lask!W59*(Alukset_fx!$K$49)/1000),IF(AA59="MSD",((U59*Alukset_fx!$B$24)*Alukset_Käynnit_Lask!W59*(Alukset_fx!$K$52)/1000),IF(AA59="HSD",((U59*Alukset_fx!$B$24)*Alukset_Käynnit_Lask!W59*(Alukset_fx!$K$55)/1000),0)))</f>
        <v>0</v>
      </c>
      <c r="AI59" s="207">
        <f>IF(AC59="MSD",((V59*Alukset_fx!$B$25)*Alukset_Käynnit_Lask!W59*(Alukset_fx!$L$52)/1000),IF(AC59="HSD",((V59*Alukset_fx!$B$25)*Alukset_Käynnit_Lask!W59*(Alukset_fx!$L$55)/1000),0))</f>
        <v>0</v>
      </c>
      <c r="AJ59" s="207">
        <f>X59*W59*Alukset_fx!$K$61/1000</f>
        <v>0</v>
      </c>
      <c r="AK59">
        <v>0</v>
      </c>
      <c r="AL59" s="207">
        <f>IF(AG59="Käytetty",0,IF(AC59="MSD",((V59*Alukset_fx!$O$25)*Alukset_Käynnit_Lask!O59*(Alukset_fx!$L$52)/1000),IF(AC59="HSD",((V59*Alukset_fx!$O$25)*Alukset_Käynnit_Lask!O59*(Alukset_fx!$L$55)/1000),0)))</f>
        <v>0</v>
      </c>
      <c r="AM59" s="207">
        <f>IF(AG59="Käytetty",0,Y59*O59*Alukset_fx!$K$61/1000)</f>
        <v>0</v>
      </c>
      <c r="AN59" s="213">
        <f t="shared" si="10"/>
        <v>0</v>
      </c>
    </row>
    <row r="60" spans="1:40" x14ac:dyDescent="0.25">
      <c r="A60" s="203">
        <f>Alukset_Käynnit!A67</f>
        <v>0</v>
      </c>
      <c r="B60" s="203">
        <f>Alukset_Käynnit!B67</f>
        <v>0</v>
      </c>
      <c r="C60" s="262">
        <f>Alukset_Käynnit!C67</f>
        <v>0</v>
      </c>
      <c r="D60" s="266">
        <f>Alukset_Käynnit!D67</f>
        <v>0</v>
      </c>
      <c r="E60" s="262">
        <f>Alukset_Käynnit!E67</f>
        <v>0</v>
      </c>
      <c r="F60" s="262">
        <f>Alukset_Käynnit!F67</f>
        <v>0</v>
      </c>
      <c r="G60" s="262">
        <f>Alukset_Käynnit!G67</f>
        <v>0</v>
      </c>
      <c r="H60" s="262">
        <f>Alukset_Käynnit!H67</f>
        <v>0</v>
      </c>
      <c r="I60" s="262">
        <f>Alukset_Käynnit!I67</f>
        <v>0</v>
      </c>
      <c r="J60" s="262">
        <f>Alukset_Käynnit!J67</f>
        <v>0</v>
      </c>
      <c r="K60" s="262">
        <f>Alukset_Käynnit!K67</f>
        <v>0</v>
      </c>
      <c r="L60" s="205">
        <f>Alukset_Käynnit!L67</f>
        <v>0</v>
      </c>
      <c r="N60" s="275">
        <f t="shared" si="12"/>
        <v>0</v>
      </c>
      <c r="O60" s="276">
        <f t="shared" si="11"/>
        <v>0</v>
      </c>
      <c r="P60" s="202"/>
      <c r="Q60" s="204">
        <f t="shared" si="1"/>
        <v>0</v>
      </c>
      <c r="R60" s="202">
        <f>IF(Q60="Other dry cargo",L60*Alukset_fx!$B$71,IF(OR(Q60="Dry bulk",Q60="Bulk carrier"),L60*Alukset_fx!$B$69,IF(Q60="Tugboat",L60*Alukset_fx!$B$76,IF(OR(Q60="Tanker",Q60="Gas tanker",Q60="Chemical tanker",Q60="Oil tanker"),L60*Alukset_fx!$B$68,IF(OR(Q60="RoRo",Q60="Vehicle carrier"),L60*Alukset_fx!$B$72,IF(Q60="RoPax",L60*Alukset_fx!$B$73,IF(Q60="Container ship",L60*Alukset_fx!$B$70,IF(Q60="Barge",0,L60*Alukset_fx!$B$75))))))))</f>
        <v>0</v>
      </c>
      <c r="S60" s="210">
        <f>IF(L60=0,IF(Q60="Other dry cargo",Alukset_fx!$H$73*(Alukset_Käynnit_Lask!K60^Alukset_fx!$I$73),IF(OR(Q60="Dry Bulk",Q60="Bulk carrier"),Alukset_fx!$H$71*(Alukset_Käynnit_Lask!K60^Alukset_fx!$I$71),IF(Q60="Tugboat",Alukset_fx!$H$78*(Alukset_Käynnit_Lask!K60^Alukset_fx!$I$78),IF(OR(Q60="Tanker",Q60="Gas tanker",Q60="Chemical tanker",Q60="Oil tanker"),Alukset_fx!$H$70*(Alukset_Käynnit_Lask!K60^Alukset_fx!$I$70),IF(Q60="Container ship",Alukset_fx!$H$72*(Alukset_Käynnit_Lask!K60^Alukset_fx!$I$72),IF(Q60="Barge",0,IF(Q60="RoPax",Alukset_fx!$H$75*(Alukset_Käynnit_Lask!K60^Alukset_fx!$I$75),IF(OR(Q60="RoRo",Q60="Vehicle carrier"),Alukset_fx!$H$74*(Alukset_Käynnit_Lask!K60^Alukset_fx!$I$74),Alukset_fx!$H$77*(Alukset_Käynnit_Lask!K60^Alukset_fx!$I$77))))))))),"-")</f>
        <v>0</v>
      </c>
      <c r="T60" s="208">
        <f>IF(R60=0,IF(Q60="Other dry cargo",S60*Alukset_fx!$B$71,IF(OR(Q60="Dry bulk",Q60="Bulk carrier"),S60*Alukset_fx!$B$69,IF(Q60="Tugboat",S60*Alukset_fx!$B$76,IF(OR(Q60="Tanker",Q60="Gas tanker",Q60="Chemical tanker",Q60="Oil tanker"),S60*Alukset_fx!$B$68,IF(OR(Q60="RoRo",Q60="Vehicle carrier"),S60*Alukset_fx!$B$72,IF(Q60="RoPax",S60*Alukset_fx!$B$73,IF(Q60="Container ship",S60*Alukset_fx!$B$70,S60*Alukset_fx!$B$75))))))),"-")</f>
        <v>0</v>
      </c>
      <c r="U60" s="208">
        <f t="shared" si="2"/>
        <v>0</v>
      </c>
      <c r="V60" s="208">
        <f t="shared" si="3"/>
        <v>0</v>
      </c>
      <c r="W60" s="202">
        <f>Alukset_Käynnit!N67</f>
        <v>0</v>
      </c>
      <c r="X60" s="211">
        <f>IF(Q60="Other dry cargo", Alukset_fx!$C$52, IF(OR(Q60="Dry bulk",Q60="Bulk carrier"),Alukset_fx!$C$35,IF(OR(Q60="Tanker",Q60="Gas tanker",Q60="Oil tanker"),Alukset_fx!$C$57,IF(Q60="Chemical tanker",Alukset_fx!$C$56,IF(OR(Q60="Tugboat",Q60="Barge"),0,IF(Q60="Other vessel",Alukset_fx!$C$54,IF(Q60="Container ship",Alukset_fx!$C$37,IF(OR(Q60="RoPax",Q60="RoRo",Q60="Vehicle carrier"),Alukset_fx!$C$55,0))))))))</f>
        <v>0</v>
      </c>
      <c r="Y60" s="211">
        <f>IF(Q60="Other dry cargo", Alukset_fx!$Q$52, IF(OR(Q60="Dry bulk",Q60="Bulk carrier"),Alukset_fx!$Q$35,IF(OR(Q60="Tanker",Q60="Gas tanker",Q60="Oil tanker"),Alukset_fx!$Q$57,IF(Q60="Chemical tanker",Alukset_fx!$Q$56,IF(OR(Q60="Tugboat",Q60="Barge"),0,IF(Q60="Other vessel",Alukset_fx!$Q$54,IF(Q60="Container ship",Alukset_fx!$Q$37,IF(OR(Q60="RoPax",Q60="RoRo",Q60="Vehicle carrier"),Alukset_fx!$Q$55,0))))))))</f>
        <v>0</v>
      </c>
      <c r="Z60" t="str">
        <f t="shared" si="4"/>
        <v>MDO/MGO</v>
      </c>
      <c r="AA60" t="str">
        <f t="shared" si="5"/>
        <v>MSD</v>
      </c>
      <c r="AB60" t="str">
        <f t="shared" si="6"/>
        <v>MDO/MGO</v>
      </c>
      <c r="AC60" t="str">
        <f t="shared" si="7"/>
        <v>MSD</v>
      </c>
      <c r="AD60" t="str">
        <f t="shared" si="8"/>
        <v>MDO/MGO</v>
      </c>
      <c r="AE60" t="str">
        <f t="shared" si="9"/>
        <v>ST</v>
      </c>
      <c r="AG60">
        <f>Alukset_Käynnit!O67</f>
        <v>0</v>
      </c>
      <c r="AH60" s="207">
        <f>IF(AA60="SSD",((U60*Alukset_fx!$B$24)*Alukset_Käynnit_Lask!W60*(Alukset_fx!$K$49)/1000),IF(AA60="MSD",((U60*Alukset_fx!$B$24)*Alukset_Käynnit_Lask!W60*(Alukset_fx!$K$52)/1000),IF(AA60="HSD",((U60*Alukset_fx!$B$24)*Alukset_Käynnit_Lask!W60*(Alukset_fx!$K$55)/1000),0)))</f>
        <v>0</v>
      </c>
      <c r="AI60" s="207">
        <f>IF(AC60="MSD",((V60*Alukset_fx!$B$25)*Alukset_Käynnit_Lask!W60*(Alukset_fx!$L$52)/1000),IF(AC60="HSD",((V60*Alukset_fx!$B$25)*Alukset_Käynnit_Lask!W60*(Alukset_fx!$L$55)/1000),0))</f>
        <v>0</v>
      </c>
      <c r="AJ60" s="207">
        <f>X60*W60*Alukset_fx!$K$61/1000</f>
        <v>0</v>
      </c>
      <c r="AK60">
        <v>0</v>
      </c>
      <c r="AL60" s="207">
        <f>IF(AG60="Käytetty",0,IF(AC60="MSD",((V60*Alukset_fx!$O$25)*Alukset_Käynnit_Lask!O60*(Alukset_fx!$L$52)/1000),IF(AC60="HSD",((V60*Alukset_fx!$O$25)*Alukset_Käynnit_Lask!O60*(Alukset_fx!$L$55)/1000),0)))</f>
        <v>0</v>
      </c>
      <c r="AM60" s="207">
        <f>IF(AG60="Käytetty",0,Y60*O60*Alukset_fx!$K$61/1000)</f>
        <v>0</v>
      </c>
      <c r="AN60" s="213">
        <f t="shared" si="10"/>
        <v>0</v>
      </c>
    </row>
    <row r="61" spans="1:40" x14ac:dyDescent="0.25">
      <c r="A61" s="203">
        <f>Alukset_Käynnit!A68</f>
        <v>0</v>
      </c>
      <c r="B61" s="203">
        <f>Alukset_Käynnit!B68</f>
        <v>0</v>
      </c>
      <c r="C61" s="262">
        <f>Alukset_Käynnit!C68</f>
        <v>0</v>
      </c>
      <c r="D61" s="266">
        <f>Alukset_Käynnit!D68</f>
        <v>0</v>
      </c>
      <c r="E61" s="262">
        <f>Alukset_Käynnit!E68</f>
        <v>0</v>
      </c>
      <c r="F61" s="262">
        <f>Alukset_Käynnit!F68</f>
        <v>0</v>
      </c>
      <c r="G61" s="262">
        <f>Alukset_Käynnit!G68</f>
        <v>0</v>
      </c>
      <c r="H61" s="262">
        <f>Alukset_Käynnit!H68</f>
        <v>0</v>
      </c>
      <c r="I61" s="262">
        <f>Alukset_Käynnit!I68</f>
        <v>0</v>
      </c>
      <c r="J61" s="262">
        <f>Alukset_Käynnit!J68</f>
        <v>0</v>
      </c>
      <c r="K61" s="262">
        <f>Alukset_Käynnit!K68</f>
        <v>0</v>
      </c>
      <c r="L61" s="205">
        <f>Alukset_Käynnit!L68</f>
        <v>0</v>
      </c>
      <c r="N61" s="273">
        <f t="shared" si="12"/>
        <v>0</v>
      </c>
      <c r="O61" s="274">
        <f t="shared" si="11"/>
        <v>0</v>
      </c>
      <c r="P61" s="202"/>
      <c r="Q61" s="204">
        <f t="shared" si="1"/>
        <v>0</v>
      </c>
      <c r="R61" s="202">
        <f>IF(Q61="Other dry cargo",L61*Alukset_fx!$B$71,IF(OR(Q61="Dry bulk",Q61="Bulk carrier"),L61*Alukset_fx!$B$69,IF(Q61="Tugboat",L61*Alukset_fx!$B$76,IF(OR(Q61="Tanker",Q61="Gas tanker",Q61="Chemical tanker",Q61="Oil tanker"),L61*Alukset_fx!$B$68,IF(OR(Q61="RoRo",Q61="Vehicle carrier"),L61*Alukset_fx!$B$72,IF(Q61="RoPax",L61*Alukset_fx!$B$73,IF(Q61="Container ship",L61*Alukset_fx!$B$70,IF(Q61="Barge",0,L61*Alukset_fx!$B$75))))))))</f>
        <v>0</v>
      </c>
      <c r="S61" s="210">
        <f>IF(L61=0,IF(Q61="Other dry cargo",Alukset_fx!$H$73*(Alukset_Käynnit_Lask!K61^Alukset_fx!$I$73),IF(OR(Q61="Dry Bulk",Q61="Bulk carrier"),Alukset_fx!$H$71*(Alukset_Käynnit_Lask!K61^Alukset_fx!$I$71),IF(Q61="Tugboat",Alukset_fx!$H$78*(Alukset_Käynnit_Lask!K61^Alukset_fx!$I$78),IF(OR(Q61="Tanker",Q61="Gas tanker",Q61="Chemical tanker",Q61="Oil tanker"),Alukset_fx!$H$70*(Alukset_Käynnit_Lask!K61^Alukset_fx!$I$70),IF(Q61="Container ship",Alukset_fx!$H$72*(Alukset_Käynnit_Lask!K61^Alukset_fx!$I$72),IF(Q61="Barge",0,IF(Q61="RoPax",Alukset_fx!$H$75*(Alukset_Käynnit_Lask!K61^Alukset_fx!$I$75),IF(OR(Q61="RoRo",Q61="Vehicle carrier"),Alukset_fx!$H$74*(Alukset_Käynnit_Lask!K61^Alukset_fx!$I$74),Alukset_fx!$H$77*(Alukset_Käynnit_Lask!K61^Alukset_fx!$I$77))))))))),"-")</f>
        <v>0</v>
      </c>
      <c r="T61" s="208">
        <f>IF(R61=0,IF(Q61="Other dry cargo",S61*Alukset_fx!$B$71,IF(OR(Q61="Dry bulk",Q61="Bulk carrier"),S61*Alukset_fx!$B$69,IF(Q61="Tugboat",S61*Alukset_fx!$B$76,IF(OR(Q61="Tanker",Q61="Gas tanker",Q61="Chemical tanker",Q61="Oil tanker"),S61*Alukset_fx!$B$68,IF(OR(Q61="RoRo",Q61="Vehicle carrier"),S61*Alukset_fx!$B$72,IF(Q61="RoPax",S61*Alukset_fx!$B$73,IF(Q61="Container ship",S61*Alukset_fx!$B$70,S61*Alukset_fx!$B$75))))))),"-")</f>
        <v>0</v>
      </c>
      <c r="U61" s="208">
        <f t="shared" si="2"/>
        <v>0</v>
      </c>
      <c r="V61" s="208">
        <f t="shared" si="3"/>
        <v>0</v>
      </c>
      <c r="W61" s="202">
        <f>Alukset_Käynnit!N68</f>
        <v>0</v>
      </c>
      <c r="X61" s="211">
        <f>IF(Q61="Other dry cargo", Alukset_fx!$C$52, IF(OR(Q61="Dry bulk",Q61="Bulk carrier"),Alukset_fx!$C$35,IF(OR(Q61="Tanker",Q61="Gas tanker",Q61="Oil tanker"),Alukset_fx!$C$57,IF(Q61="Chemical tanker",Alukset_fx!$C$56,IF(OR(Q61="Tugboat",Q61="Barge"),0,IF(Q61="Other vessel",Alukset_fx!$C$54,IF(Q61="Container ship",Alukset_fx!$C$37,IF(OR(Q61="RoPax",Q61="RoRo",Q61="Vehicle carrier"),Alukset_fx!$C$55,0))))))))</f>
        <v>0</v>
      </c>
      <c r="Y61" s="211">
        <f>IF(Q61="Other dry cargo", Alukset_fx!$Q$52, IF(OR(Q61="Dry bulk",Q61="Bulk carrier"),Alukset_fx!$Q$35,IF(OR(Q61="Tanker",Q61="Gas tanker",Q61="Oil tanker"),Alukset_fx!$Q$57,IF(Q61="Chemical tanker",Alukset_fx!$Q$56,IF(OR(Q61="Tugboat",Q61="Barge"),0,IF(Q61="Other vessel",Alukset_fx!$Q$54,IF(Q61="Container ship",Alukset_fx!$Q$37,IF(OR(Q61="RoPax",Q61="RoRo",Q61="Vehicle carrier"),Alukset_fx!$Q$55,0))))))))</f>
        <v>0</v>
      </c>
      <c r="Z61" t="str">
        <f t="shared" si="4"/>
        <v>MDO/MGO</v>
      </c>
      <c r="AA61" t="str">
        <f t="shared" si="5"/>
        <v>MSD</v>
      </c>
      <c r="AB61" t="str">
        <f t="shared" si="6"/>
        <v>MDO/MGO</v>
      </c>
      <c r="AC61" t="str">
        <f t="shared" si="7"/>
        <v>MSD</v>
      </c>
      <c r="AD61" t="str">
        <f t="shared" si="8"/>
        <v>MDO/MGO</v>
      </c>
      <c r="AE61" t="str">
        <f t="shared" si="9"/>
        <v>ST</v>
      </c>
      <c r="AG61">
        <f>Alukset_Käynnit!O68</f>
        <v>0</v>
      </c>
      <c r="AH61" s="207">
        <f>IF(AA61="SSD",((U61*Alukset_fx!$B$24)*Alukset_Käynnit_Lask!W61*(Alukset_fx!$K$49)/1000),IF(AA61="MSD",((U61*Alukset_fx!$B$24)*Alukset_Käynnit_Lask!W61*(Alukset_fx!$K$52)/1000),IF(AA61="HSD",((U61*Alukset_fx!$B$24)*Alukset_Käynnit_Lask!W61*(Alukset_fx!$K$55)/1000),0)))</f>
        <v>0</v>
      </c>
      <c r="AI61" s="207">
        <f>IF(AC61="MSD",((V61*Alukset_fx!$B$25)*Alukset_Käynnit_Lask!W61*(Alukset_fx!$L$52)/1000),IF(AC61="HSD",((V61*Alukset_fx!$B$25)*Alukset_Käynnit_Lask!W61*(Alukset_fx!$L$55)/1000),0))</f>
        <v>0</v>
      </c>
      <c r="AJ61" s="207">
        <f>X61*W61*Alukset_fx!$K$61/1000</f>
        <v>0</v>
      </c>
      <c r="AK61">
        <v>0</v>
      </c>
      <c r="AL61" s="207">
        <f>IF(AG61="Käytetty",0,IF(AC61="MSD",((V61*Alukset_fx!$O$25)*Alukset_Käynnit_Lask!O61*(Alukset_fx!$L$52)/1000),IF(AC61="HSD",((V61*Alukset_fx!$O$25)*Alukset_Käynnit_Lask!O61*(Alukset_fx!$L$55)/1000),0)))</f>
        <v>0</v>
      </c>
      <c r="AM61" s="207">
        <f>IF(AG61="Käytetty",0,Y61*O61*Alukset_fx!$K$61/1000)</f>
        <v>0</v>
      </c>
      <c r="AN61" s="213">
        <f t="shared" si="10"/>
        <v>0</v>
      </c>
    </row>
    <row r="62" spans="1:40" x14ac:dyDescent="0.25">
      <c r="A62" s="203">
        <f>Alukset_Käynnit!A69</f>
        <v>0</v>
      </c>
      <c r="B62" s="203">
        <f>Alukset_Käynnit!B69</f>
        <v>0</v>
      </c>
      <c r="C62" s="262">
        <f>Alukset_Käynnit!C69</f>
        <v>0</v>
      </c>
      <c r="D62" s="266">
        <f>Alukset_Käynnit!D69</f>
        <v>0</v>
      </c>
      <c r="E62" s="262">
        <f>Alukset_Käynnit!E69</f>
        <v>0</v>
      </c>
      <c r="F62" s="262">
        <f>Alukset_Käynnit!F69</f>
        <v>0</v>
      </c>
      <c r="G62" s="262">
        <f>Alukset_Käynnit!G69</f>
        <v>0</v>
      </c>
      <c r="H62" s="262">
        <f>Alukset_Käynnit!H69</f>
        <v>0</v>
      </c>
      <c r="I62" s="262">
        <f>Alukset_Käynnit!I69</f>
        <v>0</v>
      </c>
      <c r="J62" s="262">
        <f>Alukset_Käynnit!J69</f>
        <v>0</v>
      </c>
      <c r="K62" s="262">
        <f>Alukset_Käynnit!K69</f>
        <v>0</v>
      </c>
      <c r="L62" s="205">
        <f>Alukset_Käynnit!L69</f>
        <v>0</v>
      </c>
      <c r="N62" s="273">
        <f t="shared" si="12"/>
        <v>0</v>
      </c>
      <c r="O62" s="274">
        <f t="shared" si="11"/>
        <v>0</v>
      </c>
      <c r="P62" s="202"/>
      <c r="Q62" s="204">
        <f t="shared" si="1"/>
        <v>0</v>
      </c>
      <c r="R62" s="202">
        <f>IF(Q62="Other dry cargo",L62*Alukset_fx!$B$71,IF(OR(Q62="Dry bulk",Q62="Bulk carrier"),L62*Alukset_fx!$B$69,IF(Q62="Tugboat",L62*Alukset_fx!$B$76,IF(OR(Q62="Tanker",Q62="Gas tanker",Q62="Chemical tanker",Q62="Oil tanker"),L62*Alukset_fx!$B$68,IF(OR(Q62="RoRo",Q62="Vehicle carrier"),L62*Alukset_fx!$B$72,IF(Q62="RoPax",L62*Alukset_fx!$B$73,IF(Q62="Container ship",L62*Alukset_fx!$B$70,IF(Q62="Barge",0,L62*Alukset_fx!$B$75))))))))</f>
        <v>0</v>
      </c>
      <c r="S62" s="210">
        <f>IF(L62=0,IF(Q62="Other dry cargo",Alukset_fx!$H$73*(Alukset_Käynnit_Lask!K62^Alukset_fx!$I$73),IF(OR(Q62="Dry Bulk",Q62="Bulk carrier"),Alukset_fx!$H$71*(Alukset_Käynnit_Lask!K62^Alukset_fx!$I$71),IF(Q62="Tugboat",Alukset_fx!$H$78*(Alukset_Käynnit_Lask!K62^Alukset_fx!$I$78),IF(OR(Q62="Tanker",Q62="Gas tanker",Q62="Chemical tanker",Q62="Oil tanker"),Alukset_fx!$H$70*(Alukset_Käynnit_Lask!K62^Alukset_fx!$I$70),IF(Q62="Container ship",Alukset_fx!$H$72*(Alukset_Käynnit_Lask!K62^Alukset_fx!$I$72),IF(Q62="Barge",0,IF(Q62="RoPax",Alukset_fx!$H$75*(Alukset_Käynnit_Lask!K62^Alukset_fx!$I$75),IF(OR(Q62="RoRo",Q62="Vehicle carrier"),Alukset_fx!$H$74*(Alukset_Käynnit_Lask!K62^Alukset_fx!$I$74),Alukset_fx!$H$77*(Alukset_Käynnit_Lask!K62^Alukset_fx!$I$77))))))))),"-")</f>
        <v>0</v>
      </c>
      <c r="T62" s="208">
        <f>IF(R62=0,IF(Q62="Other dry cargo",S62*Alukset_fx!$B$71,IF(OR(Q62="Dry bulk",Q62="Bulk carrier"),S62*Alukset_fx!$B$69,IF(Q62="Tugboat",S62*Alukset_fx!$B$76,IF(OR(Q62="Tanker",Q62="Gas tanker",Q62="Chemical tanker",Q62="Oil tanker"),S62*Alukset_fx!$B$68,IF(OR(Q62="RoRo",Q62="Vehicle carrier"),S62*Alukset_fx!$B$72,IF(Q62="RoPax",S62*Alukset_fx!$B$73,IF(Q62="Container ship",S62*Alukset_fx!$B$70,S62*Alukset_fx!$B$75))))))),"-")</f>
        <v>0</v>
      </c>
      <c r="U62" s="208">
        <f t="shared" si="2"/>
        <v>0</v>
      </c>
      <c r="V62" s="208">
        <f t="shared" si="3"/>
        <v>0</v>
      </c>
      <c r="W62" s="202">
        <f>Alukset_Käynnit!N69</f>
        <v>0</v>
      </c>
      <c r="X62" s="211">
        <f>IF(Q62="Other dry cargo", Alukset_fx!$C$52, IF(OR(Q62="Dry bulk",Q62="Bulk carrier"),Alukset_fx!$C$35,IF(OR(Q62="Tanker",Q62="Gas tanker",Q62="Oil tanker"),Alukset_fx!$C$57,IF(Q62="Chemical tanker",Alukset_fx!$C$56,IF(OR(Q62="Tugboat",Q62="Barge"),0,IF(Q62="Other vessel",Alukset_fx!$C$54,IF(Q62="Container ship",Alukset_fx!$C$37,IF(OR(Q62="RoPax",Q62="RoRo",Q62="Vehicle carrier"),Alukset_fx!$C$55,0))))))))</f>
        <v>0</v>
      </c>
      <c r="Y62" s="211">
        <f>IF(Q62="Other dry cargo", Alukset_fx!$Q$52, IF(OR(Q62="Dry bulk",Q62="Bulk carrier"),Alukset_fx!$Q$35,IF(OR(Q62="Tanker",Q62="Gas tanker",Q62="Oil tanker"),Alukset_fx!$Q$57,IF(Q62="Chemical tanker",Alukset_fx!$Q$56,IF(OR(Q62="Tugboat",Q62="Barge"),0,IF(Q62="Other vessel",Alukset_fx!$Q$54,IF(Q62="Container ship",Alukset_fx!$Q$37,IF(OR(Q62="RoPax",Q62="RoRo",Q62="Vehicle carrier"),Alukset_fx!$Q$55,0))))))))</f>
        <v>0</v>
      </c>
      <c r="Z62" t="str">
        <f t="shared" si="4"/>
        <v>MDO/MGO</v>
      </c>
      <c r="AA62" t="str">
        <f t="shared" si="5"/>
        <v>MSD</v>
      </c>
      <c r="AB62" t="str">
        <f t="shared" si="6"/>
        <v>MDO/MGO</v>
      </c>
      <c r="AC62" t="str">
        <f t="shared" si="7"/>
        <v>MSD</v>
      </c>
      <c r="AD62" t="str">
        <f t="shared" si="8"/>
        <v>MDO/MGO</v>
      </c>
      <c r="AE62" t="str">
        <f t="shared" si="9"/>
        <v>ST</v>
      </c>
      <c r="AG62">
        <f>Alukset_Käynnit!O69</f>
        <v>0</v>
      </c>
      <c r="AH62" s="207">
        <f>IF(AA62="SSD",((U62*Alukset_fx!$B$24)*Alukset_Käynnit_Lask!W62*(Alukset_fx!$K$49)/1000),IF(AA62="MSD",((U62*Alukset_fx!$B$24)*Alukset_Käynnit_Lask!W62*(Alukset_fx!$K$52)/1000),IF(AA62="HSD",((U62*Alukset_fx!$B$24)*Alukset_Käynnit_Lask!W62*(Alukset_fx!$K$55)/1000),0)))</f>
        <v>0</v>
      </c>
      <c r="AI62" s="207">
        <f>IF(AC62="MSD",((V62*Alukset_fx!$B$25)*Alukset_Käynnit_Lask!W62*(Alukset_fx!$L$52)/1000),IF(AC62="HSD",((V62*Alukset_fx!$B$25)*Alukset_Käynnit_Lask!W62*(Alukset_fx!$L$55)/1000),0))</f>
        <v>0</v>
      </c>
      <c r="AJ62" s="207">
        <f>X62*W62*Alukset_fx!$K$61/1000</f>
        <v>0</v>
      </c>
      <c r="AK62">
        <v>0</v>
      </c>
      <c r="AL62" s="207">
        <f>IF(AG62="Käytetty",0,IF(AC62="MSD",((V62*Alukset_fx!$O$25)*Alukset_Käynnit_Lask!O62*(Alukset_fx!$L$52)/1000),IF(AC62="HSD",((V62*Alukset_fx!$O$25)*Alukset_Käynnit_Lask!O62*(Alukset_fx!$L$55)/1000),0)))</f>
        <v>0</v>
      </c>
      <c r="AM62" s="207">
        <f>IF(AG62="Käytetty",0,Y62*O62*Alukset_fx!$K$61/1000)</f>
        <v>0</v>
      </c>
      <c r="AN62" s="213">
        <f t="shared" si="10"/>
        <v>0</v>
      </c>
    </row>
    <row r="63" spans="1:40" x14ac:dyDescent="0.25">
      <c r="A63" s="203">
        <f>Alukset_Käynnit!A70</f>
        <v>0</v>
      </c>
      <c r="B63" s="203">
        <f>Alukset_Käynnit!B70</f>
        <v>0</v>
      </c>
      <c r="C63" s="262">
        <f>Alukset_Käynnit!C70</f>
        <v>0</v>
      </c>
      <c r="D63" s="266">
        <f>Alukset_Käynnit!D70</f>
        <v>0</v>
      </c>
      <c r="E63" s="262">
        <f>Alukset_Käynnit!E70</f>
        <v>0</v>
      </c>
      <c r="F63" s="262">
        <f>Alukset_Käynnit!F70</f>
        <v>0</v>
      </c>
      <c r="G63" s="262">
        <f>Alukset_Käynnit!G70</f>
        <v>0</v>
      </c>
      <c r="H63" s="262">
        <f>Alukset_Käynnit!H70</f>
        <v>0</v>
      </c>
      <c r="I63" s="262">
        <f>Alukset_Käynnit!I70</f>
        <v>0</v>
      </c>
      <c r="J63" s="262">
        <f>Alukset_Käynnit!J70</f>
        <v>0</v>
      </c>
      <c r="K63" s="262">
        <f>Alukset_Käynnit!K70</f>
        <v>0</v>
      </c>
      <c r="L63" s="205">
        <f>Alukset_Käynnit!L70</f>
        <v>0</v>
      </c>
      <c r="N63" s="273">
        <f t="shared" si="12"/>
        <v>0</v>
      </c>
      <c r="O63" s="274">
        <f t="shared" si="11"/>
        <v>0</v>
      </c>
      <c r="P63" s="202"/>
      <c r="Q63" s="204">
        <f t="shared" si="1"/>
        <v>0</v>
      </c>
      <c r="R63" s="202">
        <f>IF(Q63="Other dry cargo",L63*Alukset_fx!$B$71,IF(OR(Q63="Dry bulk",Q63="Bulk carrier"),L63*Alukset_fx!$B$69,IF(Q63="Tugboat",L63*Alukset_fx!$B$76,IF(OR(Q63="Tanker",Q63="Gas tanker",Q63="Chemical tanker",Q63="Oil tanker"),L63*Alukset_fx!$B$68,IF(OR(Q63="RoRo",Q63="Vehicle carrier"),L63*Alukset_fx!$B$72,IF(Q63="RoPax",L63*Alukset_fx!$B$73,IF(Q63="Container ship",L63*Alukset_fx!$B$70,IF(Q63="Barge",0,L63*Alukset_fx!$B$75))))))))</f>
        <v>0</v>
      </c>
      <c r="S63" s="210">
        <f>IF(L63=0,IF(Q63="Other dry cargo",Alukset_fx!$H$73*(Alukset_Käynnit_Lask!K63^Alukset_fx!$I$73),IF(OR(Q63="Dry Bulk",Q63="Bulk carrier"),Alukset_fx!$H$71*(Alukset_Käynnit_Lask!K63^Alukset_fx!$I$71),IF(Q63="Tugboat",Alukset_fx!$H$78*(Alukset_Käynnit_Lask!K63^Alukset_fx!$I$78),IF(OR(Q63="Tanker",Q63="Gas tanker",Q63="Chemical tanker",Q63="Oil tanker"),Alukset_fx!$H$70*(Alukset_Käynnit_Lask!K63^Alukset_fx!$I$70),IF(Q63="Container ship",Alukset_fx!$H$72*(Alukset_Käynnit_Lask!K63^Alukset_fx!$I$72),IF(Q63="Barge",0,IF(Q63="RoPax",Alukset_fx!$H$75*(Alukset_Käynnit_Lask!K63^Alukset_fx!$I$75),IF(OR(Q63="RoRo",Q63="Vehicle carrier"),Alukset_fx!$H$74*(Alukset_Käynnit_Lask!K63^Alukset_fx!$I$74),Alukset_fx!$H$77*(Alukset_Käynnit_Lask!K63^Alukset_fx!$I$77))))))))),"-")</f>
        <v>0</v>
      </c>
      <c r="T63" s="208">
        <f>IF(R63=0,IF(Q63="Other dry cargo",S63*Alukset_fx!$B$71,IF(OR(Q63="Dry bulk",Q63="Bulk carrier"),S63*Alukset_fx!$B$69,IF(Q63="Tugboat",S63*Alukset_fx!$B$76,IF(OR(Q63="Tanker",Q63="Gas tanker",Q63="Chemical tanker",Q63="Oil tanker"),S63*Alukset_fx!$B$68,IF(OR(Q63="RoRo",Q63="Vehicle carrier"),S63*Alukset_fx!$B$72,IF(Q63="RoPax",S63*Alukset_fx!$B$73,IF(Q63="Container ship",S63*Alukset_fx!$B$70,S63*Alukset_fx!$B$75))))))),"-")</f>
        <v>0</v>
      </c>
      <c r="U63" s="208">
        <f t="shared" si="2"/>
        <v>0</v>
      </c>
      <c r="V63" s="208">
        <f t="shared" si="3"/>
        <v>0</v>
      </c>
      <c r="W63" s="202">
        <f>Alukset_Käynnit!N70</f>
        <v>0</v>
      </c>
      <c r="X63" s="211">
        <f>IF(Q63="Other dry cargo", Alukset_fx!$C$52, IF(OR(Q63="Dry bulk",Q63="Bulk carrier"),Alukset_fx!$C$35,IF(OR(Q63="Tanker",Q63="Gas tanker",Q63="Oil tanker"),Alukset_fx!$C$57,IF(Q63="Chemical tanker",Alukset_fx!$C$56,IF(OR(Q63="Tugboat",Q63="Barge"),0,IF(Q63="Other vessel",Alukset_fx!$C$54,IF(Q63="Container ship",Alukset_fx!$C$37,IF(OR(Q63="RoPax",Q63="RoRo",Q63="Vehicle carrier"),Alukset_fx!$C$55,0))))))))</f>
        <v>0</v>
      </c>
      <c r="Y63" s="211">
        <f>IF(Q63="Other dry cargo", Alukset_fx!$Q$52, IF(OR(Q63="Dry bulk",Q63="Bulk carrier"),Alukset_fx!$Q$35,IF(OR(Q63="Tanker",Q63="Gas tanker",Q63="Oil tanker"),Alukset_fx!$Q$57,IF(Q63="Chemical tanker",Alukset_fx!$Q$56,IF(OR(Q63="Tugboat",Q63="Barge"),0,IF(Q63="Other vessel",Alukset_fx!$Q$54,IF(Q63="Container ship",Alukset_fx!$Q$37,IF(OR(Q63="RoPax",Q63="RoRo",Q63="Vehicle carrier"),Alukset_fx!$Q$55,0))))))))</f>
        <v>0</v>
      </c>
      <c r="Z63" t="str">
        <f t="shared" si="4"/>
        <v>MDO/MGO</v>
      </c>
      <c r="AA63" t="str">
        <f t="shared" si="5"/>
        <v>MSD</v>
      </c>
      <c r="AB63" t="str">
        <f t="shared" si="6"/>
        <v>MDO/MGO</v>
      </c>
      <c r="AC63" t="str">
        <f t="shared" si="7"/>
        <v>MSD</v>
      </c>
      <c r="AD63" t="str">
        <f t="shared" si="8"/>
        <v>MDO/MGO</v>
      </c>
      <c r="AE63" t="str">
        <f t="shared" si="9"/>
        <v>ST</v>
      </c>
      <c r="AG63">
        <f>Alukset_Käynnit!O70</f>
        <v>0</v>
      </c>
      <c r="AH63" s="207">
        <f>IF(AA63="SSD",((U63*Alukset_fx!$B$24)*Alukset_Käynnit_Lask!W63*(Alukset_fx!$K$49)/1000),IF(AA63="MSD",((U63*Alukset_fx!$B$24)*Alukset_Käynnit_Lask!W63*(Alukset_fx!$K$52)/1000),IF(AA63="HSD",((U63*Alukset_fx!$B$24)*Alukset_Käynnit_Lask!W63*(Alukset_fx!$K$55)/1000),0)))</f>
        <v>0</v>
      </c>
      <c r="AI63" s="207">
        <f>IF(AC63="MSD",((V63*Alukset_fx!$B$25)*Alukset_Käynnit_Lask!W63*(Alukset_fx!$L$52)/1000),IF(AC63="HSD",((V63*Alukset_fx!$B$25)*Alukset_Käynnit_Lask!W63*(Alukset_fx!$L$55)/1000),0))</f>
        <v>0</v>
      </c>
      <c r="AJ63" s="207">
        <f>X63*W63*Alukset_fx!$K$61/1000</f>
        <v>0</v>
      </c>
      <c r="AK63">
        <v>0</v>
      </c>
      <c r="AL63" s="207">
        <f>IF(AG63="Käytetty",0,IF(AC63="MSD",((V63*Alukset_fx!$O$25)*Alukset_Käynnit_Lask!O63*(Alukset_fx!$L$52)/1000),IF(AC63="HSD",((V63*Alukset_fx!$O$25)*Alukset_Käynnit_Lask!O63*(Alukset_fx!$L$55)/1000),0)))</f>
        <v>0</v>
      </c>
      <c r="AM63" s="207">
        <f>IF(AG63="Käytetty",0,Y63*O63*Alukset_fx!$K$61/1000)</f>
        <v>0</v>
      </c>
      <c r="AN63" s="213">
        <f t="shared" si="10"/>
        <v>0</v>
      </c>
    </row>
    <row r="64" spans="1:40" x14ac:dyDescent="0.25">
      <c r="A64" s="203">
        <f>Alukset_Käynnit!A71</f>
        <v>0</v>
      </c>
      <c r="B64" s="203">
        <f>Alukset_Käynnit!B71</f>
        <v>0</v>
      </c>
      <c r="C64" s="262">
        <f>Alukset_Käynnit!C71</f>
        <v>0</v>
      </c>
      <c r="D64" s="266">
        <f>Alukset_Käynnit!D71</f>
        <v>0</v>
      </c>
      <c r="E64" s="262">
        <f>Alukset_Käynnit!E71</f>
        <v>0</v>
      </c>
      <c r="F64" s="262">
        <f>Alukset_Käynnit!F71</f>
        <v>0</v>
      </c>
      <c r="G64" s="262">
        <f>Alukset_Käynnit!G71</f>
        <v>0</v>
      </c>
      <c r="H64" s="262">
        <f>Alukset_Käynnit!H71</f>
        <v>0</v>
      </c>
      <c r="I64" s="262">
        <f>Alukset_Käynnit!I71</f>
        <v>0</v>
      </c>
      <c r="J64" s="262">
        <f>Alukset_Käynnit!J71</f>
        <v>0</v>
      </c>
      <c r="K64" s="262">
        <f>Alukset_Käynnit!K71</f>
        <v>0</v>
      </c>
      <c r="L64" s="205">
        <f>Alukset_Käynnit!L71</f>
        <v>0</v>
      </c>
      <c r="N64" s="273">
        <f t="shared" si="12"/>
        <v>0</v>
      </c>
      <c r="O64" s="274">
        <f t="shared" si="11"/>
        <v>0</v>
      </c>
      <c r="P64" s="202"/>
      <c r="Q64" s="204">
        <f t="shared" si="1"/>
        <v>0</v>
      </c>
      <c r="R64" s="202">
        <f>IF(Q64="Other dry cargo",L64*Alukset_fx!$B$71,IF(OR(Q64="Dry bulk",Q64="Bulk carrier"),L64*Alukset_fx!$B$69,IF(Q64="Tugboat",L64*Alukset_fx!$B$76,IF(OR(Q64="Tanker",Q64="Gas tanker",Q64="Chemical tanker",Q64="Oil tanker"),L64*Alukset_fx!$B$68,IF(OR(Q64="RoRo",Q64="Vehicle carrier"),L64*Alukset_fx!$B$72,IF(Q64="RoPax",L64*Alukset_fx!$B$73,IF(Q64="Container ship",L64*Alukset_fx!$B$70,IF(Q64="Barge",0,L64*Alukset_fx!$B$75))))))))</f>
        <v>0</v>
      </c>
      <c r="S64" s="210">
        <f>IF(L64=0,IF(Q64="Other dry cargo",Alukset_fx!$H$73*(Alukset_Käynnit_Lask!K64^Alukset_fx!$I$73),IF(OR(Q64="Dry Bulk",Q64="Bulk carrier"),Alukset_fx!$H$71*(Alukset_Käynnit_Lask!K64^Alukset_fx!$I$71),IF(Q64="Tugboat",Alukset_fx!$H$78*(Alukset_Käynnit_Lask!K64^Alukset_fx!$I$78),IF(OR(Q64="Tanker",Q64="Gas tanker",Q64="Chemical tanker",Q64="Oil tanker"),Alukset_fx!$H$70*(Alukset_Käynnit_Lask!K64^Alukset_fx!$I$70),IF(Q64="Container ship",Alukset_fx!$H$72*(Alukset_Käynnit_Lask!K64^Alukset_fx!$I$72),IF(Q64="Barge",0,IF(Q64="RoPax",Alukset_fx!$H$75*(Alukset_Käynnit_Lask!K64^Alukset_fx!$I$75),IF(OR(Q64="RoRo",Q64="Vehicle carrier"),Alukset_fx!$H$74*(Alukset_Käynnit_Lask!K64^Alukset_fx!$I$74),Alukset_fx!$H$77*(Alukset_Käynnit_Lask!K64^Alukset_fx!$I$77))))))))),"-")</f>
        <v>0</v>
      </c>
      <c r="T64" s="208">
        <f>IF(R64=0,IF(Q64="Other dry cargo",S64*Alukset_fx!$B$71,IF(OR(Q64="Dry bulk",Q64="Bulk carrier"),S64*Alukset_fx!$B$69,IF(Q64="Tugboat",S64*Alukset_fx!$B$76,IF(OR(Q64="Tanker",Q64="Gas tanker",Q64="Chemical tanker",Q64="Oil tanker"),S64*Alukset_fx!$B$68,IF(OR(Q64="RoRo",Q64="Vehicle carrier"),S64*Alukset_fx!$B$72,IF(Q64="RoPax",S64*Alukset_fx!$B$73,IF(Q64="Container ship",S64*Alukset_fx!$B$70,S64*Alukset_fx!$B$75))))))),"-")</f>
        <v>0</v>
      </c>
      <c r="U64" s="208">
        <f t="shared" si="2"/>
        <v>0</v>
      </c>
      <c r="V64" s="208">
        <f t="shared" si="3"/>
        <v>0</v>
      </c>
      <c r="W64" s="202">
        <f>Alukset_Käynnit!N71</f>
        <v>0</v>
      </c>
      <c r="X64" s="211">
        <f>IF(Q64="Other dry cargo", Alukset_fx!$C$52, IF(OR(Q64="Dry bulk",Q64="Bulk carrier"),Alukset_fx!$C$35,IF(OR(Q64="Tanker",Q64="Gas tanker",Q64="Oil tanker"),Alukset_fx!$C$57,IF(Q64="Chemical tanker",Alukset_fx!$C$56,IF(OR(Q64="Tugboat",Q64="Barge"),0,IF(Q64="Other vessel",Alukset_fx!$C$54,IF(Q64="Container ship",Alukset_fx!$C$37,IF(OR(Q64="RoPax",Q64="RoRo",Q64="Vehicle carrier"),Alukset_fx!$C$55,0))))))))</f>
        <v>0</v>
      </c>
      <c r="Y64" s="211">
        <f>IF(Q64="Other dry cargo", Alukset_fx!$Q$52, IF(OR(Q64="Dry bulk",Q64="Bulk carrier"),Alukset_fx!$Q$35,IF(OR(Q64="Tanker",Q64="Gas tanker",Q64="Oil tanker"),Alukset_fx!$Q$57,IF(Q64="Chemical tanker",Alukset_fx!$Q$56,IF(OR(Q64="Tugboat",Q64="Barge"),0,IF(Q64="Other vessel",Alukset_fx!$Q$54,IF(Q64="Container ship",Alukset_fx!$Q$37,IF(OR(Q64="RoPax",Q64="RoRo",Q64="Vehicle carrier"),Alukset_fx!$Q$55,0))))))))</f>
        <v>0</v>
      </c>
      <c r="Z64" t="str">
        <f t="shared" si="4"/>
        <v>MDO/MGO</v>
      </c>
      <c r="AA64" t="str">
        <f t="shared" si="5"/>
        <v>MSD</v>
      </c>
      <c r="AB64" t="str">
        <f t="shared" si="6"/>
        <v>MDO/MGO</v>
      </c>
      <c r="AC64" t="str">
        <f t="shared" si="7"/>
        <v>MSD</v>
      </c>
      <c r="AD64" t="str">
        <f t="shared" si="8"/>
        <v>MDO/MGO</v>
      </c>
      <c r="AE64" t="str">
        <f t="shared" si="9"/>
        <v>ST</v>
      </c>
      <c r="AG64">
        <f>Alukset_Käynnit!O71</f>
        <v>0</v>
      </c>
      <c r="AH64" s="207">
        <f>IF(AA64="SSD",((U64*Alukset_fx!$B$24)*Alukset_Käynnit_Lask!W64*(Alukset_fx!$K$49)/1000),IF(AA64="MSD",((U64*Alukset_fx!$B$24)*Alukset_Käynnit_Lask!W64*(Alukset_fx!$K$52)/1000),IF(AA64="HSD",((U64*Alukset_fx!$B$24)*Alukset_Käynnit_Lask!W64*(Alukset_fx!$K$55)/1000),0)))</f>
        <v>0</v>
      </c>
      <c r="AI64" s="207">
        <f>IF(AC64="MSD",((V64*Alukset_fx!$B$25)*Alukset_Käynnit_Lask!W64*(Alukset_fx!$L$52)/1000),IF(AC64="HSD",((V64*Alukset_fx!$B$25)*Alukset_Käynnit_Lask!W64*(Alukset_fx!$L$55)/1000),0))</f>
        <v>0</v>
      </c>
      <c r="AJ64" s="207">
        <f>X64*W64*Alukset_fx!$K$61/1000</f>
        <v>0</v>
      </c>
      <c r="AK64">
        <v>0</v>
      </c>
      <c r="AL64" s="207">
        <f>IF(AG64="Käytetty",0,IF(AC64="MSD",((V64*Alukset_fx!$O$25)*Alukset_Käynnit_Lask!O64*(Alukset_fx!$L$52)/1000),IF(AC64="HSD",((V64*Alukset_fx!$O$25)*Alukset_Käynnit_Lask!O64*(Alukset_fx!$L$55)/1000),0)))</f>
        <v>0</v>
      </c>
      <c r="AM64" s="207">
        <f>IF(AG64="Käytetty",0,Y64*O64*Alukset_fx!$K$61/1000)</f>
        <v>0</v>
      </c>
      <c r="AN64" s="213">
        <f t="shared" si="10"/>
        <v>0</v>
      </c>
    </row>
    <row r="65" spans="1:40" x14ac:dyDescent="0.25">
      <c r="A65" s="203">
        <f>Alukset_Käynnit!A72</f>
        <v>0</v>
      </c>
      <c r="B65" s="203">
        <f>Alukset_Käynnit!B72</f>
        <v>0</v>
      </c>
      <c r="C65" s="262">
        <f>Alukset_Käynnit!C72</f>
        <v>0</v>
      </c>
      <c r="D65" s="266">
        <f>Alukset_Käynnit!D72</f>
        <v>0</v>
      </c>
      <c r="E65" s="262">
        <f>Alukset_Käynnit!E72</f>
        <v>0</v>
      </c>
      <c r="F65" s="262">
        <f>Alukset_Käynnit!F72</f>
        <v>0</v>
      </c>
      <c r="G65" s="262">
        <f>Alukset_Käynnit!G72</f>
        <v>0</v>
      </c>
      <c r="H65" s="262">
        <f>Alukset_Käynnit!H72</f>
        <v>0</v>
      </c>
      <c r="I65" s="262">
        <f>Alukset_Käynnit!I72</f>
        <v>0</v>
      </c>
      <c r="J65" s="262">
        <f>Alukset_Käynnit!J72</f>
        <v>0</v>
      </c>
      <c r="K65" s="262">
        <f>Alukset_Käynnit!K72</f>
        <v>0</v>
      </c>
      <c r="L65" s="205">
        <f>Alukset_Käynnit!L72</f>
        <v>0</v>
      </c>
      <c r="N65" s="275">
        <f t="shared" si="12"/>
        <v>0</v>
      </c>
      <c r="O65" s="276">
        <f t="shared" si="11"/>
        <v>0</v>
      </c>
      <c r="P65" s="202"/>
      <c r="Q65" s="204">
        <f t="shared" si="1"/>
        <v>0</v>
      </c>
      <c r="R65" s="202">
        <f>IF(Q65="Other dry cargo",L65*Alukset_fx!$B$71,IF(OR(Q65="Dry bulk",Q65="Bulk carrier"),L65*Alukset_fx!$B$69,IF(Q65="Tugboat",L65*Alukset_fx!$B$76,IF(OR(Q65="Tanker",Q65="Gas tanker",Q65="Chemical tanker",Q65="Oil tanker"),L65*Alukset_fx!$B$68,IF(OR(Q65="RoRo",Q65="Vehicle carrier"),L65*Alukset_fx!$B$72,IF(Q65="RoPax",L65*Alukset_fx!$B$73,IF(Q65="Container ship",L65*Alukset_fx!$B$70,IF(Q65="Barge",0,L65*Alukset_fx!$B$75))))))))</f>
        <v>0</v>
      </c>
      <c r="S65" s="210">
        <f>IF(L65=0,IF(Q65="Other dry cargo",Alukset_fx!$H$73*(Alukset_Käynnit_Lask!K65^Alukset_fx!$I$73),IF(OR(Q65="Dry Bulk",Q65="Bulk carrier"),Alukset_fx!$H$71*(Alukset_Käynnit_Lask!K65^Alukset_fx!$I$71),IF(Q65="Tugboat",Alukset_fx!$H$78*(Alukset_Käynnit_Lask!K65^Alukset_fx!$I$78),IF(OR(Q65="Tanker",Q65="Gas tanker",Q65="Chemical tanker",Q65="Oil tanker"),Alukset_fx!$H$70*(Alukset_Käynnit_Lask!K65^Alukset_fx!$I$70),IF(Q65="Container ship",Alukset_fx!$H$72*(Alukset_Käynnit_Lask!K65^Alukset_fx!$I$72),IF(Q65="Barge",0,IF(Q65="RoPax",Alukset_fx!$H$75*(Alukset_Käynnit_Lask!K65^Alukset_fx!$I$75),IF(OR(Q65="RoRo",Q65="Vehicle carrier"),Alukset_fx!$H$74*(Alukset_Käynnit_Lask!K65^Alukset_fx!$I$74),Alukset_fx!$H$77*(Alukset_Käynnit_Lask!K65^Alukset_fx!$I$77))))))))),"-")</f>
        <v>0</v>
      </c>
      <c r="T65" s="208">
        <f>IF(R65=0,IF(Q65="Other dry cargo",S65*Alukset_fx!$B$71,IF(OR(Q65="Dry bulk",Q65="Bulk carrier"),S65*Alukset_fx!$B$69,IF(Q65="Tugboat",S65*Alukset_fx!$B$76,IF(OR(Q65="Tanker",Q65="Gas tanker",Q65="Chemical tanker",Q65="Oil tanker"),S65*Alukset_fx!$B$68,IF(OR(Q65="RoRo",Q65="Vehicle carrier"),S65*Alukset_fx!$B$72,IF(Q65="RoPax",S65*Alukset_fx!$B$73,IF(Q65="Container ship",S65*Alukset_fx!$B$70,S65*Alukset_fx!$B$75))))))),"-")</f>
        <v>0</v>
      </c>
      <c r="U65" s="208">
        <f t="shared" si="2"/>
        <v>0</v>
      </c>
      <c r="V65" s="208">
        <f t="shared" si="3"/>
        <v>0</v>
      </c>
      <c r="W65" s="202">
        <f>Alukset_Käynnit!N72</f>
        <v>0</v>
      </c>
      <c r="X65" s="211">
        <f>IF(Q65="Other dry cargo", Alukset_fx!$C$52, IF(OR(Q65="Dry bulk",Q65="Bulk carrier"),Alukset_fx!$C$35,IF(OR(Q65="Tanker",Q65="Gas tanker",Q65="Oil tanker"),Alukset_fx!$C$57,IF(Q65="Chemical tanker",Alukset_fx!$C$56,IF(OR(Q65="Tugboat",Q65="Barge"),0,IF(Q65="Other vessel",Alukset_fx!$C$54,IF(Q65="Container ship",Alukset_fx!$C$37,IF(OR(Q65="RoPax",Q65="RoRo",Q65="Vehicle carrier"),Alukset_fx!$C$55,0))))))))</f>
        <v>0</v>
      </c>
      <c r="Y65" s="211">
        <f>IF(Q65="Other dry cargo", Alukset_fx!$Q$52, IF(OR(Q65="Dry bulk",Q65="Bulk carrier"),Alukset_fx!$Q$35,IF(OR(Q65="Tanker",Q65="Gas tanker",Q65="Oil tanker"),Alukset_fx!$Q$57,IF(Q65="Chemical tanker",Alukset_fx!$Q$56,IF(OR(Q65="Tugboat",Q65="Barge"),0,IF(Q65="Other vessel",Alukset_fx!$Q$54,IF(Q65="Container ship",Alukset_fx!$Q$37,IF(OR(Q65="RoPax",Q65="RoRo",Q65="Vehicle carrier"),Alukset_fx!$Q$55,0))))))))</f>
        <v>0</v>
      </c>
      <c r="Z65" t="str">
        <f t="shared" si="4"/>
        <v>MDO/MGO</v>
      </c>
      <c r="AA65" t="str">
        <f t="shared" si="5"/>
        <v>MSD</v>
      </c>
      <c r="AB65" t="str">
        <f t="shared" si="6"/>
        <v>MDO/MGO</v>
      </c>
      <c r="AC65" t="str">
        <f t="shared" si="7"/>
        <v>MSD</v>
      </c>
      <c r="AD65" t="str">
        <f t="shared" si="8"/>
        <v>MDO/MGO</v>
      </c>
      <c r="AE65" t="str">
        <f t="shared" si="9"/>
        <v>ST</v>
      </c>
      <c r="AG65">
        <f>Alukset_Käynnit!O72</f>
        <v>0</v>
      </c>
      <c r="AH65" s="207">
        <f>IF(AA65="SSD",((U65*Alukset_fx!$B$24)*Alukset_Käynnit_Lask!W65*(Alukset_fx!$K$49)/1000),IF(AA65="MSD",((U65*Alukset_fx!$B$24)*Alukset_Käynnit_Lask!W65*(Alukset_fx!$K$52)/1000),IF(AA65="HSD",((U65*Alukset_fx!$B$24)*Alukset_Käynnit_Lask!W65*(Alukset_fx!$K$55)/1000),0)))</f>
        <v>0</v>
      </c>
      <c r="AI65" s="207">
        <f>IF(AC65="MSD",((V65*Alukset_fx!$B$25)*Alukset_Käynnit_Lask!W65*(Alukset_fx!$L$52)/1000),IF(AC65="HSD",((V65*Alukset_fx!$B$25)*Alukset_Käynnit_Lask!W65*(Alukset_fx!$L$55)/1000),0))</f>
        <v>0</v>
      </c>
      <c r="AJ65" s="207">
        <f>X65*W65*Alukset_fx!$K$61/1000</f>
        <v>0</v>
      </c>
      <c r="AK65">
        <v>0</v>
      </c>
      <c r="AL65" s="207">
        <f>IF(AG65="Käytetty",0,IF(AC65="MSD",((V65*Alukset_fx!$O$25)*Alukset_Käynnit_Lask!O65*(Alukset_fx!$L$52)/1000),IF(AC65="HSD",((V65*Alukset_fx!$O$25)*Alukset_Käynnit_Lask!O65*(Alukset_fx!$L$55)/1000),0)))</f>
        <v>0</v>
      </c>
      <c r="AM65" s="207">
        <f>IF(AG65="Käytetty",0,Y65*O65*Alukset_fx!$K$61/1000)</f>
        <v>0</v>
      </c>
      <c r="AN65" s="213">
        <f t="shared" si="10"/>
        <v>0</v>
      </c>
    </row>
    <row r="66" spans="1:40" x14ac:dyDescent="0.25">
      <c r="A66" s="203">
        <f>Alukset_Käynnit!A73</f>
        <v>0</v>
      </c>
      <c r="B66" s="203">
        <f>Alukset_Käynnit!B73</f>
        <v>0</v>
      </c>
      <c r="C66" s="262">
        <f>Alukset_Käynnit!C73</f>
        <v>0</v>
      </c>
      <c r="D66" s="266">
        <f>Alukset_Käynnit!D73</f>
        <v>0</v>
      </c>
      <c r="E66" s="262">
        <f>Alukset_Käynnit!E73</f>
        <v>0</v>
      </c>
      <c r="F66" s="262">
        <f>Alukset_Käynnit!F73</f>
        <v>0</v>
      </c>
      <c r="G66" s="262">
        <f>Alukset_Käynnit!G73</f>
        <v>0</v>
      </c>
      <c r="H66" s="262">
        <f>Alukset_Käynnit!H73</f>
        <v>0</v>
      </c>
      <c r="I66" s="262">
        <f>Alukset_Käynnit!I73</f>
        <v>0</v>
      </c>
      <c r="J66" s="262">
        <f>Alukset_Käynnit!J73</f>
        <v>0</v>
      </c>
      <c r="K66" s="262">
        <f>Alukset_Käynnit!K73</f>
        <v>0</v>
      </c>
      <c r="L66" s="205">
        <f>Alukset_Käynnit!L73</f>
        <v>0</v>
      </c>
      <c r="N66" s="273">
        <f t="shared" si="12"/>
        <v>0</v>
      </c>
      <c r="O66" s="274">
        <f t="shared" si="11"/>
        <v>0</v>
      </c>
      <c r="P66" s="202"/>
      <c r="Q66" s="204">
        <f t="shared" si="1"/>
        <v>0</v>
      </c>
      <c r="R66" s="202">
        <f>IF(Q66="Other dry cargo",L66*Alukset_fx!$B$71,IF(OR(Q66="Dry bulk",Q66="Bulk carrier"),L66*Alukset_fx!$B$69,IF(Q66="Tugboat",L66*Alukset_fx!$B$76,IF(OR(Q66="Tanker",Q66="Gas tanker",Q66="Chemical tanker",Q66="Oil tanker"),L66*Alukset_fx!$B$68,IF(OR(Q66="RoRo",Q66="Vehicle carrier"),L66*Alukset_fx!$B$72,IF(Q66="RoPax",L66*Alukset_fx!$B$73,IF(Q66="Container ship",L66*Alukset_fx!$B$70,IF(Q66="Barge",0,L66*Alukset_fx!$B$75))))))))</f>
        <v>0</v>
      </c>
      <c r="S66" s="210">
        <f>IF(L66=0,IF(Q66="Other dry cargo",Alukset_fx!$H$73*(Alukset_Käynnit_Lask!K66^Alukset_fx!$I$73),IF(OR(Q66="Dry Bulk",Q66="Bulk carrier"),Alukset_fx!$H$71*(Alukset_Käynnit_Lask!K66^Alukset_fx!$I$71),IF(Q66="Tugboat",Alukset_fx!$H$78*(Alukset_Käynnit_Lask!K66^Alukset_fx!$I$78),IF(OR(Q66="Tanker",Q66="Gas tanker",Q66="Chemical tanker",Q66="Oil tanker"),Alukset_fx!$H$70*(Alukset_Käynnit_Lask!K66^Alukset_fx!$I$70),IF(Q66="Container ship",Alukset_fx!$H$72*(Alukset_Käynnit_Lask!K66^Alukset_fx!$I$72),IF(Q66="Barge",0,IF(Q66="RoPax",Alukset_fx!$H$75*(Alukset_Käynnit_Lask!K66^Alukset_fx!$I$75),IF(OR(Q66="RoRo",Q66="Vehicle carrier"),Alukset_fx!$H$74*(Alukset_Käynnit_Lask!K66^Alukset_fx!$I$74),Alukset_fx!$H$77*(Alukset_Käynnit_Lask!K66^Alukset_fx!$I$77))))))))),"-")</f>
        <v>0</v>
      </c>
      <c r="T66" s="208">
        <f>IF(R66=0,IF(Q66="Other dry cargo",S66*Alukset_fx!$B$71,IF(OR(Q66="Dry bulk",Q66="Bulk carrier"),S66*Alukset_fx!$B$69,IF(Q66="Tugboat",S66*Alukset_fx!$B$76,IF(OR(Q66="Tanker",Q66="Gas tanker",Q66="Chemical tanker",Q66="Oil tanker"),S66*Alukset_fx!$B$68,IF(OR(Q66="RoRo",Q66="Vehicle carrier"),S66*Alukset_fx!$B$72,IF(Q66="RoPax",S66*Alukset_fx!$B$73,IF(Q66="Container ship",S66*Alukset_fx!$B$70,S66*Alukset_fx!$B$75))))))),"-")</f>
        <v>0</v>
      </c>
      <c r="U66" s="208">
        <f t="shared" si="2"/>
        <v>0</v>
      </c>
      <c r="V66" s="208">
        <f t="shared" si="3"/>
        <v>0</v>
      </c>
      <c r="W66" s="202">
        <f>Alukset_Käynnit!N73</f>
        <v>0</v>
      </c>
      <c r="X66" s="211">
        <f>IF(Q66="Other dry cargo", Alukset_fx!$C$52, IF(OR(Q66="Dry bulk",Q66="Bulk carrier"),Alukset_fx!$C$35,IF(OR(Q66="Tanker",Q66="Gas tanker",Q66="Oil tanker"),Alukset_fx!$C$57,IF(Q66="Chemical tanker",Alukset_fx!$C$56,IF(OR(Q66="Tugboat",Q66="Barge"),0,IF(Q66="Other vessel",Alukset_fx!$C$54,IF(Q66="Container ship",Alukset_fx!$C$37,IF(OR(Q66="RoPax",Q66="RoRo",Q66="Vehicle carrier"),Alukset_fx!$C$55,0))))))))</f>
        <v>0</v>
      </c>
      <c r="Y66" s="211">
        <f>IF(Q66="Other dry cargo", Alukset_fx!$Q$52, IF(OR(Q66="Dry bulk",Q66="Bulk carrier"),Alukset_fx!$Q$35,IF(OR(Q66="Tanker",Q66="Gas tanker",Q66="Oil tanker"),Alukset_fx!$Q$57,IF(Q66="Chemical tanker",Alukset_fx!$Q$56,IF(OR(Q66="Tugboat",Q66="Barge"),0,IF(Q66="Other vessel",Alukset_fx!$Q$54,IF(Q66="Container ship",Alukset_fx!$Q$37,IF(OR(Q66="RoPax",Q66="RoRo",Q66="Vehicle carrier"),Alukset_fx!$Q$55,0))))))))</f>
        <v>0</v>
      </c>
      <c r="Z66" t="str">
        <f t="shared" si="4"/>
        <v>MDO/MGO</v>
      </c>
      <c r="AA66" t="str">
        <f t="shared" si="5"/>
        <v>MSD</v>
      </c>
      <c r="AB66" t="str">
        <f t="shared" si="6"/>
        <v>MDO/MGO</v>
      </c>
      <c r="AC66" t="str">
        <f t="shared" si="7"/>
        <v>MSD</v>
      </c>
      <c r="AD66" t="str">
        <f t="shared" si="8"/>
        <v>MDO/MGO</v>
      </c>
      <c r="AE66" t="str">
        <f t="shared" si="9"/>
        <v>ST</v>
      </c>
      <c r="AG66">
        <f>Alukset_Käynnit!O73</f>
        <v>0</v>
      </c>
      <c r="AH66" s="207">
        <f>IF(AA66="SSD",((U66*Alukset_fx!$B$24)*Alukset_Käynnit_Lask!W66*(Alukset_fx!$K$49)/1000),IF(AA66="MSD",((U66*Alukset_fx!$B$24)*Alukset_Käynnit_Lask!W66*(Alukset_fx!$K$52)/1000),IF(AA66="HSD",((U66*Alukset_fx!$B$24)*Alukset_Käynnit_Lask!W66*(Alukset_fx!$K$55)/1000),0)))</f>
        <v>0</v>
      </c>
      <c r="AI66" s="207">
        <f>IF(AC66="MSD",((V66*Alukset_fx!$B$25)*Alukset_Käynnit_Lask!W66*(Alukset_fx!$L$52)/1000),IF(AC66="HSD",((V66*Alukset_fx!$B$25)*Alukset_Käynnit_Lask!W66*(Alukset_fx!$L$55)/1000),0))</f>
        <v>0</v>
      </c>
      <c r="AJ66" s="207">
        <f>X66*W66*Alukset_fx!$K$61/1000</f>
        <v>0</v>
      </c>
      <c r="AK66">
        <v>0</v>
      </c>
      <c r="AL66" s="207">
        <f>IF(AG66="Käytetty",0,IF(AC66="MSD",((V66*Alukset_fx!$O$25)*Alukset_Käynnit_Lask!O66*(Alukset_fx!$L$52)/1000),IF(AC66="HSD",((V66*Alukset_fx!$O$25)*Alukset_Käynnit_Lask!O66*(Alukset_fx!$L$55)/1000),0)))</f>
        <v>0</v>
      </c>
      <c r="AM66" s="207">
        <f>IF(AG66="Käytetty",0,Y66*O66*Alukset_fx!$K$61/1000)</f>
        <v>0</v>
      </c>
      <c r="AN66" s="213">
        <f t="shared" si="10"/>
        <v>0</v>
      </c>
    </row>
    <row r="67" spans="1:40" x14ac:dyDescent="0.25">
      <c r="A67" s="203">
        <f>Alukset_Käynnit!A74</f>
        <v>0</v>
      </c>
      <c r="B67" s="203">
        <f>Alukset_Käynnit!B74</f>
        <v>0</v>
      </c>
      <c r="C67" s="262">
        <f>Alukset_Käynnit!C74</f>
        <v>0</v>
      </c>
      <c r="D67" s="266">
        <f>Alukset_Käynnit!D74</f>
        <v>0</v>
      </c>
      <c r="E67" s="262">
        <f>Alukset_Käynnit!E74</f>
        <v>0</v>
      </c>
      <c r="F67" s="262">
        <f>Alukset_Käynnit!F74</f>
        <v>0</v>
      </c>
      <c r="G67" s="262">
        <f>Alukset_Käynnit!G74</f>
        <v>0</v>
      </c>
      <c r="H67" s="262">
        <f>Alukset_Käynnit!H74</f>
        <v>0</v>
      </c>
      <c r="I67" s="262">
        <f>Alukset_Käynnit!I74</f>
        <v>0</v>
      </c>
      <c r="J67" s="262">
        <f>Alukset_Käynnit!J74</f>
        <v>0</v>
      </c>
      <c r="K67" s="262">
        <f>Alukset_Käynnit!K74</f>
        <v>0</v>
      </c>
      <c r="L67" s="205">
        <f>Alukset_Käynnit!L74</f>
        <v>0</v>
      </c>
      <c r="N67" s="273">
        <f t="shared" si="12"/>
        <v>0</v>
      </c>
      <c r="O67" s="274">
        <f t="shared" si="11"/>
        <v>0</v>
      </c>
      <c r="P67" s="202"/>
      <c r="Q67" s="204">
        <f t="shared" si="1"/>
        <v>0</v>
      </c>
      <c r="R67" s="202">
        <f>IF(Q67="Other dry cargo",L67*Alukset_fx!$B$71,IF(OR(Q67="Dry bulk",Q67="Bulk carrier"),L67*Alukset_fx!$B$69,IF(Q67="Tugboat",L67*Alukset_fx!$B$76,IF(OR(Q67="Tanker",Q67="Gas tanker",Q67="Chemical tanker",Q67="Oil tanker"),L67*Alukset_fx!$B$68,IF(OR(Q67="RoRo",Q67="Vehicle carrier"),L67*Alukset_fx!$B$72,IF(Q67="RoPax",L67*Alukset_fx!$B$73,IF(Q67="Container ship",L67*Alukset_fx!$B$70,IF(Q67="Barge",0,L67*Alukset_fx!$B$75))))))))</f>
        <v>0</v>
      </c>
      <c r="S67" s="210">
        <f>IF(L67=0,IF(Q67="Other dry cargo",Alukset_fx!$H$73*(Alukset_Käynnit_Lask!K67^Alukset_fx!$I$73),IF(OR(Q67="Dry Bulk",Q67="Bulk carrier"),Alukset_fx!$H$71*(Alukset_Käynnit_Lask!K67^Alukset_fx!$I$71),IF(Q67="Tugboat",Alukset_fx!$H$78*(Alukset_Käynnit_Lask!K67^Alukset_fx!$I$78),IF(OR(Q67="Tanker",Q67="Gas tanker",Q67="Chemical tanker",Q67="Oil tanker"),Alukset_fx!$H$70*(Alukset_Käynnit_Lask!K67^Alukset_fx!$I$70),IF(Q67="Container ship",Alukset_fx!$H$72*(Alukset_Käynnit_Lask!K67^Alukset_fx!$I$72),IF(Q67="Barge",0,IF(Q67="RoPax",Alukset_fx!$H$75*(Alukset_Käynnit_Lask!K67^Alukset_fx!$I$75),IF(OR(Q67="RoRo",Q67="Vehicle carrier"),Alukset_fx!$H$74*(Alukset_Käynnit_Lask!K67^Alukset_fx!$I$74),Alukset_fx!$H$77*(Alukset_Käynnit_Lask!K67^Alukset_fx!$I$77))))))))),"-")</f>
        <v>0</v>
      </c>
      <c r="T67" s="208">
        <f>IF(R67=0,IF(Q67="Other dry cargo",S67*Alukset_fx!$B$71,IF(OR(Q67="Dry bulk",Q67="Bulk carrier"),S67*Alukset_fx!$B$69,IF(Q67="Tugboat",S67*Alukset_fx!$B$76,IF(OR(Q67="Tanker",Q67="Gas tanker",Q67="Chemical tanker",Q67="Oil tanker"),S67*Alukset_fx!$B$68,IF(OR(Q67="RoRo",Q67="Vehicle carrier"),S67*Alukset_fx!$B$72,IF(Q67="RoPax",S67*Alukset_fx!$B$73,IF(Q67="Container ship",S67*Alukset_fx!$B$70,S67*Alukset_fx!$B$75))))))),"-")</f>
        <v>0</v>
      </c>
      <c r="U67" s="208">
        <f t="shared" si="2"/>
        <v>0</v>
      </c>
      <c r="V67" s="208">
        <f t="shared" si="3"/>
        <v>0</v>
      </c>
      <c r="W67" s="202">
        <f>Alukset_Käynnit!N74</f>
        <v>0</v>
      </c>
      <c r="X67" s="211">
        <f>IF(Q67="Other dry cargo", Alukset_fx!$C$52, IF(OR(Q67="Dry bulk",Q67="Bulk carrier"),Alukset_fx!$C$35,IF(OR(Q67="Tanker",Q67="Gas tanker",Q67="Oil tanker"),Alukset_fx!$C$57,IF(Q67="Chemical tanker",Alukset_fx!$C$56,IF(OR(Q67="Tugboat",Q67="Barge"),0,IF(Q67="Other vessel",Alukset_fx!$C$54,IF(Q67="Container ship",Alukset_fx!$C$37,IF(OR(Q67="RoPax",Q67="RoRo",Q67="Vehicle carrier"),Alukset_fx!$C$55,0))))))))</f>
        <v>0</v>
      </c>
      <c r="Y67" s="211">
        <f>IF(Q67="Other dry cargo", Alukset_fx!$Q$52, IF(OR(Q67="Dry bulk",Q67="Bulk carrier"),Alukset_fx!$Q$35,IF(OR(Q67="Tanker",Q67="Gas tanker",Q67="Oil tanker"),Alukset_fx!$Q$57,IF(Q67="Chemical tanker",Alukset_fx!$Q$56,IF(OR(Q67="Tugboat",Q67="Barge"),0,IF(Q67="Other vessel",Alukset_fx!$Q$54,IF(Q67="Container ship",Alukset_fx!$Q$37,IF(OR(Q67="RoPax",Q67="RoRo",Q67="Vehicle carrier"),Alukset_fx!$Q$55,0))))))))</f>
        <v>0</v>
      </c>
      <c r="Z67" t="str">
        <f t="shared" si="4"/>
        <v>MDO/MGO</v>
      </c>
      <c r="AA67" t="str">
        <f t="shared" si="5"/>
        <v>MSD</v>
      </c>
      <c r="AB67" t="str">
        <f t="shared" si="6"/>
        <v>MDO/MGO</v>
      </c>
      <c r="AC67" t="str">
        <f t="shared" si="7"/>
        <v>MSD</v>
      </c>
      <c r="AD67" t="str">
        <f t="shared" si="8"/>
        <v>MDO/MGO</v>
      </c>
      <c r="AE67" t="str">
        <f t="shared" si="9"/>
        <v>ST</v>
      </c>
      <c r="AG67">
        <f>Alukset_Käynnit!O74</f>
        <v>0</v>
      </c>
      <c r="AH67" s="207">
        <f>IF(AA67="SSD",((U67*Alukset_fx!$B$24)*Alukset_Käynnit_Lask!W67*(Alukset_fx!$K$49)/1000),IF(AA67="MSD",((U67*Alukset_fx!$B$24)*Alukset_Käynnit_Lask!W67*(Alukset_fx!$K$52)/1000),IF(AA67="HSD",((U67*Alukset_fx!$B$24)*Alukset_Käynnit_Lask!W67*(Alukset_fx!$K$55)/1000),0)))</f>
        <v>0</v>
      </c>
      <c r="AI67" s="207">
        <f>IF(AC67="MSD",((V67*Alukset_fx!$B$25)*Alukset_Käynnit_Lask!W67*(Alukset_fx!$L$52)/1000),IF(AC67="HSD",((V67*Alukset_fx!$B$25)*Alukset_Käynnit_Lask!W67*(Alukset_fx!$L$55)/1000),0))</f>
        <v>0</v>
      </c>
      <c r="AJ67" s="207">
        <f>X67*W67*Alukset_fx!$K$61/1000</f>
        <v>0</v>
      </c>
      <c r="AK67">
        <v>0</v>
      </c>
      <c r="AL67" s="207">
        <f>IF(AG67="Käytetty",0,IF(AC67="MSD",((V67*Alukset_fx!$O$25)*Alukset_Käynnit_Lask!O67*(Alukset_fx!$L$52)/1000),IF(AC67="HSD",((V67*Alukset_fx!$O$25)*Alukset_Käynnit_Lask!O67*(Alukset_fx!$L$55)/1000),0)))</f>
        <v>0</v>
      </c>
      <c r="AM67" s="207">
        <f>IF(AG67="Käytetty",0,Y67*O67*Alukset_fx!$K$61/1000)</f>
        <v>0</v>
      </c>
      <c r="AN67" s="213">
        <f t="shared" si="10"/>
        <v>0</v>
      </c>
    </row>
    <row r="68" spans="1:40" x14ac:dyDescent="0.25">
      <c r="A68" s="203">
        <f>Alukset_Käynnit!A75</f>
        <v>0</v>
      </c>
      <c r="B68" s="203">
        <f>Alukset_Käynnit!B75</f>
        <v>0</v>
      </c>
      <c r="C68" s="262">
        <f>Alukset_Käynnit!C75</f>
        <v>0</v>
      </c>
      <c r="D68" s="266">
        <f>Alukset_Käynnit!D75</f>
        <v>0</v>
      </c>
      <c r="E68" s="262">
        <f>Alukset_Käynnit!E75</f>
        <v>0</v>
      </c>
      <c r="F68" s="262">
        <f>Alukset_Käynnit!F75</f>
        <v>0</v>
      </c>
      <c r="G68" s="262">
        <f>Alukset_Käynnit!G75</f>
        <v>0</v>
      </c>
      <c r="H68" s="262">
        <f>Alukset_Käynnit!H75</f>
        <v>0</v>
      </c>
      <c r="I68" s="262">
        <f>Alukset_Käynnit!I75</f>
        <v>0</v>
      </c>
      <c r="J68" s="262">
        <f>Alukset_Käynnit!J75</f>
        <v>0</v>
      </c>
      <c r="K68" s="262">
        <f>Alukset_Käynnit!K75</f>
        <v>0</v>
      </c>
      <c r="L68" s="205">
        <f>Alukset_Käynnit!L75</f>
        <v>0</v>
      </c>
      <c r="N68" s="273">
        <f t="shared" si="12"/>
        <v>0</v>
      </c>
      <c r="O68" s="274">
        <f t="shared" si="11"/>
        <v>0</v>
      </c>
      <c r="P68" s="202"/>
      <c r="Q68" s="204">
        <f t="shared" si="1"/>
        <v>0</v>
      </c>
      <c r="R68" s="202">
        <f>IF(Q68="Other dry cargo",L68*Alukset_fx!$B$71,IF(OR(Q68="Dry bulk",Q68="Bulk carrier"),L68*Alukset_fx!$B$69,IF(Q68="Tugboat",L68*Alukset_fx!$B$76,IF(OR(Q68="Tanker",Q68="Gas tanker",Q68="Chemical tanker",Q68="Oil tanker"),L68*Alukset_fx!$B$68,IF(OR(Q68="RoRo",Q68="Vehicle carrier"),L68*Alukset_fx!$B$72,IF(Q68="RoPax",L68*Alukset_fx!$B$73,IF(Q68="Container ship",L68*Alukset_fx!$B$70,IF(Q68="Barge",0,L68*Alukset_fx!$B$75))))))))</f>
        <v>0</v>
      </c>
      <c r="S68" s="210">
        <f>IF(L68=0,IF(Q68="Other dry cargo",Alukset_fx!$H$73*(Alukset_Käynnit_Lask!K68^Alukset_fx!$I$73),IF(OR(Q68="Dry Bulk",Q68="Bulk carrier"),Alukset_fx!$H$71*(Alukset_Käynnit_Lask!K68^Alukset_fx!$I$71),IF(Q68="Tugboat",Alukset_fx!$H$78*(Alukset_Käynnit_Lask!K68^Alukset_fx!$I$78),IF(OR(Q68="Tanker",Q68="Gas tanker",Q68="Chemical tanker",Q68="Oil tanker"),Alukset_fx!$H$70*(Alukset_Käynnit_Lask!K68^Alukset_fx!$I$70),IF(Q68="Container ship",Alukset_fx!$H$72*(Alukset_Käynnit_Lask!K68^Alukset_fx!$I$72),IF(Q68="Barge",0,IF(Q68="RoPax",Alukset_fx!$H$75*(Alukset_Käynnit_Lask!K68^Alukset_fx!$I$75),IF(OR(Q68="RoRo",Q68="Vehicle carrier"),Alukset_fx!$H$74*(Alukset_Käynnit_Lask!K68^Alukset_fx!$I$74),Alukset_fx!$H$77*(Alukset_Käynnit_Lask!K68^Alukset_fx!$I$77))))))))),"-")</f>
        <v>0</v>
      </c>
      <c r="T68" s="208">
        <f>IF(R68=0,IF(Q68="Other dry cargo",S68*Alukset_fx!$B$71,IF(OR(Q68="Dry bulk",Q68="Bulk carrier"),S68*Alukset_fx!$B$69,IF(Q68="Tugboat",S68*Alukset_fx!$B$76,IF(OR(Q68="Tanker",Q68="Gas tanker",Q68="Chemical tanker",Q68="Oil tanker"),S68*Alukset_fx!$B$68,IF(OR(Q68="RoRo",Q68="Vehicle carrier"),S68*Alukset_fx!$B$72,IF(Q68="RoPax",S68*Alukset_fx!$B$73,IF(Q68="Container ship",S68*Alukset_fx!$B$70,S68*Alukset_fx!$B$75))))))),"-")</f>
        <v>0</v>
      </c>
      <c r="U68" s="208">
        <f t="shared" si="2"/>
        <v>0</v>
      </c>
      <c r="V68" s="208">
        <f t="shared" si="3"/>
        <v>0</v>
      </c>
      <c r="W68" s="202">
        <f>Alukset_Käynnit!N75</f>
        <v>0</v>
      </c>
      <c r="X68" s="211">
        <f>IF(Q68="Other dry cargo", Alukset_fx!$C$52, IF(OR(Q68="Dry bulk",Q68="Bulk carrier"),Alukset_fx!$C$35,IF(OR(Q68="Tanker",Q68="Gas tanker",Q68="Oil tanker"),Alukset_fx!$C$57,IF(Q68="Chemical tanker",Alukset_fx!$C$56,IF(OR(Q68="Tugboat",Q68="Barge"),0,IF(Q68="Other vessel",Alukset_fx!$C$54,IF(Q68="Container ship",Alukset_fx!$C$37,IF(OR(Q68="RoPax",Q68="RoRo",Q68="Vehicle carrier"),Alukset_fx!$C$55,0))))))))</f>
        <v>0</v>
      </c>
      <c r="Y68" s="211">
        <f>IF(Q68="Other dry cargo", Alukset_fx!$Q$52, IF(OR(Q68="Dry bulk",Q68="Bulk carrier"),Alukset_fx!$Q$35,IF(OR(Q68="Tanker",Q68="Gas tanker",Q68="Oil tanker"),Alukset_fx!$Q$57,IF(Q68="Chemical tanker",Alukset_fx!$Q$56,IF(OR(Q68="Tugboat",Q68="Barge"),0,IF(Q68="Other vessel",Alukset_fx!$Q$54,IF(Q68="Container ship",Alukset_fx!$Q$37,IF(OR(Q68="RoPax",Q68="RoRo",Q68="Vehicle carrier"),Alukset_fx!$Q$55,0))))))))</f>
        <v>0</v>
      </c>
      <c r="Z68" t="str">
        <f t="shared" si="4"/>
        <v>MDO/MGO</v>
      </c>
      <c r="AA68" t="str">
        <f t="shared" si="5"/>
        <v>MSD</v>
      </c>
      <c r="AB68" t="str">
        <f t="shared" si="6"/>
        <v>MDO/MGO</v>
      </c>
      <c r="AC68" t="str">
        <f t="shared" si="7"/>
        <v>MSD</v>
      </c>
      <c r="AD68" t="str">
        <f t="shared" si="8"/>
        <v>MDO/MGO</v>
      </c>
      <c r="AE68" t="str">
        <f t="shared" si="9"/>
        <v>ST</v>
      </c>
      <c r="AG68">
        <f>Alukset_Käynnit!O75</f>
        <v>0</v>
      </c>
      <c r="AH68" s="207">
        <f>IF(AA68="SSD",((U68*Alukset_fx!$B$24)*Alukset_Käynnit_Lask!W68*(Alukset_fx!$K$49)/1000),IF(AA68="MSD",((U68*Alukset_fx!$B$24)*Alukset_Käynnit_Lask!W68*(Alukset_fx!$K$52)/1000),IF(AA68="HSD",((U68*Alukset_fx!$B$24)*Alukset_Käynnit_Lask!W68*(Alukset_fx!$K$55)/1000),0)))</f>
        <v>0</v>
      </c>
      <c r="AI68" s="207">
        <f>IF(AC68="MSD",((V68*Alukset_fx!$B$25)*Alukset_Käynnit_Lask!W68*(Alukset_fx!$L$52)/1000),IF(AC68="HSD",((V68*Alukset_fx!$B$25)*Alukset_Käynnit_Lask!W68*(Alukset_fx!$L$55)/1000),0))</f>
        <v>0</v>
      </c>
      <c r="AJ68" s="207">
        <f>X68*W68*Alukset_fx!$K$61/1000</f>
        <v>0</v>
      </c>
      <c r="AK68">
        <v>0</v>
      </c>
      <c r="AL68" s="207">
        <f>IF(AG68="Käytetty",0,IF(AC68="MSD",((V68*Alukset_fx!$O$25)*Alukset_Käynnit_Lask!O68*(Alukset_fx!$L$52)/1000),IF(AC68="HSD",((V68*Alukset_fx!$O$25)*Alukset_Käynnit_Lask!O68*(Alukset_fx!$L$55)/1000),0)))</f>
        <v>0</v>
      </c>
      <c r="AM68" s="207">
        <f>IF(AG68="Käytetty",0,Y68*O68*Alukset_fx!$K$61/1000)</f>
        <v>0</v>
      </c>
      <c r="AN68" s="213">
        <f t="shared" si="10"/>
        <v>0</v>
      </c>
    </row>
    <row r="69" spans="1:40" x14ac:dyDescent="0.25">
      <c r="A69" s="203">
        <f>Alukset_Käynnit!A76</f>
        <v>0</v>
      </c>
      <c r="B69" s="203">
        <f>Alukset_Käynnit!B76</f>
        <v>0</v>
      </c>
      <c r="C69" s="262">
        <f>Alukset_Käynnit!C76</f>
        <v>0</v>
      </c>
      <c r="D69" s="266">
        <f>Alukset_Käynnit!D76</f>
        <v>0</v>
      </c>
      <c r="E69" s="262">
        <f>Alukset_Käynnit!E76</f>
        <v>0</v>
      </c>
      <c r="F69" s="262">
        <f>Alukset_Käynnit!F76</f>
        <v>0</v>
      </c>
      <c r="G69" s="262">
        <f>Alukset_Käynnit!G76</f>
        <v>0</v>
      </c>
      <c r="H69" s="262">
        <f>Alukset_Käynnit!H76</f>
        <v>0</v>
      </c>
      <c r="I69" s="262">
        <f>Alukset_Käynnit!I76</f>
        <v>0</v>
      </c>
      <c r="J69" s="262">
        <f>Alukset_Käynnit!J76</f>
        <v>0</v>
      </c>
      <c r="K69" s="262">
        <f>Alukset_Käynnit!K76</f>
        <v>0</v>
      </c>
      <c r="L69" s="205">
        <f>Alukset_Käynnit!L76</f>
        <v>0</v>
      </c>
      <c r="N69" s="273">
        <f t="shared" si="12"/>
        <v>0</v>
      </c>
      <c r="O69" s="274">
        <f t="shared" si="11"/>
        <v>0</v>
      </c>
      <c r="P69" s="202"/>
      <c r="Q69" s="204">
        <f t="shared" si="1"/>
        <v>0</v>
      </c>
      <c r="R69" s="202">
        <f>IF(Q69="Other dry cargo",L69*Alukset_fx!$B$71,IF(OR(Q69="Dry bulk",Q69="Bulk carrier"),L69*Alukset_fx!$B$69,IF(Q69="Tugboat",L69*Alukset_fx!$B$76,IF(OR(Q69="Tanker",Q69="Gas tanker",Q69="Chemical tanker",Q69="Oil tanker"),L69*Alukset_fx!$B$68,IF(OR(Q69="RoRo",Q69="Vehicle carrier"),L69*Alukset_fx!$B$72,IF(Q69="RoPax",L69*Alukset_fx!$B$73,IF(Q69="Container ship",L69*Alukset_fx!$B$70,IF(Q69="Barge",0,L69*Alukset_fx!$B$75))))))))</f>
        <v>0</v>
      </c>
      <c r="S69" s="210">
        <f>IF(L69=0,IF(Q69="Other dry cargo",Alukset_fx!$H$73*(Alukset_Käynnit_Lask!K69^Alukset_fx!$I$73),IF(OR(Q69="Dry Bulk",Q69="Bulk carrier"),Alukset_fx!$H$71*(Alukset_Käynnit_Lask!K69^Alukset_fx!$I$71),IF(Q69="Tugboat",Alukset_fx!$H$78*(Alukset_Käynnit_Lask!K69^Alukset_fx!$I$78),IF(OR(Q69="Tanker",Q69="Gas tanker",Q69="Chemical tanker",Q69="Oil tanker"),Alukset_fx!$H$70*(Alukset_Käynnit_Lask!K69^Alukset_fx!$I$70),IF(Q69="Container ship",Alukset_fx!$H$72*(Alukset_Käynnit_Lask!K69^Alukset_fx!$I$72),IF(Q69="Barge",0,IF(Q69="RoPax",Alukset_fx!$H$75*(Alukset_Käynnit_Lask!K69^Alukset_fx!$I$75),IF(OR(Q69="RoRo",Q69="Vehicle carrier"),Alukset_fx!$H$74*(Alukset_Käynnit_Lask!K69^Alukset_fx!$I$74),Alukset_fx!$H$77*(Alukset_Käynnit_Lask!K69^Alukset_fx!$I$77))))))))),"-")</f>
        <v>0</v>
      </c>
      <c r="T69" s="208">
        <f>IF(R69=0,IF(Q69="Other dry cargo",S69*Alukset_fx!$B$71,IF(OR(Q69="Dry bulk",Q69="Bulk carrier"),S69*Alukset_fx!$B$69,IF(Q69="Tugboat",S69*Alukset_fx!$B$76,IF(OR(Q69="Tanker",Q69="Gas tanker",Q69="Chemical tanker",Q69="Oil tanker"),S69*Alukset_fx!$B$68,IF(OR(Q69="RoRo",Q69="Vehicle carrier"),S69*Alukset_fx!$B$72,IF(Q69="RoPax",S69*Alukset_fx!$B$73,IF(Q69="Container ship",S69*Alukset_fx!$B$70,S69*Alukset_fx!$B$75))))))),"-")</f>
        <v>0</v>
      </c>
      <c r="U69" s="208">
        <f t="shared" si="2"/>
        <v>0</v>
      </c>
      <c r="V69" s="208">
        <f t="shared" si="3"/>
        <v>0</v>
      </c>
      <c r="W69" s="202">
        <f>Alukset_Käynnit!N76</f>
        <v>0</v>
      </c>
      <c r="X69" s="211">
        <f>IF(Q69="Other dry cargo", Alukset_fx!$C$52, IF(OR(Q69="Dry bulk",Q69="Bulk carrier"),Alukset_fx!$C$35,IF(OR(Q69="Tanker",Q69="Gas tanker",Q69="Oil tanker"),Alukset_fx!$C$57,IF(Q69="Chemical tanker",Alukset_fx!$C$56,IF(OR(Q69="Tugboat",Q69="Barge"),0,IF(Q69="Other vessel",Alukset_fx!$C$54,IF(Q69="Container ship",Alukset_fx!$C$37,IF(OR(Q69="RoPax",Q69="RoRo",Q69="Vehicle carrier"),Alukset_fx!$C$55,0))))))))</f>
        <v>0</v>
      </c>
      <c r="Y69" s="211">
        <f>IF(Q69="Other dry cargo", Alukset_fx!$Q$52, IF(OR(Q69="Dry bulk",Q69="Bulk carrier"),Alukset_fx!$Q$35,IF(OR(Q69="Tanker",Q69="Gas tanker",Q69="Oil tanker"),Alukset_fx!$Q$57,IF(Q69="Chemical tanker",Alukset_fx!$Q$56,IF(OR(Q69="Tugboat",Q69="Barge"),0,IF(Q69="Other vessel",Alukset_fx!$Q$54,IF(Q69="Container ship",Alukset_fx!$Q$37,IF(OR(Q69="RoPax",Q69="RoRo",Q69="Vehicle carrier"),Alukset_fx!$Q$55,0))))))))</f>
        <v>0</v>
      </c>
      <c r="Z69" t="str">
        <f t="shared" si="4"/>
        <v>MDO/MGO</v>
      </c>
      <c r="AA69" t="str">
        <f t="shared" si="5"/>
        <v>MSD</v>
      </c>
      <c r="AB69" t="str">
        <f t="shared" si="6"/>
        <v>MDO/MGO</v>
      </c>
      <c r="AC69" t="str">
        <f t="shared" si="7"/>
        <v>MSD</v>
      </c>
      <c r="AD69" t="str">
        <f t="shared" si="8"/>
        <v>MDO/MGO</v>
      </c>
      <c r="AE69" t="str">
        <f t="shared" si="9"/>
        <v>ST</v>
      </c>
      <c r="AG69">
        <f>Alukset_Käynnit!O76</f>
        <v>0</v>
      </c>
      <c r="AH69" s="207">
        <f>IF(AA69="SSD",((U69*Alukset_fx!$B$24)*Alukset_Käynnit_Lask!W69*(Alukset_fx!$K$49)/1000),IF(AA69="MSD",((U69*Alukset_fx!$B$24)*Alukset_Käynnit_Lask!W69*(Alukset_fx!$K$52)/1000),IF(AA69="HSD",((U69*Alukset_fx!$B$24)*Alukset_Käynnit_Lask!W69*(Alukset_fx!$K$55)/1000),0)))</f>
        <v>0</v>
      </c>
      <c r="AI69" s="207">
        <f>IF(AC69="MSD",((V69*Alukset_fx!$B$25)*Alukset_Käynnit_Lask!W69*(Alukset_fx!$L$52)/1000),IF(AC69="HSD",((V69*Alukset_fx!$B$25)*Alukset_Käynnit_Lask!W69*(Alukset_fx!$L$55)/1000),0))</f>
        <v>0</v>
      </c>
      <c r="AJ69" s="207">
        <f>X69*W69*Alukset_fx!$K$61/1000</f>
        <v>0</v>
      </c>
      <c r="AK69">
        <v>0</v>
      </c>
      <c r="AL69" s="207">
        <f>IF(AG69="Käytetty",0,IF(AC69="MSD",((V69*Alukset_fx!$O$25)*Alukset_Käynnit_Lask!O69*(Alukset_fx!$L$52)/1000),IF(AC69="HSD",((V69*Alukset_fx!$O$25)*Alukset_Käynnit_Lask!O69*(Alukset_fx!$L$55)/1000),0)))</f>
        <v>0</v>
      </c>
      <c r="AM69" s="207">
        <f>IF(AG69="Käytetty",0,Y69*O69*Alukset_fx!$K$61/1000)</f>
        <v>0</v>
      </c>
      <c r="AN69" s="213">
        <f t="shared" si="10"/>
        <v>0</v>
      </c>
    </row>
    <row r="70" spans="1:40" x14ac:dyDescent="0.25">
      <c r="A70" s="203">
        <f>Alukset_Käynnit!A77</f>
        <v>0</v>
      </c>
      <c r="B70" s="203">
        <f>Alukset_Käynnit!B77</f>
        <v>0</v>
      </c>
      <c r="C70" s="262">
        <f>Alukset_Käynnit!C77</f>
        <v>0</v>
      </c>
      <c r="D70" s="266">
        <f>Alukset_Käynnit!D77</f>
        <v>0</v>
      </c>
      <c r="E70" s="262">
        <f>Alukset_Käynnit!E77</f>
        <v>0</v>
      </c>
      <c r="F70" s="262">
        <f>Alukset_Käynnit!F77</f>
        <v>0</v>
      </c>
      <c r="G70" s="262">
        <f>Alukset_Käynnit!G77</f>
        <v>0</v>
      </c>
      <c r="H70" s="262">
        <f>Alukset_Käynnit!H77</f>
        <v>0</v>
      </c>
      <c r="I70" s="262">
        <f>Alukset_Käynnit!I77</f>
        <v>0</v>
      </c>
      <c r="J70" s="262">
        <f>Alukset_Käynnit!J77</f>
        <v>0</v>
      </c>
      <c r="K70" s="262">
        <f>Alukset_Käynnit!K77</f>
        <v>0</v>
      </c>
      <c r="L70" s="205">
        <f>Alukset_Käynnit!L77</f>
        <v>0</v>
      </c>
      <c r="N70" s="273">
        <f t="shared" si="12"/>
        <v>0</v>
      </c>
      <c r="O70" s="274">
        <f t="shared" si="11"/>
        <v>0</v>
      </c>
      <c r="P70" s="202"/>
      <c r="Q70" s="204">
        <f t="shared" si="1"/>
        <v>0</v>
      </c>
      <c r="R70" s="202">
        <f>IF(Q70="Other dry cargo",L70*Alukset_fx!$B$71,IF(OR(Q70="Dry bulk",Q70="Bulk carrier"),L70*Alukset_fx!$B$69,IF(Q70="Tugboat",L70*Alukset_fx!$B$76,IF(OR(Q70="Tanker",Q70="Gas tanker",Q70="Chemical tanker",Q70="Oil tanker"),L70*Alukset_fx!$B$68,IF(OR(Q70="RoRo",Q70="Vehicle carrier"),L70*Alukset_fx!$B$72,IF(Q70="RoPax",L70*Alukset_fx!$B$73,IF(Q70="Container ship",L70*Alukset_fx!$B$70,IF(Q70="Barge",0,L70*Alukset_fx!$B$75))))))))</f>
        <v>0</v>
      </c>
      <c r="S70" s="210">
        <f>IF(L70=0,IF(Q70="Other dry cargo",Alukset_fx!$H$73*(Alukset_Käynnit_Lask!K70^Alukset_fx!$I$73),IF(OR(Q70="Dry Bulk",Q70="Bulk carrier"),Alukset_fx!$H$71*(Alukset_Käynnit_Lask!K70^Alukset_fx!$I$71),IF(Q70="Tugboat",Alukset_fx!$H$78*(Alukset_Käynnit_Lask!K70^Alukset_fx!$I$78),IF(OR(Q70="Tanker",Q70="Gas tanker",Q70="Chemical tanker",Q70="Oil tanker"),Alukset_fx!$H$70*(Alukset_Käynnit_Lask!K70^Alukset_fx!$I$70),IF(Q70="Container ship",Alukset_fx!$H$72*(Alukset_Käynnit_Lask!K70^Alukset_fx!$I$72),IF(Q70="Barge",0,IF(Q70="RoPax",Alukset_fx!$H$75*(Alukset_Käynnit_Lask!K70^Alukset_fx!$I$75),IF(OR(Q70="RoRo",Q70="Vehicle carrier"),Alukset_fx!$H$74*(Alukset_Käynnit_Lask!K70^Alukset_fx!$I$74),Alukset_fx!$H$77*(Alukset_Käynnit_Lask!K70^Alukset_fx!$I$77))))))))),"-")</f>
        <v>0</v>
      </c>
      <c r="T70" s="208">
        <f>IF(R70=0,IF(Q70="Other dry cargo",S70*Alukset_fx!$B$71,IF(OR(Q70="Dry bulk",Q70="Bulk carrier"),S70*Alukset_fx!$B$69,IF(Q70="Tugboat",S70*Alukset_fx!$B$76,IF(OR(Q70="Tanker",Q70="Gas tanker",Q70="Chemical tanker",Q70="Oil tanker"),S70*Alukset_fx!$B$68,IF(OR(Q70="RoRo",Q70="Vehicle carrier"),S70*Alukset_fx!$B$72,IF(Q70="RoPax",S70*Alukset_fx!$B$73,IF(Q70="Container ship",S70*Alukset_fx!$B$70,S70*Alukset_fx!$B$75))))))),"-")</f>
        <v>0</v>
      </c>
      <c r="U70" s="208">
        <f t="shared" si="2"/>
        <v>0</v>
      </c>
      <c r="V70" s="208">
        <f t="shared" si="3"/>
        <v>0</v>
      </c>
      <c r="W70" s="202">
        <f>Alukset_Käynnit!N77</f>
        <v>0</v>
      </c>
      <c r="X70" s="211">
        <f>IF(Q70="Other dry cargo", Alukset_fx!$C$52, IF(OR(Q70="Dry bulk",Q70="Bulk carrier"),Alukset_fx!$C$35,IF(OR(Q70="Tanker",Q70="Gas tanker",Q70="Oil tanker"),Alukset_fx!$C$57,IF(Q70="Chemical tanker",Alukset_fx!$C$56,IF(OR(Q70="Tugboat",Q70="Barge"),0,IF(Q70="Other vessel",Alukset_fx!$C$54,IF(Q70="Container ship",Alukset_fx!$C$37,IF(OR(Q70="RoPax",Q70="RoRo",Q70="Vehicle carrier"),Alukset_fx!$C$55,0))))))))</f>
        <v>0</v>
      </c>
      <c r="Y70" s="211">
        <f>IF(Q70="Other dry cargo", Alukset_fx!$Q$52, IF(OR(Q70="Dry bulk",Q70="Bulk carrier"),Alukset_fx!$Q$35,IF(OR(Q70="Tanker",Q70="Gas tanker",Q70="Oil tanker"),Alukset_fx!$Q$57,IF(Q70="Chemical tanker",Alukset_fx!$Q$56,IF(OR(Q70="Tugboat",Q70="Barge"),0,IF(Q70="Other vessel",Alukset_fx!$Q$54,IF(Q70="Container ship",Alukset_fx!$Q$37,IF(OR(Q70="RoPax",Q70="RoRo",Q70="Vehicle carrier"),Alukset_fx!$Q$55,0))))))))</f>
        <v>0</v>
      </c>
      <c r="Z70" t="str">
        <f t="shared" si="4"/>
        <v>MDO/MGO</v>
      </c>
      <c r="AA70" t="str">
        <f t="shared" si="5"/>
        <v>MSD</v>
      </c>
      <c r="AB70" t="str">
        <f t="shared" si="6"/>
        <v>MDO/MGO</v>
      </c>
      <c r="AC70" t="str">
        <f t="shared" si="7"/>
        <v>MSD</v>
      </c>
      <c r="AD70" t="str">
        <f t="shared" si="8"/>
        <v>MDO/MGO</v>
      </c>
      <c r="AE70" t="str">
        <f t="shared" si="9"/>
        <v>ST</v>
      </c>
      <c r="AG70">
        <f>Alukset_Käynnit!O77</f>
        <v>0</v>
      </c>
      <c r="AH70" s="207">
        <f>IF(AA70="SSD",((U70*Alukset_fx!$B$24)*Alukset_Käynnit_Lask!W70*(Alukset_fx!$K$49)/1000),IF(AA70="MSD",((U70*Alukset_fx!$B$24)*Alukset_Käynnit_Lask!W70*(Alukset_fx!$K$52)/1000),IF(AA70="HSD",((U70*Alukset_fx!$B$24)*Alukset_Käynnit_Lask!W70*(Alukset_fx!$K$55)/1000),0)))</f>
        <v>0</v>
      </c>
      <c r="AI70" s="207">
        <f>IF(AC70="MSD",((V70*Alukset_fx!$B$25)*Alukset_Käynnit_Lask!W70*(Alukset_fx!$L$52)/1000),IF(AC70="HSD",((V70*Alukset_fx!$B$25)*Alukset_Käynnit_Lask!W70*(Alukset_fx!$L$55)/1000),0))</f>
        <v>0</v>
      </c>
      <c r="AJ70" s="207">
        <f>X70*W70*Alukset_fx!$K$61/1000</f>
        <v>0</v>
      </c>
      <c r="AK70">
        <v>0</v>
      </c>
      <c r="AL70" s="207">
        <f>IF(AG70="Käytetty",0,IF(AC70="MSD",((V70*Alukset_fx!$O$25)*Alukset_Käynnit_Lask!O70*(Alukset_fx!$L$52)/1000),IF(AC70="HSD",((V70*Alukset_fx!$O$25)*Alukset_Käynnit_Lask!O70*(Alukset_fx!$L$55)/1000),0)))</f>
        <v>0</v>
      </c>
      <c r="AM70" s="207">
        <f>IF(AG70="Käytetty",0,Y70*O70*Alukset_fx!$K$61/1000)</f>
        <v>0</v>
      </c>
      <c r="AN70" s="213">
        <f t="shared" si="10"/>
        <v>0</v>
      </c>
    </row>
    <row r="71" spans="1:40" x14ac:dyDescent="0.25">
      <c r="A71" s="203">
        <f>Alukset_Käynnit!A78</f>
        <v>0</v>
      </c>
      <c r="B71" s="203">
        <f>Alukset_Käynnit!B78</f>
        <v>0</v>
      </c>
      <c r="C71" s="262">
        <f>Alukset_Käynnit!C78</f>
        <v>0</v>
      </c>
      <c r="D71" s="266">
        <f>Alukset_Käynnit!D78</f>
        <v>0</v>
      </c>
      <c r="E71" s="262">
        <f>Alukset_Käynnit!E78</f>
        <v>0</v>
      </c>
      <c r="F71" s="262">
        <f>Alukset_Käynnit!F78</f>
        <v>0</v>
      </c>
      <c r="G71" s="262">
        <f>Alukset_Käynnit!G78</f>
        <v>0</v>
      </c>
      <c r="H71" s="262">
        <f>Alukset_Käynnit!H78</f>
        <v>0</v>
      </c>
      <c r="I71" s="262">
        <f>Alukset_Käynnit!I78</f>
        <v>0</v>
      </c>
      <c r="J71" s="262">
        <f>Alukset_Käynnit!J78</f>
        <v>0</v>
      </c>
      <c r="K71" s="262">
        <f>Alukset_Käynnit!K78</f>
        <v>0</v>
      </c>
      <c r="L71" s="205">
        <f>Alukset_Käynnit!L78</f>
        <v>0</v>
      </c>
      <c r="N71" s="273">
        <f t="shared" si="12"/>
        <v>0</v>
      </c>
      <c r="O71" s="274">
        <f t="shared" si="11"/>
        <v>0</v>
      </c>
      <c r="P71" s="202"/>
      <c r="Q71" s="204">
        <f t="shared" si="1"/>
        <v>0</v>
      </c>
      <c r="R71" s="202">
        <f>IF(Q71="Other dry cargo",L71*Alukset_fx!$B$71,IF(OR(Q71="Dry bulk",Q71="Bulk carrier"),L71*Alukset_fx!$B$69,IF(Q71="Tugboat",L71*Alukset_fx!$B$76,IF(OR(Q71="Tanker",Q71="Gas tanker",Q71="Chemical tanker",Q71="Oil tanker"),L71*Alukset_fx!$B$68,IF(OR(Q71="RoRo",Q71="Vehicle carrier"),L71*Alukset_fx!$B$72,IF(Q71="RoPax",L71*Alukset_fx!$B$73,IF(Q71="Container ship",L71*Alukset_fx!$B$70,IF(Q71="Barge",0,L71*Alukset_fx!$B$75))))))))</f>
        <v>0</v>
      </c>
      <c r="S71" s="210">
        <f>IF(L71=0,IF(Q71="Other dry cargo",Alukset_fx!$H$73*(Alukset_Käynnit_Lask!K71^Alukset_fx!$I$73),IF(OR(Q71="Dry Bulk",Q71="Bulk carrier"),Alukset_fx!$H$71*(Alukset_Käynnit_Lask!K71^Alukset_fx!$I$71),IF(Q71="Tugboat",Alukset_fx!$H$78*(Alukset_Käynnit_Lask!K71^Alukset_fx!$I$78),IF(OR(Q71="Tanker",Q71="Gas tanker",Q71="Chemical tanker",Q71="Oil tanker"),Alukset_fx!$H$70*(Alukset_Käynnit_Lask!K71^Alukset_fx!$I$70),IF(Q71="Container ship",Alukset_fx!$H$72*(Alukset_Käynnit_Lask!K71^Alukset_fx!$I$72),IF(Q71="Barge",0,IF(Q71="RoPax",Alukset_fx!$H$75*(Alukset_Käynnit_Lask!K71^Alukset_fx!$I$75),IF(OR(Q71="RoRo",Q71="Vehicle carrier"),Alukset_fx!$H$74*(Alukset_Käynnit_Lask!K71^Alukset_fx!$I$74),Alukset_fx!$H$77*(Alukset_Käynnit_Lask!K71^Alukset_fx!$I$77))))))))),"-")</f>
        <v>0</v>
      </c>
      <c r="T71" s="208">
        <f>IF(R71=0,IF(Q71="Other dry cargo",S71*Alukset_fx!$B$71,IF(OR(Q71="Dry bulk",Q71="Bulk carrier"),S71*Alukset_fx!$B$69,IF(Q71="Tugboat",S71*Alukset_fx!$B$76,IF(OR(Q71="Tanker",Q71="Gas tanker",Q71="Chemical tanker",Q71="Oil tanker"),S71*Alukset_fx!$B$68,IF(OR(Q71="RoRo",Q71="Vehicle carrier"),S71*Alukset_fx!$B$72,IF(Q71="RoPax",S71*Alukset_fx!$B$73,IF(Q71="Container ship",S71*Alukset_fx!$B$70,S71*Alukset_fx!$B$75))))))),"-")</f>
        <v>0</v>
      </c>
      <c r="U71" s="208">
        <f t="shared" si="2"/>
        <v>0</v>
      </c>
      <c r="V71" s="208">
        <f t="shared" si="3"/>
        <v>0</v>
      </c>
      <c r="W71" s="202">
        <f>Alukset_Käynnit!N78</f>
        <v>0</v>
      </c>
      <c r="X71" s="211">
        <f>IF(Q71="Other dry cargo", Alukset_fx!$C$52, IF(OR(Q71="Dry bulk",Q71="Bulk carrier"),Alukset_fx!$C$35,IF(OR(Q71="Tanker",Q71="Gas tanker",Q71="Oil tanker"),Alukset_fx!$C$57,IF(Q71="Chemical tanker",Alukset_fx!$C$56,IF(OR(Q71="Tugboat",Q71="Barge"),0,IF(Q71="Other vessel",Alukset_fx!$C$54,IF(Q71="Container ship",Alukset_fx!$C$37,IF(OR(Q71="RoPax",Q71="RoRo",Q71="Vehicle carrier"),Alukset_fx!$C$55,0))))))))</f>
        <v>0</v>
      </c>
      <c r="Y71" s="211">
        <f>IF(Q71="Other dry cargo", Alukset_fx!$Q$52, IF(OR(Q71="Dry bulk",Q71="Bulk carrier"),Alukset_fx!$Q$35,IF(OR(Q71="Tanker",Q71="Gas tanker",Q71="Oil tanker"),Alukset_fx!$Q$57,IF(Q71="Chemical tanker",Alukset_fx!$Q$56,IF(OR(Q71="Tugboat",Q71="Barge"),0,IF(Q71="Other vessel",Alukset_fx!$Q$54,IF(Q71="Container ship",Alukset_fx!$Q$37,IF(OR(Q71="RoPax",Q71="RoRo",Q71="Vehicle carrier"),Alukset_fx!$Q$55,0))))))))</f>
        <v>0</v>
      </c>
      <c r="Z71" t="str">
        <f t="shared" si="4"/>
        <v>MDO/MGO</v>
      </c>
      <c r="AA71" t="str">
        <f t="shared" si="5"/>
        <v>MSD</v>
      </c>
      <c r="AB71" t="str">
        <f t="shared" si="6"/>
        <v>MDO/MGO</v>
      </c>
      <c r="AC71" t="str">
        <f t="shared" si="7"/>
        <v>MSD</v>
      </c>
      <c r="AD71" t="str">
        <f t="shared" si="8"/>
        <v>MDO/MGO</v>
      </c>
      <c r="AE71" t="str">
        <f t="shared" si="9"/>
        <v>ST</v>
      </c>
      <c r="AG71">
        <f>Alukset_Käynnit!O78</f>
        <v>0</v>
      </c>
      <c r="AH71" s="207">
        <f>IF(AA71="SSD",((U71*Alukset_fx!$B$24)*Alukset_Käynnit_Lask!W71*(Alukset_fx!$K$49)/1000),IF(AA71="MSD",((U71*Alukset_fx!$B$24)*Alukset_Käynnit_Lask!W71*(Alukset_fx!$K$52)/1000),IF(AA71="HSD",((U71*Alukset_fx!$B$24)*Alukset_Käynnit_Lask!W71*(Alukset_fx!$K$55)/1000),0)))</f>
        <v>0</v>
      </c>
      <c r="AI71" s="207">
        <f>IF(AC71="MSD",((V71*Alukset_fx!$B$25)*Alukset_Käynnit_Lask!W71*(Alukset_fx!$L$52)/1000),IF(AC71="HSD",((V71*Alukset_fx!$B$25)*Alukset_Käynnit_Lask!W71*(Alukset_fx!$L$55)/1000),0))</f>
        <v>0</v>
      </c>
      <c r="AJ71" s="207">
        <f>X71*W71*Alukset_fx!$K$61/1000</f>
        <v>0</v>
      </c>
      <c r="AK71">
        <v>0</v>
      </c>
      <c r="AL71" s="207">
        <f>IF(AG71="Käytetty",0,IF(AC71="MSD",((V71*Alukset_fx!$O$25)*Alukset_Käynnit_Lask!O71*(Alukset_fx!$L$52)/1000),IF(AC71="HSD",((V71*Alukset_fx!$O$25)*Alukset_Käynnit_Lask!O71*(Alukset_fx!$L$55)/1000),0)))</f>
        <v>0</v>
      </c>
      <c r="AM71" s="207">
        <f>IF(AG71="Käytetty",0,Y71*O71*Alukset_fx!$K$61/1000)</f>
        <v>0</v>
      </c>
      <c r="AN71" s="213">
        <f t="shared" si="10"/>
        <v>0</v>
      </c>
    </row>
    <row r="72" spans="1:40" x14ac:dyDescent="0.25">
      <c r="A72" s="203">
        <f>Alukset_Käynnit!A79</f>
        <v>0</v>
      </c>
      <c r="B72" s="203">
        <f>Alukset_Käynnit!B79</f>
        <v>0</v>
      </c>
      <c r="C72" s="262">
        <f>Alukset_Käynnit!C79</f>
        <v>0</v>
      </c>
      <c r="D72" s="266">
        <f>Alukset_Käynnit!D79</f>
        <v>0</v>
      </c>
      <c r="E72" s="262">
        <f>Alukset_Käynnit!E79</f>
        <v>0</v>
      </c>
      <c r="F72" s="262">
        <f>Alukset_Käynnit!F79</f>
        <v>0</v>
      </c>
      <c r="G72" s="262">
        <f>Alukset_Käynnit!G79</f>
        <v>0</v>
      </c>
      <c r="H72" s="262">
        <f>Alukset_Käynnit!H79</f>
        <v>0</v>
      </c>
      <c r="I72" s="262">
        <f>Alukset_Käynnit!I79</f>
        <v>0</v>
      </c>
      <c r="J72" s="262">
        <f>Alukset_Käynnit!J79</f>
        <v>0</v>
      </c>
      <c r="K72" s="262">
        <f>Alukset_Käynnit!K79</f>
        <v>0</v>
      </c>
      <c r="L72" s="205">
        <f>Alukset_Käynnit!L79</f>
        <v>0</v>
      </c>
      <c r="N72" s="273">
        <f t="shared" si="12"/>
        <v>0</v>
      </c>
      <c r="O72" s="274">
        <f t="shared" si="11"/>
        <v>0</v>
      </c>
      <c r="P72" s="202"/>
      <c r="Q72" s="204">
        <f t="shared" si="1"/>
        <v>0</v>
      </c>
      <c r="R72" s="202">
        <f>IF(Q72="Other dry cargo",L72*Alukset_fx!$B$71,IF(OR(Q72="Dry bulk",Q72="Bulk carrier"),L72*Alukset_fx!$B$69,IF(Q72="Tugboat",L72*Alukset_fx!$B$76,IF(OR(Q72="Tanker",Q72="Gas tanker",Q72="Chemical tanker",Q72="Oil tanker"),L72*Alukset_fx!$B$68,IF(OR(Q72="RoRo",Q72="Vehicle carrier"),L72*Alukset_fx!$B$72,IF(Q72="RoPax",L72*Alukset_fx!$B$73,IF(Q72="Container ship",L72*Alukset_fx!$B$70,IF(Q72="Barge",0,L72*Alukset_fx!$B$75))))))))</f>
        <v>0</v>
      </c>
      <c r="S72" s="210">
        <f>IF(L72=0,IF(Q72="Other dry cargo",Alukset_fx!$H$73*(Alukset_Käynnit_Lask!K72^Alukset_fx!$I$73),IF(OR(Q72="Dry Bulk",Q72="Bulk carrier"),Alukset_fx!$H$71*(Alukset_Käynnit_Lask!K72^Alukset_fx!$I$71),IF(Q72="Tugboat",Alukset_fx!$H$78*(Alukset_Käynnit_Lask!K72^Alukset_fx!$I$78),IF(OR(Q72="Tanker",Q72="Gas tanker",Q72="Chemical tanker",Q72="Oil tanker"),Alukset_fx!$H$70*(Alukset_Käynnit_Lask!K72^Alukset_fx!$I$70),IF(Q72="Container ship",Alukset_fx!$H$72*(Alukset_Käynnit_Lask!K72^Alukset_fx!$I$72),IF(Q72="Barge",0,IF(Q72="RoPax",Alukset_fx!$H$75*(Alukset_Käynnit_Lask!K72^Alukset_fx!$I$75),IF(OR(Q72="RoRo",Q72="Vehicle carrier"),Alukset_fx!$H$74*(Alukset_Käynnit_Lask!K72^Alukset_fx!$I$74),Alukset_fx!$H$77*(Alukset_Käynnit_Lask!K72^Alukset_fx!$I$77))))))))),"-")</f>
        <v>0</v>
      </c>
      <c r="T72" s="208">
        <f>IF(R72=0,IF(Q72="Other dry cargo",S72*Alukset_fx!$B$71,IF(OR(Q72="Dry bulk",Q72="Bulk carrier"),S72*Alukset_fx!$B$69,IF(Q72="Tugboat",S72*Alukset_fx!$B$76,IF(OR(Q72="Tanker",Q72="Gas tanker",Q72="Chemical tanker",Q72="Oil tanker"),S72*Alukset_fx!$B$68,IF(OR(Q72="RoRo",Q72="Vehicle carrier"),S72*Alukset_fx!$B$72,IF(Q72="RoPax",S72*Alukset_fx!$B$73,IF(Q72="Container ship",S72*Alukset_fx!$B$70,S72*Alukset_fx!$B$75))))))),"-")</f>
        <v>0</v>
      </c>
      <c r="U72" s="208">
        <f t="shared" si="2"/>
        <v>0</v>
      </c>
      <c r="V72" s="208">
        <f t="shared" si="3"/>
        <v>0</v>
      </c>
      <c r="W72" s="202">
        <f>Alukset_Käynnit!N79</f>
        <v>0</v>
      </c>
      <c r="X72" s="211">
        <f>IF(Q72="Other dry cargo", Alukset_fx!$C$52, IF(OR(Q72="Dry bulk",Q72="Bulk carrier"),Alukset_fx!$C$35,IF(OR(Q72="Tanker",Q72="Gas tanker",Q72="Oil tanker"),Alukset_fx!$C$57,IF(Q72="Chemical tanker",Alukset_fx!$C$56,IF(OR(Q72="Tugboat",Q72="Barge"),0,IF(Q72="Other vessel",Alukset_fx!$C$54,IF(Q72="Container ship",Alukset_fx!$C$37,IF(OR(Q72="RoPax",Q72="RoRo",Q72="Vehicle carrier"),Alukset_fx!$C$55,0))))))))</f>
        <v>0</v>
      </c>
      <c r="Y72" s="211">
        <f>IF(Q72="Other dry cargo", Alukset_fx!$Q$52, IF(OR(Q72="Dry bulk",Q72="Bulk carrier"),Alukset_fx!$Q$35,IF(OR(Q72="Tanker",Q72="Gas tanker",Q72="Oil tanker"),Alukset_fx!$Q$57,IF(Q72="Chemical tanker",Alukset_fx!$Q$56,IF(OR(Q72="Tugboat",Q72="Barge"),0,IF(Q72="Other vessel",Alukset_fx!$Q$54,IF(Q72="Container ship",Alukset_fx!$Q$37,IF(OR(Q72="RoPax",Q72="RoRo",Q72="Vehicle carrier"),Alukset_fx!$Q$55,0))))))))</f>
        <v>0</v>
      </c>
      <c r="Z72" t="str">
        <f t="shared" si="4"/>
        <v>MDO/MGO</v>
      </c>
      <c r="AA72" t="str">
        <f t="shared" si="5"/>
        <v>MSD</v>
      </c>
      <c r="AB72" t="str">
        <f t="shared" si="6"/>
        <v>MDO/MGO</v>
      </c>
      <c r="AC72" t="str">
        <f t="shared" si="7"/>
        <v>MSD</v>
      </c>
      <c r="AD72" t="str">
        <f t="shared" si="8"/>
        <v>MDO/MGO</v>
      </c>
      <c r="AE72" t="str">
        <f t="shared" si="9"/>
        <v>ST</v>
      </c>
      <c r="AG72">
        <f>Alukset_Käynnit!O79</f>
        <v>0</v>
      </c>
      <c r="AH72" s="207">
        <f>IF(AA72="SSD",((U72*Alukset_fx!$B$24)*Alukset_Käynnit_Lask!W72*(Alukset_fx!$K$49)/1000),IF(AA72="MSD",((U72*Alukset_fx!$B$24)*Alukset_Käynnit_Lask!W72*(Alukset_fx!$K$52)/1000),IF(AA72="HSD",((U72*Alukset_fx!$B$24)*Alukset_Käynnit_Lask!W72*(Alukset_fx!$K$55)/1000),0)))</f>
        <v>0</v>
      </c>
      <c r="AI72" s="207">
        <f>IF(AC72="MSD",((V72*Alukset_fx!$B$25)*Alukset_Käynnit_Lask!W72*(Alukset_fx!$L$52)/1000),IF(AC72="HSD",((V72*Alukset_fx!$B$25)*Alukset_Käynnit_Lask!W72*(Alukset_fx!$L$55)/1000),0))</f>
        <v>0</v>
      </c>
      <c r="AJ72" s="207">
        <f>X72*W72*Alukset_fx!$K$61/1000</f>
        <v>0</v>
      </c>
      <c r="AK72">
        <v>0</v>
      </c>
      <c r="AL72" s="207">
        <f>IF(AG72="Käytetty",0,IF(AC72="MSD",((V72*Alukset_fx!$O$25)*Alukset_Käynnit_Lask!O72*(Alukset_fx!$L$52)/1000),IF(AC72="HSD",((V72*Alukset_fx!$O$25)*Alukset_Käynnit_Lask!O72*(Alukset_fx!$L$55)/1000),0)))</f>
        <v>0</v>
      </c>
      <c r="AM72" s="207">
        <f>IF(AG72="Käytetty",0,Y72*O72*Alukset_fx!$K$61/1000)</f>
        <v>0</v>
      </c>
      <c r="AN72" s="213">
        <f t="shared" si="10"/>
        <v>0</v>
      </c>
    </row>
    <row r="73" spans="1:40" x14ac:dyDescent="0.25">
      <c r="A73" s="203">
        <f>Alukset_Käynnit!A80</f>
        <v>0</v>
      </c>
      <c r="B73" s="203">
        <f>Alukset_Käynnit!B80</f>
        <v>0</v>
      </c>
      <c r="C73" s="262">
        <f>Alukset_Käynnit!C80</f>
        <v>0</v>
      </c>
      <c r="D73" s="266">
        <f>Alukset_Käynnit!D80</f>
        <v>0</v>
      </c>
      <c r="E73" s="262">
        <f>Alukset_Käynnit!E80</f>
        <v>0</v>
      </c>
      <c r="F73" s="262">
        <f>Alukset_Käynnit!F80</f>
        <v>0</v>
      </c>
      <c r="G73" s="262">
        <f>Alukset_Käynnit!G80</f>
        <v>0</v>
      </c>
      <c r="H73" s="262">
        <f>Alukset_Käynnit!H80</f>
        <v>0</v>
      </c>
      <c r="I73" s="262">
        <f>Alukset_Käynnit!I80</f>
        <v>0</v>
      </c>
      <c r="J73" s="262">
        <f>Alukset_Käynnit!J80</f>
        <v>0</v>
      </c>
      <c r="K73" s="262">
        <f>Alukset_Käynnit!K80</f>
        <v>0</v>
      </c>
      <c r="L73" s="205">
        <f>Alukset_Käynnit!L80</f>
        <v>0</v>
      </c>
      <c r="N73" s="275">
        <f t="shared" si="12"/>
        <v>0</v>
      </c>
      <c r="O73" s="276">
        <f t="shared" si="11"/>
        <v>0</v>
      </c>
      <c r="P73" s="202"/>
      <c r="Q73" s="204">
        <f t="shared" si="1"/>
        <v>0</v>
      </c>
      <c r="R73" s="202">
        <f>IF(Q73="Other dry cargo",L73*Alukset_fx!$B$71,IF(OR(Q73="Dry bulk",Q73="Bulk carrier"),L73*Alukset_fx!$B$69,IF(Q73="Tugboat",L73*Alukset_fx!$B$76,IF(OR(Q73="Tanker",Q73="Gas tanker",Q73="Chemical tanker",Q73="Oil tanker"),L73*Alukset_fx!$B$68,IF(OR(Q73="RoRo",Q73="Vehicle carrier"),L73*Alukset_fx!$B$72,IF(Q73="RoPax",L73*Alukset_fx!$B$73,IF(Q73="Container ship",L73*Alukset_fx!$B$70,IF(Q73="Barge",0,L73*Alukset_fx!$B$75))))))))</f>
        <v>0</v>
      </c>
      <c r="S73" s="210">
        <f>IF(L73=0,IF(Q73="Other dry cargo",Alukset_fx!$H$73*(Alukset_Käynnit_Lask!K73^Alukset_fx!$I$73),IF(OR(Q73="Dry Bulk",Q73="Bulk carrier"),Alukset_fx!$H$71*(Alukset_Käynnit_Lask!K73^Alukset_fx!$I$71),IF(Q73="Tugboat",Alukset_fx!$H$78*(Alukset_Käynnit_Lask!K73^Alukset_fx!$I$78),IF(OR(Q73="Tanker",Q73="Gas tanker",Q73="Chemical tanker",Q73="Oil tanker"),Alukset_fx!$H$70*(Alukset_Käynnit_Lask!K73^Alukset_fx!$I$70),IF(Q73="Container ship",Alukset_fx!$H$72*(Alukset_Käynnit_Lask!K73^Alukset_fx!$I$72),IF(Q73="Barge",0,IF(Q73="RoPax",Alukset_fx!$H$75*(Alukset_Käynnit_Lask!K73^Alukset_fx!$I$75),IF(OR(Q73="RoRo",Q73="Vehicle carrier"),Alukset_fx!$H$74*(Alukset_Käynnit_Lask!K73^Alukset_fx!$I$74),Alukset_fx!$H$77*(Alukset_Käynnit_Lask!K73^Alukset_fx!$I$77))))))))),"-")</f>
        <v>0</v>
      </c>
      <c r="T73" s="208">
        <f>IF(R73=0,IF(Q73="Other dry cargo",S73*Alukset_fx!$B$71,IF(OR(Q73="Dry bulk",Q73="Bulk carrier"),S73*Alukset_fx!$B$69,IF(Q73="Tugboat",S73*Alukset_fx!$B$76,IF(OR(Q73="Tanker",Q73="Gas tanker",Q73="Chemical tanker",Q73="Oil tanker"),S73*Alukset_fx!$B$68,IF(OR(Q73="RoRo",Q73="Vehicle carrier"),S73*Alukset_fx!$B$72,IF(Q73="RoPax",S73*Alukset_fx!$B$73,IF(Q73="Container ship",S73*Alukset_fx!$B$70,S73*Alukset_fx!$B$75))))))),"-")</f>
        <v>0</v>
      </c>
      <c r="U73" s="208">
        <f t="shared" si="2"/>
        <v>0</v>
      </c>
      <c r="V73" s="208">
        <f t="shared" si="3"/>
        <v>0</v>
      </c>
      <c r="W73" s="202">
        <f>Alukset_Käynnit!N80</f>
        <v>0</v>
      </c>
      <c r="X73" s="211">
        <f>IF(Q73="Other dry cargo", Alukset_fx!$C$52, IF(OR(Q73="Dry bulk",Q73="Bulk carrier"),Alukset_fx!$C$35,IF(OR(Q73="Tanker",Q73="Gas tanker",Q73="Oil tanker"),Alukset_fx!$C$57,IF(Q73="Chemical tanker",Alukset_fx!$C$56,IF(OR(Q73="Tugboat",Q73="Barge"),0,IF(Q73="Other vessel",Alukset_fx!$C$54,IF(Q73="Container ship",Alukset_fx!$C$37,IF(OR(Q73="RoPax",Q73="RoRo",Q73="Vehicle carrier"),Alukset_fx!$C$55,0))))))))</f>
        <v>0</v>
      </c>
      <c r="Y73" s="211">
        <f>IF(Q73="Other dry cargo", Alukset_fx!$Q$52, IF(OR(Q73="Dry bulk",Q73="Bulk carrier"),Alukset_fx!$Q$35,IF(OR(Q73="Tanker",Q73="Gas tanker",Q73="Oil tanker"),Alukset_fx!$Q$57,IF(Q73="Chemical tanker",Alukset_fx!$Q$56,IF(OR(Q73="Tugboat",Q73="Barge"),0,IF(Q73="Other vessel",Alukset_fx!$Q$54,IF(Q73="Container ship",Alukset_fx!$Q$37,IF(OR(Q73="RoPax",Q73="RoRo",Q73="Vehicle carrier"),Alukset_fx!$Q$55,0))))))))</f>
        <v>0</v>
      </c>
      <c r="Z73" t="str">
        <f t="shared" si="4"/>
        <v>MDO/MGO</v>
      </c>
      <c r="AA73" t="str">
        <f t="shared" si="5"/>
        <v>MSD</v>
      </c>
      <c r="AB73" t="str">
        <f t="shared" si="6"/>
        <v>MDO/MGO</v>
      </c>
      <c r="AC73" t="str">
        <f t="shared" si="7"/>
        <v>MSD</v>
      </c>
      <c r="AD73" t="str">
        <f t="shared" si="8"/>
        <v>MDO/MGO</v>
      </c>
      <c r="AE73" t="str">
        <f t="shared" si="9"/>
        <v>ST</v>
      </c>
      <c r="AG73">
        <f>Alukset_Käynnit!O80</f>
        <v>0</v>
      </c>
      <c r="AH73" s="207">
        <f>IF(AA73="SSD",((U73*Alukset_fx!$B$24)*Alukset_Käynnit_Lask!W73*(Alukset_fx!$K$49)/1000),IF(AA73="MSD",((U73*Alukset_fx!$B$24)*Alukset_Käynnit_Lask!W73*(Alukset_fx!$K$52)/1000),IF(AA73="HSD",((U73*Alukset_fx!$B$24)*Alukset_Käynnit_Lask!W73*(Alukset_fx!$K$55)/1000),0)))</f>
        <v>0</v>
      </c>
      <c r="AI73" s="207">
        <f>IF(AC73="MSD",((V73*Alukset_fx!$B$25)*Alukset_Käynnit_Lask!W73*(Alukset_fx!$L$52)/1000),IF(AC73="HSD",((V73*Alukset_fx!$B$25)*Alukset_Käynnit_Lask!W73*(Alukset_fx!$L$55)/1000),0))</f>
        <v>0</v>
      </c>
      <c r="AJ73" s="207">
        <f>X73*W73*Alukset_fx!$K$61/1000</f>
        <v>0</v>
      </c>
      <c r="AK73">
        <v>0</v>
      </c>
      <c r="AL73" s="207">
        <f>IF(AG73="Käytetty",0,IF(AC73="MSD",((V73*Alukset_fx!$O$25)*Alukset_Käynnit_Lask!O73*(Alukset_fx!$L$52)/1000),IF(AC73="HSD",((V73*Alukset_fx!$O$25)*Alukset_Käynnit_Lask!O73*(Alukset_fx!$L$55)/1000),0)))</f>
        <v>0</v>
      </c>
      <c r="AM73" s="207">
        <f>IF(AG73="Käytetty",0,Y73*O73*Alukset_fx!$K$61/1000)</f>
        <v>0</v>
      </c>
      <c r="AN73" s="213">
        <f t="shared" si="10"/>
        <v>0</v>
      </c>
    </row>
    <row r="74" spans="1:40" x14ac:dyDescent="0.25">
      <c r="A74" s="203">
        <f>Alukset_Käynnit!A81</f>
        <v>0</v>
      </c>
      <c r="B74" s="203">
        <f>Alukset_Käynnit!B81</f>
        <v>0</v>
      </c>
      <c r="C74" s="262">
        <f>Alukset_Käynnit!C81</f>
        <v>0</v>
      </c>
      <c r="D74" s="266">
        <f>Alukset_Käynnit!D81</f>
        <v>0</v>
      </c>
      <c r="E74" s="262">
        <f>Alukset_Käynnit!E81</f>
        <v>0</v>
      </c>
      <c r="F74" s="262">
        <f>Alukset_Käynnit!F81</f>
        <v>0</v>
      </c>
      <c r="G74" s="262">
        <f>Alukset_Käynnit!G81</f>
        <v>0</v>
      </c>
      <c r="H74" s="262">
        <f>Alukset_Käynnit!H81</f>
        <v>0</v>
      </c>
      <c r="I74" s="262">
        <f>Alukset_Käynnit!I81</f>
        <v>0</v>
      </c>
      <c r="J74" s="262">
        <f>Alukset_Käynnit!J81</f>
        <v>0</v>
      </c>
      <c r="K74" s="262">
        <f>Alukset_Käynnit!K81</f>
        <v>0</v>
      </c>
      <c r="L74" s="205">
        <f>Alukset_Käynnit!L81</f>
        <v>0</v>
      </c>
      <c r="N74" s="275">
        <f t="shared" si="12"/>
        <v>0</v>
      </c>
      <c r="O74" s="276">
        <f t="shared" si="11"/>
        <v>0</v>
      </c>
      <c r="P74" s="202"/>
      <c r="Q74" s="204">
        <f t="shared" si="1"/>
        <v>0</v>
      </c>
      <c r="R74" s="202">
        <f>IF(Q74="Other dry cargo",L74*Alukset_fx!$B$71,IF(OR(Q74="Dry bulk",Q74="Bulk carrier"),L74*Alukset_fx!$B$69,IF(Q74="Tugboat",L74*Alukset_fx!$B$76,IF(OR(Q74="Tanker",Q74="Gas tanker",Q74="Chemical tanker",Q74="Oil tanker"),L74*Alukset_fx!$B$68,IF(OR(Q74="RoRo",Q74="Vehicle carrier"),L74*Alukset_fx!$B$72,IF(Q74="RoPax",L74*Alukset_fx!$B$73,IF(Q74="Container ship",L74*Alukset_fx!$B$70,IF(Q74="Barge",0,L74*Alukset_fx!$B$75))))))))</f>
        <v>0</v>
      </c>
      <c r="S74" s="210">
        <f>IF(L74=0,IF(Q74="Other dry cargo",Alukset_fx!$H$73*(Alukset_Käynnit_Lask!K74^Alukset_fx!$I$73),IF(OR(Q74="Dry Bulk",Q74="Bulk carrier"),Alukset_fx!$H$71*(Alukset_Käynnit_Lask!K74^Alukset_fx!$I$71),IF(Q74="Tugboat",Alukset_fx!$H$78*(Alukset_Käynnit_Lask!K74^Alukset_fx!$I$78),IF(OR(Q74="Tanker",Q74="Gas tanker",Q74="Chemical tanker",Q74="Oil tanker"),Alukset_fx!$H$70*(Alukset_Käynnit_Lask!K74^Alukset_fx!$I$70),IF(Q74="Container ship",Alukset_fx!$H$72*(Alukset_Käynnit_Lask!K74^Alukset_fx!$I$72),IF(Q74="Barge",0,IF(Q74="RoPax",Alukset_fx!$H$75*(Alukset_Käynnit_Lask!K74^Alukset_fx!$I$75),IF(OR(Q74="RoRo",Q74="Vehicle carrier"),Alukset_fx!$H$74*(Alukset_Käynnit_Lask!K74^Alukset_fx!$I$74),Alukset_fx!$H$77*(Alukset_Käynnit_Lask!K74^Alukset_fx!$I$77))))))))),"-")</f>
        <v>0</v>
      </c>
      <c r="T74" s="208">
        <f>IF(R74=0,IF(Q74="Other dry cargo",S74*Alukset_fx!$B$71,IF(OR(Q74="Dry bulk",Q74="Bulk carrier"),S74*Alukset_fx!$B$69,IF(Q74="Tugboat",S74*Alukset_fx!$B$76,IF(OR(Q74="Tanker",Q74="Gas tanker",Q74="Chemical tanker",Q74="Oil tanker"),S74*Alukset_fx!$B$68,IF(OR(Q74="RoRo",Q74="Vehicle carrier"),S74*Alukset_fx!$B$72,IF(Q74="RoPax",S74*Alukset_fx!$B$73,IF(Q74="Container ship",S74*Alukset_fx!$B$70,S74*Alukset_fx!$B$75))))))),"-")</f>
        <v>0</v>
      </c>
      <c r="U74" s="208">
        <f t="shared" si="2"/>
        <v>0</v>
      </c>
      <c r="V74" s="208">
        <f t="shared" si="3"/>
        <v>0</v>
      </c>
      <c r="W74" s="202">
        <f>Alukset_Käynnit!N81</f>
        <v>0</v>
      </c>
      <c r="X74" s="211">
        <f>IF(Q74="Other dry cargo", Alukset_fx!$C$52, IF(OR(Q74="Dry bulk",Q74="Bulk carrier"),Alukset_fx!$C$35,IF(OR(Q74="Tanker",Q74="Gas tanker",Q74="Oil tanker"),Alukset_fx!$C$57,IF(Q74="Chemical tanker",Alukset_fx!$C$56,IF(OR(Q74="Tugboat",Q74="Barge"),0,IF(Q74="Other vessel",Alukset_fx!$C$54,IF(Q74="Container ship",Alukset_fx!$C$37,IF(OR(Q74="RoPax",Q74="RoRo",Q74="Vehicle carrier"),Alukset_fx!$C$55,0))))))))</f>
        <v>0</v>
      </c>
      <c r="Y74" s="211">
        <f>IF(Q74="Other dry cargo", Alukset_fx!$Q$52, IF(OR(Q74="Dry bulk",Q74="Bulk carrier"),Alukset_fx!$Q$35,IF(OR(Q74="Tanker",Q74="Gas tanker",Q74="Oil tanker"),Alukset_fx!$Q$57,IF(Q74="Chemical tanker",Alukset_fx!$Q$56,IF(OR(Q74="Tugboat",Q74="Barge"),0,IF(Q74="Other vessel",Alukset_fx!$Q$54,IF(Q74="Container ship",Alukset_fx!$Q$37,IF(OR(Q74="RoPax",Q74="RoRo",Q74="Vehicle carrier"),Alukset_fx!$Q$55,0))))))))</f>
        <v>0</v>
      </c>
      <c r="Z74" t="str">
        <f t="shared" si="4"/>
        <v>MDO/MGO</v>
      </c>
      <c r="AA74" t="str">
        <f t="shared" si="5"/>
        <v>MSD</v>
      </c>
      <c r="AB74" t="str">
        <f t="shared" si="6"/>
        <v>MDO/MGO</v>
      </c>
      <c r="AC74" t="str">
        <f t="shared" si="7"/>
        <v>MSD</v>
      </c>
      <c r="AD74" t="str">
        <f t="shared" si="8"/>
        <v>MDO/MGO</v>
      </c>
      <c r="AE74" t="str">
        <f t="shared" si="9"/>
        <v>ST</v>
      </c>
      <c r="AG74">
        <f>Alukset_Käynnit!O81</f>
        <v>0</v>
      </c>
      <c r="AH74" s="207">
        <f>IF(AA74="SSD",((U74*Alukset_fx!$B$24)*Alukset_Käynnit_Lask!W74*(Alukset_fx!$K$49)/1000),IF(AA74="MSD",((U74*Alukset_fx!$B$24)*Alukset_Käynnit_Lask!W74*(Alukset_fx!$K$52)/1000),IF(AA74="HSD",((U74*Alukset_fx!$B$24)*Alukset_Käynnit_Lask!W74*(Alukset_fx!$K$55)/1000),0)))</f>
        <v>0</v>
      </c>
      <c r="AI74" s="207">
        <f>IF(AC74="MSD",((V74*Alukset_fx!$B$25)*Alukset_Käynnit_Lask!W74*(Alukset_fx!$L$52)/1000),IF(AC74="HSD",((V74*Alukset_fx!$B$25)*Alukset_Käynnit_Lask!W74*(Alukset_fx!$L$55)/1000),0))</f>
        <v>0</v>
      </c>
      <c r="AJ74" s="207">
        <f>X74*W74*Alukset_fx!$K$61/1000</f>
        <v>0</v>
      </c>
      <c r="AK74">
        <v>0</v>
      </c>
      <c r="AL74" s="207">
        <f>IF(AG74="Käytetty",0,IF(AC74="MSD",((V74*Alukset_fx!$O$25)*Alukset_Käynnit_Lask!O74*(Alukset_fx!$L$52)/1000),IF(AC74="HSD",((V74*Alukset_fx!$O$25)*Alukset_Käynnit_Lask!O74*(Alukset_fx!$L$55)/1000),0)))</f>
        <v>0</v>
      </c>
      <c r="AM74" s="207">
        <f>IF(AG74="Käytetty",0,Y74*O74*Alukset_fx!$K$61/1000)</f>
        <v>0</v>
      </c>
      <c r="AN74" s="213">
        <f t="shared" si="10"/>
        <v>0</v>
      </c>
    </row>
    <row r="75" spans="1:40" x14ac:dyDescent="0.25">
      <c r="A75" s="203">
        <f>Alukset_Käynnit!A82</f>
        <v>0</v>
      </c>
      <c r="B75" s="203">
        <f>Alukset_Käynnit!B82</f>
        <v>0</v>
      </c>
      <c r="C75" s="262">
        <f>Alukset_Käynnit!C82</f>
        <v>0</v>
      </c>
      <c r="D75" s="266">
        <f>Alukset_Käynnit!D82</f>
        <v>0</v>
      </c>
      <c r="E75" s="262">
        <f>Alukset_Käynnit!E82</f>
        <v>0</v>
      </c>
      <c r="F75" s="262">
        <f>Alukset_Käynnit!F82</f>
        <v>0</v>
      </c>
      <c r="G75" s="262">
        <f>Alukset_Käynnit!G82</f>
        <v>0</v>
      </c>
      <c r="H75" s="262">
        <f>Alukset_Käynnit!H82</f>
        <v>0</v>
      </c>
      <c r="I75" s="262">
        <f>Alukset_Käynnit!I82</f>
        <v>0</v>
      </c>
      <c r="J75" s="262">
        <f>Alukset_Käynnit!J82</f>
        <v>0</v>
      </c>
      <c r="K75" s="262">
        <f>Alukset_Käynnit!K82</f>
        <v>0</v>
      </c>
      <c r="L75" s="205">
        <f>Alukset_Käynnit!L82</f>
        <v>0</v>
      </c>
      <c r="N75" s="275">
        <f t="shared" si="12"/>
        <v>0</v>
      </c>
      <c r="O75" s="276">
        <f t="shared" si="11"/>
        <v>0</v>
      </c>
      <c r="P75" s="202"/>
      <c r="Q75" s="204">
        <f t="shared" si="1"/>
        <v>0</v>
      </c>
      <c r="R75" s="202">
        <f>IF(Q75="Other dry cargo",L75*Alukset_fx!$B$71,IF(OR(Q75="Dry bulk",Q75="Bulk carrier"),L75*Alukset_fx!$B$69,IF(Q75="Tugboat",L75*Alukset_fx!$B$76,IF(OR(Q75="Tanker",Q75="Gas tanker",Q75="Chemical tanker",Q75="Oil tanker"),L75*Alukset_fx!$B$68,IF(OR(Q75="RoRo",Q75="Vehicle carrier"),L75*Alukset_fx!$B$72,IF(Q75="RoPax",L75*Alukset_fx!$B$73,IF(Q75="Container ship",L75*Alukset_fx!$B$70,IF(Q75="Barge",0,L75*Alukset_fx!$B$75))))))))</f>
        <v>0</v>
      </c>
      <c r="S75" s="210">
        <f>IF(L75=0,IF(Q75="Other dry cargo",Alukset_fx!$H$73*(Alukset_Käynnit_Lask!K75^Alukset_fx!$I$73),IF(OR(Q75="Dry Bulk",Q75="Bulk carrier"),Alukset_fx!$H$71*(Alukset_Käynnit_Lask!K75^Alukset_fx!$I$71),IF(Q75="Tugboat",Alukset_fx!$H$78*(Alukset_Käynnit_Lask!K75^Alukset_fx!$I$78),IF(OR(Q75="Tanker",Q75="Gas tanker",Q75="Chemical tanker",Q75="Oil tanker"),Alukset_fx!$H$70*(Alukset_Käynnit_Lask!K75^Alukset_fx!$I$70),IF(Q75="Container ship",Alukset_fx!$H$72*(Alukset_Käynnit_Lask!K75^Alukset_fx!$I$72),IF(Q75="Barge",0,IF(Q75="RoPax",Alukset_fx!$H$75*(Alukset_Käynnit_Lask!K75^Alukset_fx!$I$75),IF(OR(Q75="RoRo",Q75="Vehicle carrier"),Alukset_fx!$H$74*(Alukset_Käynnit_Lask!K75^Alukset_fx!$I$74),Alukset_fx!$H$77*(Alukset_Käynnit_Lask!K75^Alukset_fx!$I$77))))))))),"-")</f>
        <v>0</v>
      </c>
      <c r="T75" s="208">
        <f>IF(R75=0,IF(Q75="Other dry cargo",S75*Alukset_fx!$B$71,IF(OR(Q75="Dry bulk",Q75="Bulk carrier"),S75*Alukset_fx!$B$69,IF(Q75="Tugboat",S75*Alukset_fx!$B$76,IF(OR(Q75="Tanker",Q75="Gas tanker",Q75="Chemical tanker",Q75="Oil tanker"),S75*Alukset_fx!$B$68,IF(OR(Q75="RoRo",Q75="Vehicle carrier"),S75*Alukset_fx!$B$72,IF(Q75="RoPax",S75*Alukset_fx!$B$73,IF(Q75="Container ship",S75*Alukset_fx!$B$70,S75*Alukset_fx!$B$75))))))),"-")</f>
        <v>0</v>
      </c>
      <c r="U75" s="208">
        <f t="shared" si="2"/>
        <v>0</v>
      </c>
      <c r="V75" s="208">
        <f t="shared" si="3"/>
        <v>0</v>
      </c>
      <c r="W75" s="202">
        <f>Alukset_Käynnit!N82</f>
        <v>0</v>
      </c>
      <c r="X75" s="211">
        <f>IF(Q75="Other dry cargo", Alukset_fx!$C$52, IF(OR(Q75="Dry bulk",Q75="Bulk carrier"),Alukset_fx!$C$35,IF(OR(Q75="Tanker",Q75="Gas tanker",Q75="Oil tanker"),Alukset_fx!$C$57,IF(Q75="Chemical tanker",Alukset_fx!$C$56,IF(OR(Q75="Tugboat",Q75="Barge"),0,IF(Q75="Other vessel",Alukset_fx!$C$54,IF(Q75="Container ship",Alukset_fx!$C$37,IF(OR(Q75="RoPax",Q75="RoRo",Q75="Vehicle carrier"),Alukset_fx!$C$55,0))))))))</f>
        <v>0</v>
      </c>
      <c r="Y75" s="211">
        <f>IF(Q75="Other dry cargo", Alukset_fx!$Q$52, IF(OR(Q75="Dry bulk",Q75="Bulk carrier"),Alukset_fx!$Q$35,IF(OR(Q75="Tanker",Q75="Gas tanker",Q75="Oil tanker"),Alukset_fx!$Q$57,IF(Q75="Chemical tanker",Alukset_fx!$Q$56,IF(OR(Q75="Tugboat",Q75="Barge"),0,IF(Q75="Other vessel",Alukset_fx!$Q$54,IF(Q75="Container ship",Alukset_fx!$Q$37,IF(OR(Q75="RoPax",Q75="RoRo",Q75="Vehicle carrier"),Alukset_fx!$Q$55,0))))))))</f>
        <v>0</v>
      </c>
      <c r="Z75" t="str">
        <f t="shared" si="4"/>
        <v>MDO/MGO</v>
      </c>
      <c r="AA75" t="str">
        <f t="shared" si="5"/>
        <v>MSD</v>
      </c>
      <c r="AB75" t="str">
        <f t="shared" si="6"/>
        <v>MDO/MGO</v>
      </c>
      <c r="AC75" t="str">
        <f t="shared" si="7"/>
        <v>MSD</v>
      </c>
      <c r="AD75" t="str">
        <f t="shared" si="8"/>
        <v>MDO/MGO</v>
      </c>
      <c r="AE75" t="str">
        <f t="shared" si="9"/>
        <v>ST</v>
      </c>
      <c r="AG75">
        <f>Alukset_Käynnit!O82</f>
        <v>0</v>
      </c>
      <c r="AH75" s="207">
        <f>IF(AA75="SSD",((U75*Alukset_fx!$B$24)*Alukset_Käynnit_Lask!W75*(Alukset_fx!$K$49)/1000),IF(AA75="MSD",((U75*Alukset_fx!$B$24)*Alukset_Käynnit_Lask!W75*(Alukset_fx!$K$52)/1000),IF(AA75="HSD",((U75*Alukset_fx!$B$24)*Alukset_Käynnit_Lask!W75*(Alukset_fx!$K$55)/1000),0)))</f>
        <v>0</v>
      </c>
      <c r="AI75" s="207">
        <f>IF(AC75="MSD",((V75*Alukset_fx!$B$25)*Alukset_Käynnit_Lask!W75*(Alukset_fx!$L$52)/1000),IF(AC75="HSD",((V75*Alukset_fx!$B$25)*Alukset_Käynnit_Lask!W75*(Alukset_fx!$L$55)/1000),0))</f>
        <v>0</v>
      </c>
      <c r="AJ75" s="207">
        <f>X75*W75*Alukset_fx!$K$61/1000</f>
        <v>0</v>
      </c>
      <c r="AK75">
        <v>0</v>
      </c>
      <c r="AL75" s="207">
        <f>IF(AG75="Käytetty",0,IF(AC75="MSD",((V75*Alukset_fx!$O$25)*Alukset_Käynnit_Lask!O75*(Alukset_fx!$L$52)/1000),IF(AC75="HSD",((V75*Alukset_fx!$O$25)*Alukset_Käynnit_Lask!O75*(Alukset_fx!$L$55)/1000),0)))</f>
        <v>0</v>
      </c>
      <c r="AM75" s="207">
        <f>IF(AG75="Käytetty",0,Y75*O75*Alukset_fx!$K$61/1000)</f>
        <v>0</v>
      </c>
      <c r="AN75" s="213">
        <f t="shared" si="10"/>
        <v>0</v>
      </c>
    </row>
    <row r="76" spans="1:40" x14ac:dyDescent="0.25">
      <c r="A76" s="203">
        <f>Alukset_Käynnit!A83</f>
        <v>0</v>
      </c>
      <c r="B76" s="203">
        <f>Alukset_Käynnit!B83</f>
        <v>0</v>
      </c>
      <c r="C76" s="262">
        <f>Alukset_Käynnit!C83</f>
        <v>0</v>
      </c>
      <c r="D76" s="266">
        <f>Alukset_Käynnit!D83</f>
        <v>0</v>
      </c>
      <c r="E76" s="262">
        <f>Alukset_Käynnit!E83</f>
        <v>0</v>
      </c>
      <c r="F76" s="262">
        <f>Alukset_Käynnit!F83</f>
        <v>0</v>
      </c>
      <c r="G76" s="262">
        <f>Alukset_Käynnit!G83</f>
        <v>0</v>
      </c>
      <c r="H76" s="262">
        <f>Alukset_Käynnit!H83</f>
        <v>0</v>
      </c>
      <c r="I76" s="262">
        <f>Alukset_Käynnit!I83</f>
        <v>0</v>
      </c>
      <c r="J76" s="262">
        <f>Alukset_Käynnit!J83</f>
        <v>0</v>
      </c>
      <c r="K76" s="262">
        <f>Alukset_Käynnit!K83</f>
        <v>0</v>
      </c>
      <c r="L76" s="205">
        <f>Alukset_Käynnit!L83</f>
        <v>0</v>
      </c>
      <c r="N76" s="273">
        <f t="shared" si="12"/>
        <v>0</v>
      </c>
      <c r="O76" s="274">
        <f t="shared" si="11"/>
        <v>0</v>
      </c>
      <c r="P76" s="202"/>
      <c r="Q76" s="204">
        <f t="shared" si="1"/>
        <v>0</v>
      </c>
      <c r="R76" s="202">
        <f>IF(Q76="Other dry cargo",L76*Alukset_fx!$B$71,IF(OR(Q76="Dry bulk",Q76="Bulk carrier"),L76*Alukset_fx!$B$69,IF(Q76="Tugboat",L76*Alukset_fx!$B$76,IF(OR(Q76="Tanker",Q76="Gas tanker",Q76="Chemical tanker",Q76="Oil tanker"),L76*Alukset_fx!$B$68,IF(OR(Q76="RoRo",Q76="Vehicle carrier"),L76*Alukset_fx!$B$72,IF(Q76="RoPax",L76*Alukset_fx!$B$73,IF(Q76="Container ship",L76*Alukset_fx!$B$70,IF(Q76="Barge",0,L76*Alukset_fx!$B$75))))))))</f>
        <v>0</v>
      </c>
      <c r="S76" s="210">
        <f>IF(L76=0,IF(Q76="Other dry cargo",Alukset_fx!$H$73*(Alukset_Käynnit_Lask!K76^Alukset_fx!$I$73),IF(OR(Q76="Dry Bulk",Q76="Bulk carrier"),Alukset_fx!$H$71*(Alukset_Käynnit_Lask!K76^Alukset_fx!$I$71),IF(Q76="Tugboat",Alukset_fx!$H$78*(Alukset_Käynnit_Lask!K76^Alukset_fx!$I$78),IF(OR(Q76="Tanker",Q76="Gas tanker",Q76="Chemical tanker",Q76="Oil tanker"),Alukset_fx!$H$70*(Alukset_Käynnit_Lask!K76^Alukset_fx!$I$70),IF(Q76="Container ship",Alukset_fx!$H$72*(Alukset_Käynnit_Lask!K76^Alukset_fx!$I$72),IF(Q76="Barge",0,IF(Q76="RoPax",Alukset_fx!$H$75*(Alukset_Käynnit_Lask!K76^Alukset_fx!$I$75),IF(OR(Q76="RoRo",Q76="Vehicle carrier"),Alukset_fx!$H$74*(Alukset_Käynnit_Lask!K76^Alukset_fx!$I$74),Alukset_fx!$H$77*(Alukset_Käynnit_Lask!K76^Alukset_fx!$I$77))))))))),"-")</f>
        <v>0</v>
      </c>
      <c r="T76" s="208">
        <f>IF(R76=0,IF(Q76="Other dry cargo",S76*Alukset_fx!$B$71,IF(OR(Q76="Dry bulk",Q76="Bulk carrier"),S76*Alukset_fx!$B$69,IF(Q76="Tugboat",S76*Alukset_fx!$B$76,IF(OR(Q76="Tanker",Q76="Gas tanker",Q76="Chemical tanker",Q76="Oil tanker"),S76*Alukset_fx!$B$68,IF(OR(Q76="RoRo",Q76="Vehicle carrier"),S76*Alukset_fx!$B$72,IF(Q76="RoPax",S76*Alukset_fx!$B$73,IF(Q76="Container ship",S76*Alukset_fx!$B$70,S76*Alukset_fx!$B$75))))))),"-")</f>
        <v>0</v>
      </c>
      <c r="U76" s="208">
        <f t="shared" si="2"/>
        <v>0</v>
      </c>
      <c r="V76" s="208">
        <f t="shared" si="3"/>
        <v>0</v>
      </c>
      <c r="W76" s="202">
        <f>Alukset_Käynnit!N83</f>
        <v>0</v>
      </c>
      <c r="X76" s="211">
        <f>IF(Q76="Other dry cargo", Alukset_fx!$C$52, IF(OR(Q76="Dry bulk",Q76="Bulk carrier"),Alukset_fx!$C$35,IF(OR(Q76="Tanker",Q76="Gas tanker",Q76="Oil tanker"),Alukset_fx!$C$57,IF(Q76="Chemical tanker",Alukset_fx!$C$56,IF(OR(Q76="Tugboat",Q76="Barge"),0,IF(Q76="Other vessel",Alukset_fx!$C$54,IF(Q76="Container ship",Alukset_fx!$C$37,IF(OR(Q76="RoPax",Q76="RoRo",Q76="Vehicle carrier"),Alukset_fx!$C$55,0))))))))</f>
        <v>0</v>
      </c>
      <c r="Y76" s="211">
        <f>IF(Q76="Other dry cargo", Alukset_fx!$Q$52, IF(OR(Q76="Dry bulk",Q76="Bulk carrier"),Alukset_fx!$Q$35,IF(OR(Q76="Tanker",Q76="Gas tanker",Q76="Oil tanker"),Alukset_fx!$Q$57,IF(Q76="Chemical tanker",Alukset_fx!$Q$56,IF(OR(Q76="Tugboat",Q76="Barge"),0,IF(Q76="Other vessel",Alukset_fx!$Q$54,IF(Q76="Container ship",Alukset_fx!$Q$37,IF(OR(Q76="RoPax",Q76="RoRo",Q76="Vehicle carrier"),Alukset_fx!$Q$55,0))))))))</f>
        <v>0</v>
      </c>
      <c r="Z76" t="str">
        <f t="shared" si="4"/>
        <v>MDO/MGO</v>
      </c>
      <c r="AA76" t="str">
        <f t="shared" si="5"/>
        <v>MSD</v>
      </c>
      <c r="AB76" t="str">
        <f t="shared" si="6"/>
        <v>MDO/MGO</v>
      </c>
      <c r="AC76" t="str">
        <f t="shared" si="7"/>
        <v>MSD</v>
      </c>
      <c r="AD76" t="str">
        <f t="shared" si="8"/>
        <v>MDO/MGO</v>
      </c>
      <c r="AE76" t="str">
        <f t="shared" si="9"/>
        <v>ST</v>
      </c>
      <c r="AG76">
        <f>Alukset_Käynnit!O83</f>
        <v>0</v>
      </c>
      <c r="AH76" s="207">
        <f>IF(AA76="SSD",((U76*Alukset_fx!$B$24)*Alukset_Käynnit_Lask!W76*(Alukset_fx!$K$49)/1000),IF(AA76="MSD",((U76*Alukset_fx!$B$24)*Alukset_Käynnit_Lask!W76*(Alukset_fx!$K$52)/1000),IF(AA76="HSD",((U76*Alukset_fx!$B$24)*Alukset_Käynnit_Lask!W76*(Alukset_fx!$K$55)/1000),0)))</f>
        <v>0</v>
      </c>
      <c r="AI76" s="207">
        <f>IF(AC76="MSD",((V76*Alukset_fx!$B$25)*Alukset_Käynnit_Lask!W76*(Alukset_fx!$L$52)/1000),IF(AC76="HSD",((V76*Alukset_fx!$B$25)*Alukset_Käynnit_Lask!W76*(Alukset_fx!$L$55)/1000),0))</f>
        <v>0</v>
      </c>
      <c r="AJ76" s="207">
        <f>X76*W76*Alukset_fx!$K$61/1000</f>
        <v>0</v>
      </c>
      <c r="AK76">
        <v>0</v>
      </c>
      <c r="AL76" s="207">
        <f>IF(AG76="Käytetty",0,IF(AC76="MSD",((V76*Alukset_fx!$O$25)*Alukset_Käynnit_Lask!O76*(Alukset_fx!$L$52)/1000),IF(AC76="HSD",((V76*Alukset_fx!$O$25)*Alukset_Käynnit_Lask!O76*(Alukset_fx!$L$55)/1000),0)))</f>
        <v>0</v>
      </c>
      <c r="AM76" s="207">
        <f>IF(AG76="Käytetty",0,Y76*O76*Alukset_fx!$K$61/1000)</f>
        <v>0</v>
      </c>
      <c r="AN76" s="213">
        <f t="shared" si="10"/>
        <v>0</v>
      </c>
    </row>
    <row r="77" spans="1:40" x14ac:dyDescent="0.25">
      <c r="A77" s="203">
        <f>Alukset_Käynnit!A84</f>
        <v>0</v>
      </c>
      <c r="B77" s="203">
        <f>Alukset_Käynnit!B84</f>
        <v>0</v>
      </c>
      <c r="C77" s="262">
        <f>Alukset_Käynnit!C84</f>
        <v>0</v>
      </c>
      <c r="D77" s="266">
        <f>Alukset_Käynnit!D84</f>
        <v>0</v>
      </c>
      <c r="E77" s="262">
        <f>Alukset_Käynnit!E84</f>
        <v>0</v>
      </c>
      <c r="F77" s="262">
        <f>Alukset_Käynnit!F84</f>
        <v>0</v>
      </c>
      <c r="G77" s="262">
        <f>Alukset_Käynnit!G84</f>
        <v>0</v>
      </c>
      <c r="H77" s="262">
        <f>Alukset_Käynnit!H84</f>
        <v>0</v>
      </c>
      <c r="I77" s="262">
        <f>Alukset_Käynnit!I84</f>
        <v>0</v>
      </c>
      <c r="J77" s="262">
        <f>Alukset_Käynnit!J84</f>
        <v>0</v>
      </c>
      <c r="K77" s="262">
        <f>Alukset_Käynnit!K84</f>
        <v>0</v>
      </c>
      <c r="L77" s="205">
        <f>Alukset_Käynnit!L84</f>
        <v>0</v>
      </c>
      <c r="N77" s="275">
        <f t="shared" ref="N77:N108" si="13">(B77-A77)*1440</f>
        <v>0</v>
      </c>
      <c r="O77" s="276">
        <f t="shared" si="11"/>
        <v>0</v>
      </c>
      <c r="P77" s="202"/>
      <c r="Q77" s="204">
        <f t="shared" si="1"/>
        <v>0</v>
      </c>
      <c r="R77" s="202">
        <f>IF(Q77="Other dry cargo",L77*Alukset_fx!$B$71,IF(OR(Q77="Dry bulk",Q77="Bulk carrier"),L77*Alukset_fx!$B$69,IF(Q77="Tugboat",L77*Alukset_fx!$B$76,IF(OR(Q77="Tanker",Q77="Gas tanker",Q77="Chemical tanker",Q77="Oil tanker"),L77*Alukset_fx!$B$68,IF(OR(Q77="RoRo",Q77="Vehicle carrier"),L77*Alukset_fx!$B$72,IF(Q77="RoPax",L77*Alukset_fx!$B$73,IF(Q77="Container ship",L77*Alukset_fx!$B$70,IF(Q77="Barge",0,L77*Alukset_fx!$B$75))))))))</f>
        <v>0</v>
      </c>
      <c r="S77" s="210">
        <f>IF(L77=0,IF(Q77="Other dry cargo",Alukset_fx!$H$73*(Alukset_Käynnit_Lask!K77^Alukset_fx!$I$73),IF(OR(Q77="Dry Bulk",Q77="Bulk carrier"),Alukset_fx!$H$71*(Alukset_Käynnit_Lask!K77^Alukset_fx!$I$71),IF(Q77="Tugboat",Alukset_fx!$H$78*(Alukset_Käynnit_Lask!K77^Alukset_fx!$I$78),IF(OR(Q77="Tanker",Q77="Gas tanker",Q77="Chemical tanker",Q77="Oil tanker"),Alukset_fx!$H$70*(Alukset_Käynnit_Lask!K77^Alukset_fx!$I$70),IF(Q77="Container ship",Alukset_fx!$H$72*(Alukset_Käynnit_Lask!K77^Alukset_fx!$I$72),IF(Q77="Barge",0,IF(Q77="RoPax",Alukset_fx!$H$75*(Alukset_Käynnit_Lask!K77^Alukset_fx!$I$75),IF(OR(Q77="RoRo",Q77="Vehicle carrier"),Alukset_fx!$H$74*(Alukset_Käynnit_Lask!K77^Alukset_fx!$I$74),Alukset_fx!$H$77*(Alukset_Käynnit_Lask!K77^Alukset_fx!$I$77))))))))),"-")</f>
        <v>0</v>
      </c>
      <c r="T77" s="208">
        <f>IF(R77=0,IF(Q77="Other dry cargo",S77*Alukset_fx!$B$71,IF(OR(Q77="Dry bulk",Q77="Bulk carrier"),S77*Alukset_fx!$B$69,IF(Q77="Tugboat",S77*Alukset_fx!$B$76,IF(OR(Q77="Tanker",Q77="Gas tanker",Q77="Chemical tanker",Q77="Oil tanker"),S77*Alukset_fx!$B$68,IF(OR(Q77="RoRo",Q77="Vehicle carrier"),S77*Alukset_fx!$B$72,IF(Q77="RoPax",S77*Alukset_fx!$B$73,IF(Q77="Container ship",S77*Alukset_fx!$B$70,S77*Alukset_fx!$B$75))))))),"-")</f>
        <v>0</v>
      </c>
      <c r="U77" s="208">
        <f t="shared" si="2"/>
        <v>0</v>
      </c>
      <c r="V77" s="208">
        <f t="shared" si="3"/>
        <v>0</v>
      </c>
      <c r="W77" s="202">
        <f>Alukset_Käynnit!N84</f>
        <v>0</v>
      </c>
      <c r="X77" s="211">
        <f>IF(Q77="Other dry cargo", Alukset_fx!$C$52, IF(OR(Q77="Dry bulk",Q77="Bulk carrier"),Alukset_fx!$C$35,IF(OR(Q77="Tanker",Q77="Gas tanker",Q77="Oil tanker"),Alukset_fx!$C$57,IF(Q77="Chemical tanker",Alukset_fx!$C$56,IF(OR(Q77="Tugboat",Q77="Barge"),0,IF(Q77="Other vessel",Alukset_fx!$C$54,IF(Q77="Container ship",Alukset_fx!$C$37,IF(OR(Q77="RoPax",Q77="RoRo",Q77="Vehicle carrier"),Alukset_fx!$C$55,0))))))))</f>
        <v>0</v>
      </c>
      <c r="Y77" s="211">
        <f>IF(Q77="Other dry cargo", Alukset_fx!$Q$52, IF(OR(Q77="Dry bulk",Q77="Bulk carrier"),Alukset_fx!$Q$35,IF(OR(Q77="Tanker",Q77="Gas tanker",Q77="Oil tanker"),Alukset_fx!$Q$57,IF(Q77="Chemical tanker",Alukset_fx!$Q$56,IF(OR(Q77="Tugboat",Q77="Barge"),0,IF(Q77="Other vessel",Alukset_fx!$Q$54,IF(Q77="Container ship",Alukset_fx!$Q$37,IF(OR(Q77="RoPax",Q77="RoRo",Q77="Vehicle carrier"),Alukset_fx!$Q$55,0))))))))</f>
        <v>0</v>
      </c>
      <c r="Z77" t="str">
        <f t="shared" si="4"/>
        <v>MDO/MGO</v>
      </c>
      <c r="AA77" t="str">
        <f t="shared" si="5"/>
        <v>MSD</v>
      </c>
      <c r="AB77" t="str">
        <f t="shared" si="6"/>
        <v>MDO/MGO</v>
      </c>
      <c r="AC77" t="str">
        <f t="shared" si="7"/>
        <v>MSD</v>
      </c>
      <c r="AD77" t="str">
        <f t="shared" si="8"/>
        <v>MDO/MGO</v>
      </c>
      <c r="AE77" t="str">
        <f t="shared" si="9"/>
        <v>ST</v>
      </c>
      <c r="AG77">
        <f>Alukset_Käynnit!O84</f>
        <v>0</v>
      </c>
      <c r="AH77" s="207">
        <f>IF(AA77="SSD",((U77*Alukset_fx!$B$24)*Alukset_Käynnit_Lask!W77*(Alukset_fx!$K$49)/1000),IF(AA77="MSD",((U77*Alukset_fx!$B$24)*Alukset_Käynnit_Lask!W77*(Alukset_fx!$K$52)/1000),IF(AA77="HSD",((U77*Alukset_fx!$B$24)*Alukset_Käynnit_Lask!W77*(Alukset_fx!$K$55)/1000),0)))</f>
        <v>0</v>
      </c>
      <c r="AI77" s="207">
        <f>IF(AC77="MSD",((V77*Alukset_fx!$B$25)*Alukset_Käynnit_Lask!W77*(Alukset_fx!$L$52)/1000),IF(AC77="HSD",((V77*Alukset_fx!$B$25)*Alukset_Käynnit_Lask!W77*(Alukset_fx!$L$55)/1000),0))</f>
        <v>0</v>
      </c>
      <c r="AJ77" s="207">
        <f>X77*W77*Alukset_fx!$K$61/1000</f>
        <v>0</v>
      </c>
      <c r="AK77">
        <v>0</v>
      </c>
      <c r="AL77" s="207">
        <f>IF(AG77="Käytetty",0,IF(AC77="MSD",((V77*Alukset_fx!$O$25)*Alukset_Käynnit_Lask!O77*(Alukset_fx!$L$52)/1000),IF(AC77="HSD",((V77*Alukset_fx!$O$25)*Alukset_Käynnit_Lask!O77*(Alukset_fx!$L$55)/1000),0)))</f>
        <v>0</v>
      </c>
      <c r="AM77" s="207">
        <f>IF(AG77="Käytetty",0,Y77*O77*Alukset_fx!$K$61/1000)</f>
        <v>0</v>
      </c>
      <c r="AN77" s="213">
        <f t="shared" si="10"/>
        <v>0</v>
      </c>
    </row>
    <row r="78" spans="1:40" x14ac:dyDescent="0.25">
      <c r="A78" s="203">
        <f>Alukset_Käynnit!A85</f>
        <v>0</v>
      </c>
      <c r="B78" s="203">
        <f>Alukset_Käynnit!B85</f>
        <v>0</v>
      </c>
      <c r="C78" s="262">
        <f>Alukset_Käynnit!C85</f>
        <v>0</v>
      </c>
      <c r="D78" s="266">
        <f>Alukset_Käynnit!D85</f>
        <v>0</v>
      </c>
      <c r="E78" s="262">
        <f>Alukset_Käynnit!E85</f>
        <v>0</v>
      </c>
      <c r="F78" s="262">
        <f>Alukset_Käynnit!F85</f>
        <v>0</v>
      </c>
      <c r="G78" s="262">
        <f>Alukset_Käynnit!G85</f>
        <v>0</v>
      </c>
      <c r="H78" s="262">
        <f>Alukset_Käynnit!H85</f>
        <v>0</v>
      </c>
      <c r="I78" s="262">
        <f>Alukset_Käynnit!I85</f>
        <v>0</v>
      </c>
      <c r="J78" s="262">
        <f>Alukset_Käynnit!J85</f>
        <v>0</v>
      </c>
      <c r="K78" s="262">
        <f>Alukset_Käynnit!K85</f>
        <v>0</v>
      </c>
      <c r="L78" s="205">
        <f>Alukset_Käynnit!L85</f>
        <v>0</v>
      </c>
      <c r="N78" s="273">
        <f t="shared" si="13"/>
        <v>0</v>
      </c>
      <c r="O78" s="274">
        <f t="shared" si="11"/>
        <v>0</v>
      </c>
      <c r="P78" s="202"/>
      <c r="Q78" s="204">
        <f t="shared" ref="Q78:Q141" si="14">IF(H78="Muu kuivalasti","Other dry cargo",IF(H78="Muu kuivalastialus","Other dry cargo",IF(H78="Hinaaja","Tugboat",IF(H78="Proomu","Barge",IF(H78="Pusku-Proomu","Barge",IF(H78="Säiliöalus","Tanker",IF(H78="Ro-Ro-Matkustaja-Alus","RoPax",IF(H78="Irtolastialus","Bulk carrier",IF(H78="Kaasusäiliöalus","Gas tanker",IF(H78="Kemikaalisäiliöalus","Chemical tanker",IF(H78="Muu Alus","Other Vessel",IF(H78="Ro-Ro-Lastialus","RoRo",IF(H78="Öljysäiliöalus","Oil tanker",IF(H78="Ajoneuvojenkuljetusalus","Vehicle carrier",IF(H78="Kuiva Bulk","Dry bulk",IF(H78="Konttialus","Container ship",H78))))))))))))))))</f>
        <v>0</v>
      </c>
      <c r="R78" s="202">
        <f>IF(Q78="Other dry cargo",L78*Alukset_fx!$B$71,IF(OR(Q78="Dry bulk",Q78="Bulk carrier"),L78*Alukset_fx!$B$69,IF(Q78="Tugboat",L78*Alukset_fx!$B$76,IF(OR(Q78="Tanker",Q78="Gas tanker",Q78="Chemical tanker",Q78="Oil tanker"),L78*Alukset_fx!$B$68,IF(OR(Q78="RoRo",Q78="Vehicle carrier"),L78*Alukset_fx!$B$72,IF(Q78="RoPax",L78*Alukset_fx!$B$73,IF(Q78="Container ship",L78*Alukset_fx!$B$70,IF(Q78="Barge",0,L78*Alukset_fx!$B$75))))))))</f>
        <v>0</v>
      </c>
      <c r="S78" s="210">
        <f>IF(L78=0,IF(Q78="Other dry cargo",Alukset_fx!$H$73*(Alukset_Käynnit_Lask!K78^Alukset_fx!$I$73),IF(OR(Q78="Dry Bulk",Q78="Bulk carrier"),Alukset_fx!$H$71*(Alukset_Käynnit_Lask!K78^Alukset_fx!$I$71),IF(Q78="Tugboat",Alukset_fx!$H$78*(Alukset_Käynnit_Lask!K78^Alukset_fx!$I$78),IF(OR(Q78="Tanker",Q78="Gas tanker",Q78="Chemical tanker",Q78="Oil tanker"),Alukset_fx!$H$70*(Alukset_Käynnit_Lask!K78^Alukset_fx!$I$70),IF(Q78="Container ship",Alukset_fx!$H$72*(Alukset_Käynnit_Lask!K78^Alukset_fx!$I$72),IF(Q78="Barge",0,IF(Q78="RoPax",Alukset_fx!$H$75*(Alukset_Käynnit_Lask!K78^Alukset_fx!$I$75),IF(OR(Q78="RoRo",Q78="Vehicle carrier"),Alukset_fx!$H$74*(Alukset_Käynnit_Lask!K78^Alukset_fx!$I$74),Alukset_fx!$H$77*(Alukset_Käynnit_Lask!K78^Alukset_fx!$I$77))))))))),"-")</f>
        <v>0</v>
      </c>
      <c r="T78" s="208">
        <f>IF(R78=0,IF(Q78="Other dry cargo",S78*Alukset_fx!$B$71,IF(OR(Q78="Dry bulk",Q78="Bulk carrier"),S78*Alukset_fx!$B$69,IF(Q78="Tugboat",S78*Alukset_fx!$B$76,IF(OR(Q78="Tanker",Q78="Gas tanker",Q78="Chemical tanker",Q78="Oil tanker"),S78*Alukset_fx!$B$68,IF(OR(Q78="RoRo",Q78="Vehicle carrier"),S78*Alukset_fx!$B$72,IF(Q78="RoPax",S78*Alukset_fx!$B$73,IF(Q78="Container ship",S78*Alukset_fx!$B$70,S78*Alukset_fx!$B$75))))))),"-")</f>
        <v>0</v>
      </c>
      <c r="U78" s="208">
        <f t="shared" ref="U78:U141" si="15">IF(L78=0,S78,L78)</f>
        <v>0</v>
      </c>
      <c r="V78" s="208">
        <f t="shared" ref="V78:V141" si="16">IF(R78=0,T78,R78)</f>
        <v>0</v>
      </c>
      <c r="W78" s="202">
        <f>Alukset_Käynnit!N85</f>
        <v>0</v>
      </c>
      <c r="X78" s="211">
        <f>IF(Q78="Other dry cargo", Alukset_fx!$C$52, IF(OR(Q78="Dry bulk",Q78="Bulk carrier"),Alukset_fx!$C$35,IF(OR(Q78="Tanker",Q78="Gas tanker",Q78="Oil tanker"),Alukset_fx!$C$57,IF(Q78="Chemical tanker",Alukset_fx!$C$56,IF(OR(Q78="Tugboat",Q78="Barge"),0,IF(Q78="Other vessel",Alukset_fx!$C$54,IF(Q78="Container ship",Alukset_fx!$C$37,IF(OR(Q78="RoPax",Q78="RoRo",Q78="Vehicle carrier"),Alukset_fx!$C$55,0))))))))</f>
        <v>0</v>
      </c>
      <c r="Y78" s="211">
        <f>IF(Q78="Other dry cargo", Alukset_fx!$Q$52, IF(OR(Q78="Dry bulk",Q78="Bulk carrier"),Alukset_fx!$Q$35,IF(OR(Q78="Tanker",Q78="Gas tanker",Q78="Oil tanker"),Alukset_fx!$Q$57,IF(Q78="Chemical tanker",Alukset_fx!$Q$56,IF(OR(Q78="Tugboat",Q78="Barge"),0,IF(Q78="Other vessel",Alukset_fx!$Q$54,IF(Q78="Container ship",Alukset_fx!$Q$37,IF(OR(Q78="RoPax",Q78="RoRo",Q78="Vehicle carrier"),Alukset_fx!$Q$55,0))))))))</f>
        <v>0</v>
      </c>
      <c r="Z78" t="str">
        <f t="shared" ref="Z78:Z141" si="17">IF(Q78="Barge","-","MDO/MGO")</f>
        <v>MDO/MGO</v>
      </c>
      <c r="AA78" t="str">
        <f t="shared" ref="AA78:AA141" si="18">IF(Q78="Container ship","SSD",IF(Q78="Tugboat","HSD",IF(Q78="Barge","-","MSD")))</f>
        <v>MSD</v>
      </c>
      <c r="AB78" t="str">
        <f t="shared" ref="AB78:AB141" si="19">IF(Q78="Barge","-","MDO/MGO")</f>
        <v>MDO/MGO</v>
      </c>
      <c r="AC78" t="str">
        <f t="shared" ref="AC78:AC141" si="20">IF(Q78="Barge","-","MSD")</f>
        <v>MSD</v>
      </c>
      <c r="AD78" t="str">
        <f t="shared" ref="AD78:AD141" si="21">IF(OR(Q78="Tugboat",Q78="Barge"),"-","MDO/MGO")</f>
        <v>MDO/MGO</v>
      </c>
      <c r="AE78" t="str">
        <f t="shared" ref="AE78:AE141" si="22">IF(OR(Q78="Barge",Q78="Tugboat"),"-","ST")</f>
        <v>ST</v>
      </c>
      <c r="AG78">
        <f>Alukset_Käynnit!O85</f>
        <v>0</v>
      </c>
      <c r="AH78" s="207">
        <f>IF(AA78="SSD",((U78*Alukset_fx!$B$24)*Alukset_Käynnit_Lask!W78*(Alukset_fx!$K$49)/1000),IF(AA78="MSD",((U78*Alukset_fx!$B$24)*Alukset_Käynnit_Lask!W78*(Alukset_fx!$K$52)/1000),IF(AA78="HSD",((U78*Alukset_fx!$B$24)*Alukset_Käynnit_Lask!W78*(Alukset_fx!$K$55)/1000),0)))</f>
        <v>0</v>
      </c>
      <c r="AI78" s="207">
        <f>IF(AC78="MSD",((V78*Alukset_fx!$B$25)*Alukset_Käynnit_Lask!W78*(Alukset_fx!$L$52)/1000),IF(AC78="HSD",((V78*Alukset_fx!$B$25)*Alukset_Käynnit_Lask!W78*(Alukset_fx!$L$55)/1000),0))</f>
        <v>0</v>
      </c>
      <c r="AJ78" s="207">
        <f>X78*W78*Alukset_fx!$K$61/1000</f>
        <v>0</v>
      </c>
      <c r="AK78">
        <v>0</v>
      </c>
      <c r="AL78" s="207">
        <f>IF(AG78="Käytetty",0,IF(AC78="MSD",((V78*Alukset_fx!$O$25)*Alukset_Käynnit_Lask!O78*(Alukset_fx!$L$52)/1000),IF(AC78="HSD",((V78*Alukset_fx!$O$25)*Alukset_Käynnit_Lask!O78*(Alukset_fx!$L$55)/1000),0)))</f>
        <v>0</v>
      </c>
      <c r="AM78" s="207">
        <f>IF(AG78="Käytetty",0,Y78*O78*Alukset_fx!$K$61/1000)</f>
        <v>0</v>
      </c>
      <c r="AN78" s="213">
        <f t="shared" ref="AN78:AN141" si="23">SUM(AH78:AM78)/1000</f>
        <v>0</v>
      </c>
    </row>
    <row r="79" spans="1:40" x14ac:dyDescent="0.25">
      <c r="A79" s="203">
        <f>Alukset_Käynnit!A86</f>
        <v>0</v>
      </c>
      <c r="B79" s="203">
        <f>Alukset_Käynnit!B86</f>
        <v>0</v>
      </c>
      <c r="C79" s="262">
        <f>Alukset_Käynnit!C86</f>
        <v>0</v>
      </c>
      <c r="D79" s="266">
        <f>Alukset_Käynnit!D86</f>
        <v>0</v>
      </c>
      <c r="E79" s="262">
        <f>Alukset_Käynnit!E86</f>
        <v>0</v>
      </c>
      <c r="F79" s="262">
        <f>Alukset_Käynnit!F86</f>
        <v>0</v>
      </c>
      <c r="G79" s="262">
        <f>Alukset_Käynnit!G86</f>
        <v>0</v>
      </c>
      <c r="H79" s="262">
        <f>Alukset_Käynnit!H86</f>
        <v>0</v>
      </c>
      <c r="I79" s="262">
        <f>Alukset_Käynnit!I86</f>
        <v>0</v>
      </c>
      <c r="J79" s="262">
        <f>Alukset_Käynnit!J86</f>
        <v>0</v>
      </c>
      <c r="K79" s="262">
        <f>Alukset_Käynnit!K86</f>
        <v>0</v>
      </c>
      <c r="L79" s="205">
        <f>Alukset_Käynnit!L86</f>
        <v>0</v>
      </c>
      <c r="N79" s="275">
        <f t="shared" si="13"/>
        <v>0</v>
      </c>
      <c r="O79" s="276">
        <f t="shared" ref="O79:O139" si="24">N79/60</f>
        <v>0</v>
      </c>
      <c r="P79" s="202"/>
      <c r="Q79" s="204">
        <f t="shared" si="14"/>
        <v>0</v>
      </c>
      <c r="R79" s="202">
        <f>IF(Q79="Other dry cargo",L79*Alukset_fx!$B$71,IF(OR(Q79="Dry bulk",Q79="Bulk carrier"),L79*Alukset_fx!$B$69,IF(Q79="Tugboat",L79*Alukset_fx!$B$76,IF(OR(Q79="Tanker",Q79="Gas tanker",Q79="Chemical tanker",Q79="Oil tanker"),L79*Alukset_fx!$B$68,IF(OR(Q79="RoRo",Q79="Vehicle carrier"),L79*Alukset_fx!$B$72,IF(Q79="RoPax",L79*Alukset_fx!$B$73,IF(Q79="Container ship",L79*Alukset_fx!$B$70,IF(Q79="Barge",0,L79*Alukset_fx!$B$75))))))))</f>
        <v>0</v>
      </c>
      <c r="S79" s="210">
        <f>IF(L79=0,IF(Q79="Other dry cargo",Alukset_fx!$H$73*(Alukset_Käynnit_Lask!K79^Alukset_fx!$I$73),IF(OR(Q79="Dry Bulk",Q79="Bulk carrier"),Alukset_fx!$H$71*(Alukset_Käynnit_Lask!K79^Alukset_fx!$I$71),IF(Q79="Tugboat",Alukset_fx!$H$78*(Alukset_Käynnit_Lask!K79^Alukset_fx!$I$78),IF(OR(Q79="Tanker",Q79="Gas tanker",Q79="Chemical tanker",Q79="Oil tanker"),Alukset_fx!$H$70*(Alukset_Käynnit_Lask!K79^Alukset_fx!$I$70),IF(Q79="Container ship",Alukset_fx!$H$72*(Alukset_Käynnit_Lask!K79^Alukset_fx!$I$72),IF(Q79="Barge",0,IF(Q79="RoPax",Alukset_fx!$H$75*(Alukset_Käynnit_Lask!K79^Alukset_fx!$I$75),IF(OR(Q79="RoRo",Q79="Vehicle carrier"),Alukset_fx!$H$74*(Alukset_Käynnit_Lask!K79^Alukset_fx!$I$74),Alukset_fx!$H$77*(Alukset_Käynnit_Lask!K79^Alukset_fx!$I$77))))))))),"-")</f>
        <v>0</v>
      </c>
      <c r="T79" s="208">
        <f>IF(R79=0,IF(Q79="Other dry cargo",S79*Alukset_fx!$B$71,IF(OR(Q79="Dry bulk",Q79="Bulk carrier"),S79*Alukset_fx!$B$69,IF(Q79="Tugboat",S79*Alukset_fx!$B$76,IF(OR(Q79="Tanker",Q79="Gas tanker",Q79="Chemical tanker",Q79="Oil tanker"),S79*Alukset_fx!$B$68,IF(OR(Q79="RoRo",Q79="Vehicle carrier"),S79*Alukset_fx!$B$72,IF(Q79="RoPax",S79*Alukset_fx!$B$73,IF(Q79="Container ship",S79*Alukset_fx!$B$70,S79*Alukset_fx!$B$75))))))),"-")</f>
        <v>0</v>
      </c>
      <c r="U79" s="208">
        <f t="shared" si="15"/>
        <v>0</v>
      </c>
      <c r="V79" s="208">
        <f t="shared" si="16"/>
        <v>0</v>
      </c>
      <c r="W79" s="202">
        <f>Alukset_Käynnit!N86</f>
        <v>0</v>
      </c>
      <c r="X79" s="211">
        <f>IF(Q79="Other dry cargo", Alukset_fx!$C$52, IF(OR(Q79="Dry bulk",Q79="Bulk carrier"),Alukset_fx!$C$35,IF(OR(Q79="Tanker",Q79="Gas tanker",Q79="Oil tanker"),Alukset_fx!$C$57,IF(Q79="Chemical tanker",Alukset_fx!$C$56,IF(OR(Q79="Tugboat",Q79="Barge"),0,IF(Q79="Other vessel",Alukset_fx!$C$54,IF(Q79="Container ship",Alukset_fx!$C$37,IF(OR(Q79="RoPax",Q79="RoRo",Q79="Vehicle carrier"),Alukset_fx!$C$55,0))))))))</f>
        <v>0</v>
      </c>
      <c r="Y79" s="211">
        <f>IF(Q79="Other dry cargo", Alukset_fx!$Q$52, IF(OR(Q79="Dry bulk",Q79="Bulk carrier"),Alukset_fx!$Q$35,IF(OR(Q79="Tanker",Q79="Gas tanker",Q79="Oil tanker"),Alukset_fx!$Q$57,IF(Q79="Chemical tanker",Alukset_fx!$Q$56,IF(OR(Q79="Tugboat",Q79="Barge"),0,IF(Q79="Other vessel",Alukset_fx!$Q$54,IF(Q79="Container ship",Alukset_fx!$Q$37,IF(OR(Q79="RoPax",Q79="RoRo",Q79="Vehicle carrier"),Alukset_fx!$Q$55,0))))))))</f>
        <v>0</v>
      </c>
      <c r="Z79" t="str">
        <f t="shared" si="17"/>
        <v>MDO/MGO</v>
      </c>
      <c r="AA79" t="str">
        <f t="shared" si="18"/>
        <v>MSD</v>
      </c>
      <c r="AB79" t="str">
        <f t="shared" si="19"/>
        <v>MDO/MGO</v>
      </c>
      <c r="AC79" t="str">
        <f t="shared" si="20"/>
        <v>MSD</v>
      </c>
      <c r="AD79" t="str">
        <f t="shared" si="21"/>
        <v>MDO/MGO</v>
      </c>
      <c r="AE79" t="str">
        <f t="shared" si="22"/>
        <v>ST</v>
      </c>
      <c r="AG79">
        <f>Alukset_Käynnit!O86</f>
        <v>0</v>
      </c>
      <c r="AH79" s="207">
        <f>IF(AA79="SSD",((U79*Alukset_fx!$B$24)*Alukset_Käynnit_Lask!W79*(Alukset_fx!$K$49)/1000),IF(AA79="MSD",((U79*Alukset_fx!$B$24)*Alukset_Käynnit_Lask!W79*(Alukset_fx!$K$52)/1000),IF(AA79="HSD",((U79*Alukset_fx!$B$24)*Alukset_Käynnit_Lask!W79*(Alukset_fx!$K$55)/1000),0)))</f>
        <v>0</v>
      </c>
      <c r="AI79" s="207">
        <f>IF(AC79="MSD",((V79*Alukset_fx!$B$25)*Alukset_Käynnit_Lask!W79*(Alukset_fx!$L$52)/1000),IF(AC79="HSD",((V79*Alukset_fx!$B$25)*Alukset_Käynnit_Lask!W79*(Alukset_fx!$L$55)/1000),0))</f>
        <v>0</v>
      </c>
      <c r="AJ79" s="207">
        <f>X79*W79*Alukset_fx!$K$61/1000</f>
        <v>0</v>
      </c>
      <c r="AK79">
        <v>0</v>
      </c>
      <c r="AL79" s="207">
        <f>IF(AG79="Käytetty",0,IF(AC79="MSD",((V79*Alukset_fx!$O$25)*Alukset_Käynnit_Lask!O79*(Alukset_fx!$L$52)/1000),IF(AC79="HSD",((V79*Alukset_fx!$O$25)*Alukset_Käynnit_Lask!O79*(Alukset_fx!$L$55)/1000),0)))</f>
        <v>0</v>
      </c>
      <c r="AM79" s="207">
        <f>IF(AG79="Käytetty",0,Y79*O79*Alukset_fx!$K$61/1000)</f>
        <v>0</v>
      </c>
      <c r="AN79" s="213">
        <f t="shared" si="23"/>
        <v>0</v>
      </c>
    </row>
    <row r="80" spans="1:40" x14ac:dyDescent="0.25">
      <c r="A80" s="203">
        <f>Alukset_Käynnit!A87</f>
        <v>0</v>
      </c>
      <c r="B80" s="203">
        <f>Alukset_Käynnit!B87</f>
        <v>0</v>
      </c>
      <c r="C80" s="262">
        <f>Alukset_Käynnit!C87</f>
        <v>0</v>
      </c>
      <c r="D80" s="266">
        <f>Alukset_Käynnit!D87</f>
        <v>0</v>
      </c>
      <c r="E80" s="262">
        <f>Alukset_Käynnit!E87</f>
        <v>0</v>
      </c>
      <c r="F80" s="262">
        <f>Alukset_Käynnit!F87</f>
        <v>0</v>
      </c>
      <c r="G80" s="262">
        <f>Alukset_Käynnit!G87</f>
        <v>0</v>
      </c>
      <c r="H80" s="262">
        <f>Alukset_Käynnit!H87</f>
        <v>0</v>
      </c>
      <c r="I80" s="262">
        <f>Alukset_Käynnit!I87</f>
        <v>0</v>
      </c>
      <c r="J80" s="262">
        <f>Alukset_Käynnit!J87</f>
        <v>0</v>
      </c>
      <c r="K80" s="262">
        <f>Alukset_Käynnit!K87</f>
        <v>0</v>
      </c>
      <c r="L80" s="205">
        <f>Alukset_Käynnit!L87</f>
        <v>0</v>
      </c>
      <c r="N80" s="275">
        <f t="shared" si="13"/>
        <v>0</v>
      </c>
      <c r="O80" s="276">
        <f t="shared" si="24"/>
        <v>0</v>
      </c>
      <c r="P80" s="202"/>
      <c r="Q80" s="204">
        <f t="shared" si="14"/>
        <v>0</v>
      </c>
      <c r="R80" s="202">
        <f>IF(Q80="Other dry cargo",L80*Alukset_fx!$B$71,IF(OR(Q80="Dry bulk",Q80="Bulk carrier"),L80*Alukset_fx!$B$69,IF(Q80="Tugboat",L80*Alukset_fx!$B$76,IF(OR(Q80="Tanker",Q80="Gas tanker",Q80="Chemical tanker",Q80="Oil tanker"),L80*Alukset_fx!$B$68,IF(OR(Q80="RoRo",Q80="Vehicle carrier"),L80*Alukset_fx!$B$72,IF(Q80="RoPax",L80*Alukset_fx!$B$73,IF(Q80="Container ship",L80*Alukset_fx!$B$70,IF(Q80="Barge",0,L80*Alukset_fx!$B$75))))))))</f>
        <v>0</v>
      </c>
      <c r="S80" s="210">
        <f>IF(L80=0,IF(Q80="Other dry cargo",Alukset_fx!$H$73*(Alukset_Käynnit_Lask!K80^Alukset_fx!$I$73),IF(OR(Q80="Dry Bulk",Q80="Bulk carrier"),Alukset_fx!$H$71*(Alukset_Käynnit_Lask!K80^Alukset_fx!$I$71),IF(Q80="Tugboat",Alukset_fx!$H$78*(Alukset_Käynnit_Lask!K80^Alukset_fx!$I$78),IF(OR(Q80="Tanker",Q80="Gas tanker",Q80="Chemical tanker",Q80="Oil tanker"),Alukset_fx!$H$70*(Alukset_Käynnit_Lask!K80^Alukset_fx!$I$70),IF(Q80="Container ship",Alukset_fx!$H$72*(Alukset_Käynnit_Lask!K80^Alukset_fx!$I$72),IF(Q80="Barge",0,IF(Q80="RoPax",Alukset_fx!$H$75*(Alukset_Käynnit_Lask!K80^Alukset_fx!$I$75),IF(OR(Q80="RoRo",Q80="Vehicle carrier"),Alukset_fx!$H$74*(Alukset_Käynnit_Lask!K80^Alukset_fx!$I$74),Alukset_fx!$H$77*(Alukset_Käynnit_Lask!K80^Alukset_fx!$I$77))))))))),"-")</f>
        <v>0</v>
      </c>
      <c r="T80" s="208">
        <f>IF(R80=0,IF(Q80="Other dry cargo",S80*Alukset_fx!$B$71,IF(OR(Q80="Dry bulk",Q80="Bulk carrier"),S80*Alukset_fx!$B$69,IF(Q80="Tugboat",S80*Alukset_fx!$B$76,IF(OR(Q80="Tanker",Q80="Gas tanker",Q80="Chemical tanker",Q80="Oil tanker"),S80*Alukset_fx!$B$68,IF(OR(Q80="RoRo",Q80="Vehicle carrier"),S80*Alukset_fx!$B$72,IF(Q80="RoPax",S80*Alukset_fx!$B$73,IF(Q80="Container ship",S80*Alukset_fx!$B$70,S80*Alukset_fx!$B$75))))))),"-")</f>
        <v>0</v>
      </c>
      <c r="U80" s="208">
        <f t="shared" si="15"/>
        <v>0</v>
      </c>
      <c r="V80" s="208">
        <f t="shared" si="16"/>
        <v>0</v>
      </c>
      <c r="W80" s="202">
        <f>Alukset_Käynnit!N87</f>
        <v>0</v>
      </c>
      <c r="X80" s="211">
        <f>IF(Q80="Other dry cargo", Alukset_fx!$C$52, IF(OR(Q80="Dry bulk",Q80="Bulk carrier"),Alukset_fx!$C$35,IF(OR(Q80="Tanker",Q80="Gas tanker",Q80="Oil tanker"),Alukset_fx!$C$57,IF(Q80="Chemical tanker",Alukset_fx!$C$56,IF(OR(Q80="Tugboat",Q80="Barge"),0,IF(Q80="Other vessel",Alukset_fx!$C$54,IF(Q80="Container ship",Alukset_fx!$C$37,IF(OR(Q80="RoPax",Q80="RoRo",Q80="Vehicle carrier"),Alukset_fx!$C$55,0))))))))</f>
        <v>0</v>
      </c>
      <c r="Y80" s="211">
        <f>IF(Q80="Other dry cargo", Alukset_fx!$Q$52, IF(OR(Q80="Dry bulk",Q80="Bulk carrier"),Alukset_fx!$Q$35,IF(OR(Q80="Tanker",Q80="Gas tanker",Q80="Oil tanker"),Alukset_fx!$Q$57,IF(Q80="Chemical tanker",Alukset_fx!$Q$56,IF(OR(Q80="Tugboat",Q80="Barge"),0,IF(Q80="Other vessel",Alukset_fx!$Q$54,IF(Q80="Container ship",Alukset_fx!$Q$37,IF(OR(Q80="RoPax",Q80="RoRo",Q80="Vehicle carrier"),Alukset_fx!$Q$55,0))))))))</f>
        <v>0</v>
      </c>
      <c r="Z80" t="str">
        <f t="shared" si="17"/>
        <v>MDO/MGO</v>
      </c>
      <c r="AA80" t="str">
        <f t="shared" si="18"/>
        <v>MSD</v>
      </c>
      <c r="AB80" t="str">
        <f t="shared" si="19"/>
        <v>MDO/MGO</v>
      </c>
      <c r="AC80" t="str">
        <f t="shared" si="20"/>
        <v>MSD</v>
      </c>
      <c r="AD80" t="str">
        <f t="shared" si="21"/>
        <v>MDO/MGO</v>
      </c>
      <c r="AE80" t="str">
        <f t="shared" si="22"/>
        <v>ST</v>
      </c>
      <c r="AG80">
        <f>Alukset_Käynnit!O87</f>
        <v>0</v>
      </c>
      <c r="AH80" s="207">
        <f>IF(AA80="SSD",((U80*Alukset_fx!$B$24)*Alukset_Käynnit_Lask!W80*(Alukset_fx!$K$49)/1000),IF(AA80="MSD",((U80*Alukset_fx!$B$24)*Alukset_Käynnit_Lask!W80*(Alukset_fx!$K$52)/1000),IF(AA80="HSD",((U80*Alukset_fx!$B$24)*Alukset_Käynnit_Lask!W80*(Alukset_fx!$K$55)/1000),0)))</f>
        <v>0</v>
      </c>
      <c r="AI80" s="207">
        <f>IF(AC80="MSD",((V80*Alukset_fx!$B$25)*Alukset_Käynnit_Lask!W80*(Alukset_fx!$L$52)/1000),IF(AC80="HSD",((V80*Alukset_fx!$B$25)*Alukset_Käynnit_Lask!W80*(Alukset_fx!$L$55)/1000),0))</f>
        <v>0</v>
      </c>
      <c r="AJ80" s="207">
        <f>X80*W80*Alukset_fx!$K$61/1000</f>
        <v>0</v>
      </c>
      <c r="AK80">
        <v>0</v>
      </c>
      <c r="AL80" s="207">
        <f>IF(AG80="Käytetty",0,IF(AC80="MSD",((V80*Alukset_fx!$O$25)*Alukset_Käynnit_Lask!O80*(Alukset_fx!$L$52)/1000),IF(AC80="HSD",((V80*Alukset_fx!$O$25)*Alukset_Käynnit_Lask!O80*(Alukset_fx!$L$55)/1000),0)))</f>
        <v>0</v>
      </c>
      <c r="AM80" s="207">
        <f>IF(AG80="Käytetty",0,Y80*O80*Alukset_fx!$K$61/1000)</f>
        <v>0</v>
      </c>
      <c r="AN80" s="213">
        <f t="shared" si="23"/>
        <v>0</v>
      </c>
    </row>
    <row r="81" spans="1:40" x14ac:dyDescent="0.25">
      <c r="A81" s="203">
        <f>Alukset_Käynnit!A88</f>
        <v>0</v>
      </c>
      <c r="B81" s="203">
        <f>Alukset_Käynnit!B88</f>
        <v>0</v>
      </c>
      <c r="C81" s="262">
        <f>Alukset_Käynnit!C88</f>
        <v>0</v>
      </c>
      <c r="D81" s="266">
        <f>Alukset_Käynnit!D88</f>
        <v>0</v>
      </c>
      <c r="E81" s="262">
        <f>Alukset_Käynnit!E88</f>
        <v>0</v>
      </c>
      <c r="F81" s="262">
        <f>Alukset_Käynnit!F88</f>
        <v>0</v>
      </c>
      <c r="G81" s="262">
        <f>Alukset_Käynnit!G88</f>
        <v>0</v>
      </c>
      <c r="H81" s="262">
        <f>Alukset_Käynnit!H88</f>
        <v>0</v>
      </c>
      <c r="I81" s="262">
        <f>Alukset_Käynnit!I88</f>
        <v>0</v>
      </c>
      <c r="J81" s="262">
        <f>Alukset_Käynnit!J88</f>
        <v>0</v>
      </c>
      <c r="K81" s="262">
        <f>Alukset_Käynnit!K88</f>
        <v>0</v>
      </c>
      <c r="L81" s="205">
        <f>Alukset_Käynnit!L88</f>
        <v>0</v>
      </c>
      <c r="N81" s="275">
        <f t="shared" si="13"/>
        <v>0</v>
      </c>
      <c r="O81" s="276">
        <f t="shared" si="24"/>
        <v>0</v>
      </c>
      <c r="P81" s="202"/>
      <c r="Q81" s="204">
        <f t="shared" si="14"/>
        <v>0</v>
      </c>
      <c r="R81" s="202">
        <f>IF(Q81="Other dry cargo",L81*Alukset_fx!$B$71,IF(OR(Q81="Dry bulk",Q81="Bulk carrier"),L81*Alukset_fx!$B$69,IF(Q81="Tugboat",L81*Alukset_fx!$B$76,IF(OR(Q81="Tanker",Q81="Gas tanker",Q81="Chemical tanker",Q81="Oil tanker"),L81*Alukset_fx!$B$68,IF(OR(Q81="RoRo",Q81="Vehicle carrier"),L81*Alukset_fx!$B$72,IF(Q81="RoPax",L81*Alukset_fx!$B$73,IF(Q81="Container ship",L81*Alukset_fx!$B$70,IF(Q81="Barge",0,L81*Alukset_fx!$B$75))))))))</f>
        <v>0</v>
      </c>
      <c r="S81" s="210">
        <f>IF(L81=0,IF(Q81="Other dry cargo",Alukset_fx!$H$73*(Alukset_Käynnit_Lask!K81^Alukset_fx!$I$73),IF(OR(Q81="Dry Bulk",Q81="Bulk carrier"),Alukset_fx!$H$71*(Alukset_Käynnit_Lask!K81^Alukset_fx!$I$71),IF(Q81="Tugboat",Alukset_fx!$H$78*(Alukset_Käynnit_Lask!K81^Alukset_fx!$I$78),IF(OR(Q81="Tanker",Q81="Gas tanker",Q81="Chemical tanker",Q81="Oil tanker"),Alukset_fx!$H$70*(Alukset_Käynnit_Lask!K81^Alukset_fx!$I$70),IF(Q81="Container ship",Alukset_fx!$H$72*(Alukset_Käynnit_Lask!K81^Alukset_fx!$I$72),IF(Q81="Barge",0,IF(Q81="RoPax",Alukset_fx!$H$75*(Alukset_Käynnit_Lask!K81^Alukset_fx!$I$75),IF(OR(Q81="RoRo",Q81="Vehicle carrier"),Alukset_fx!$H$74*(Alukset_Käynnit_Lask!K81^Alukset_fx!$I$74),Alukset_fx!$H$77*(Alukset_Käynnit_Lask!K81^Alukset_fx!$I$77))))))))),"-")</f>
        <v>0</v>
      </c>
      <c r="T81" s="208">
        <f>IF(R81=0,IF(Q81="Other dry cargo",S81*Alukset_fx!$B$71,IF(OR(Q81="Dry bulk",Q81="Bulk carrier"),S81*Alukset_fx!$B$69,IF(Q81="Tugboat",S81*Alukset_fx!$B$76,IF(OR(Q81="Tanker",Q81="Gas tanker",Q81="Chemical tanker",Q81="Oil tanker"),S81*Alukset_fx!$B$68,IF(OR(Q81="RoRo",Q81="Vehicle carrier"),S81*Alukset_fx!$B$72,IF(Q81="RoPax",S81*Alukset_fx!$B$73,IF(Q81="Container ship",S81*Alukset_fx!$B$70,S81*Alukset_fx!$B$75))))))),"-")</f>
        <v>0</v>
      </c>
      <c r="U81" s="208">
        <f t="shared" si="15"/>
        <v>0</v>
      </c>
      <c r="V81" s="208">
        <f t="shared" si="16"/>
        <v>0</v>
      </c>
      <c r="W81" s="202">
        <f>Alukset_Käynnit!N88</f>
        <v>0</v>
      </c>
      <c r="X81" s="211">
        <f>IF(Q81="Other dry cargo", Alukset_fx!$C$52, IF(OR(Q81="Dry bulk",Q81="Bulk carrier"),Alukset_fx!$C$35,IF(OR(Q81="Tanker",Q81="Gas tanker",Q81="Oil tanker"),Alukset_fx!$C$57,IF(Q81="Chemical tanker",Alukset_fx!$C$56,IF(OR(Q81="Tugboat",Q81="Barge"),0,IF(Q81="Other vessel",Alukset_fx!$C$54,IF(Q81="Container ship",Alukset_fx!$C$37,IF(OR(Q81="RoPax",Q81="RoRo",Q81="Vehicle carrier"),Alukset_fx!$C$55,0))))))))</f>
        <v>0</v>
      </c>
      <c r="Y81" s="211">
        <f>IF(Q81="Other dry cargo", Alukset_fx!$Q$52, IF(OR(Q81="Dry bulk",Q81="Bulk carrier"),Alukset_fx!$Q$35,IF(OR(Q81="Tanker",Q81="Gas tanker",Q81="Oil tanker"),Alukset_fx!$Q$57,IF(Q81="Chemical tanker",Alukset_fx!$Q$56,IF(OR(Q81="Tugboat",Q81="Barge"),0,IF(Q81="Other vessel",Alukset_fx!$Q$54,IF(Q81="Container ship",Alukset_fx!$Q$37,IF(OR(Q81="RoPax",Q81="RoRo",Q81="Vehicle carrier"),Alukset_fx!$Q$55,0))))))))</f>
        <v>0</v>
      </c>
      <c r="Z81" t="str">
        <f t="shared" si="17"/>
        <v>MDO/MGO</v>
      </c>
      <c r="AA81" t="str">
        <f t="shared" si="18"/>
        <v>MSD</v>
      </c>
      <c r="AB81" t="str">
        <f t="shared" si="19"/>
        <v>MDO/MGO</v>
      </c>
      <c r="AC81" t="str">
        <f t="shared" si="20"/>
        <v>MSD</v>
      </c>
      <c r="AD81" t="str">
        <f t="shared" si="21"/>
        <v>MDO/MGO</v>
      </c>
      <c r="AE81" t="str">
        <f t="shared" si="22"/>
        <v>ST</v>
      </c>
      <c r="AG81">
        <f>Alukset_Käynnit!O88</f>
        <v>0</v>
      </c>
      <c r="AH81" s="207">
        <f>IF(AA81="SSD",((U81*Alukset_fx!$B$24)*Alukset_Käynnit_Lask!W81*(Alukset_fx!$K$49)/1000),IF(AA81="MSD",((U81*Alukset_fx!$B$24)*Alukset_Käynnit_Lask!W81*(Alukset_fx!$K$52)/1000),IF(AA81="HSD",((U81*Alukset_fx!$B$24)*Alukset_Käynnit_Lask!W81*(Alukset_fx!$K$55)/1000),0)))</f>
        <v>0</v>
      </c>
      <c r="AI81" s="207">
        <f>IF(AC81="MSD",((V81*Alukset_fx!$B$25)*Alukset_Käynnit_Lask!W81*(Alukset_fx!$L$52)/1000),IF(AC81="HSD",((V81*Alukset_fx!$B$25)*Alukset_Käynnit_Lask!W81*(Alukset_fx!$L$55)/1000),0))</f>
        <v>0</v>
      </c>
      <c r="AJ81" s="207">
        <f>X81*W81*Alukset_fx!$K$61/1000</f>
        <v>0</v>
      </c>
      <c r="AK81">
        <v>0</v>
      </c>
      <c r="AL81" s="207">
        <f>IF(AG81="Käytetty",0,IF(AC81="MSD",((V81*Alukset_fx!$O$25)*Alukset_Käynnit_Lask!O81*(Alukset_fx!$L$52)/1000),IF(AC81="HSD",((V81*Alukset_fx!$O$25)*Alukset_Käynnit_Lask!O81*(Alukset_fx!$L$55)/1000),0)))</f>
        <v>0</v>
      </c>
      <c r="AM81" s="207">
        <f>IF(AG81="Käytetty",0,Y81*O81*Alukset_fx!$K$61/1000)</f>
        <v>0</v>
      </c>
      <c r="AN81" s="213">
        <f t="shared" si="23"/>
        <v>0</v>
      </c>
    </row>
    <row r="82" spans="1:40" x14ac:dyDescent="0.25">
      <c r="A82" s="203">
        <f>Alukset_Käynnit!A89</f>
        <v>0</v>
      </c>
      <c r="B82" s="203">
        <f>Alukset_Käynnit!B89</f>
        <v>0</v>
      </c>
      <c r="C82" s="262">
        <f>Alukset_Käynnit!C89</f>
        <v>0</v>
      </c>
      <c r="D82" s="266">
        <f>Alukset_Käynnit!D89</f>
        <v>0</v>
      </c>
      <c r="E82" s="262">
        <f>Alukset_Käynnit!E89</f>
        <v>0</v>
      </c>
      <c r="F82" s="262">
        <f>Alukset_Käynnit!F89</f>
        <v>0</v>
      </c>
      <c r="G82" s="262">
        <f>Alukset_Käynnit!G89</f>
        <v>0</v>
      </c>
      <c r="H82" s="262">
        <f>Alukset_Käynnit!H89</f>
        <v>0</v>
      </c>
      <c r="I82" s="262">
        <f>Alukset_Käynnit!I89</f>
        <v>0</v>
      </c>
      <c r="J82" s="262">
        <f>Alukset_Käynnit!J89</f>
        <v>0</v>
      </c>
      <c r="K82" s="262">
        <f>Alukset_Käynnit!K89</f>
        <v>0</v>
      </c>
      <c r="L82" s="205">
        <f>Alukset_Käynnit!L89</f>
        <v>0</v>
      </c>
      <c r="N82" s="275">
        <f t="shared" si="13"/>
        <v>0</v>
      </c>
      <c r="O82" s="276">
        <f t="shared" si="24"/>
        <v>0</v>
      </c>
      <c r="P82" s="202"/>
      <c r="Q82" s="204">
        <f t="shared" si="14"/>
        <v>0</v>
      </c>
      <c r="R82" s="202">
        <f>IF(Q82="Other dry cargo",L82*Alukset_fx!$B$71,IF(OR(Q82="Dry bulk",Q82="Bulk carrier"),L82*Alukset_fx!$B$69,IF(Q82="Tugboat",L82*Alukset_fx!$B$76,IF(OR(Q82="Tanker",Q82="Gas tanker",Q82="Chemical tanker",Q82="Oil tanker"),L82*Alukset_fx!$B$68,IF(OR(Q82="RoRo",Q82="Vehicle carrier"),L82*Alukset_fx!$B$72,IF(Q82="RoPax",L82*Alukset_fx!$B$73,IF(Q82="Container ship",L82*Alukset_fx!$B$70,IF(Q82="Barge",0,L82*Alukset_fx!$B$75))))))))</f>
        <v>0</v>
      </c>
      <c r="S82" s="210">
        <f>IF(L82=0,IF(Q82="Other dry cargo",Alukset_fx!$H$73*(Alukset_Käynnit_Lask!K82^Alukset_fx!$I$73),IF(OR(Q82="Dry Bulk",Q82="Bulk carrier"),Alukset_fx!$H$71*(Alukset_Käynnit_Lask!K82^Alukset_fx!$I$71),IF(Q82="Tugboat",Alukset_fx!$H$78*(Alukset_Käynnit_Lask!K82^Alukset_fx!$I$78),IF(OR(Q82="Tanker",Q82="Gas tanker",Q82="Chemical tanker",Q82="Oil tanker"),Alukset_fx!$H$70*(Alukset_Käynnit_Lask!K82^Alukset_fx!$I$70),IF(Q82="Container ship",Alukset_fx!$H$72*(Alukset_Käynnit_Lask!K82^Alukset_fx!$I$72),IF(Q82="Barge",0,IF(Q82="RoPax",Alukset_fx!$H$75*(Alukset_Käynnit_Lask!K82^Alukset_fx!$I$75),IF(OR(Q82="RoRo",Q82="Vehicle carrier"),Alukset_fx!$H$74*(Alukset_Käynnit_Lask!K82^Alukset_fx!$I$74),Alukset_fx!$H$77*(Alukset_Käynnit_Lask!K82^Alukset_fx!$I$77))))))))),"-")</f>
        <v>0</v>
      </c>
      <c r="T82" s="208">
        <f>IF(R82=0,IF(Q82="Other dry cargo",S82*Alukset_fx!$B$71,IF(OR(Q82="Dry bulk",Q82="Bulk carrier"),S82*Alukset_fx!$B$69,IF(Q82="Tugboat",S82*Alukset_fx!$B$76,IF(OR(Q82="Tanker",Q82="Gas tanker",Q82="Chemical tanker",Q82="Oil tanker"),S82*Alukset_fx!$B$68,IF(OR(Q82="RoRo",Q82="Vehicle carrier"),S82*Alukset_fx!$B$72,IF(Q82="RoPax",S82*Alukset_fx!$B$73,IF(Q82="Container ship",S82*Alukset_fx!$B$70,S82*Alukset_fx!$B$75))))))),"-")</f>
        <v>0</v>
      </c>
      <c r="U82" s="208">
        <f t="shared" si="15"/>
        <v>0</v>
      </c>
      <c r="V82" s="208">
        <f t="shared" si="16"/>
        <v>0</v>
      </c>
      <c r="W82" s="202">
        <f>Alukset_Käynnit!N89</f>
        <v>0</v>
      </c>
      <c r="X82" s="211">
        <f>IF(Q82="Other dry cargo", Alukset_fx!$C$52, IF(OR(Q82="Dry bulk",Q82="Bulk carrier"),Alukset_fx!$C$35,IF(OR(Q82="Tanker",Q82="Gas tanker",Q82="Oil tanker"),Alukset_fx!$C$57,IF(Q82="Chemical tanker",Alukset_fx!$C$56,IF(OR(Q82="Tugboat",Q82="Barge"),0,IF(Q82="Other vessel",Alukset_fx!$C$54,IF(Q82="Container ship",Alukset_fx!$C$37,IF(OR(Q82="RoPax",Q82="RoRo",Q82="Vehicle carrier"),Alukset_fx!$C$55,0))))))))</f>
        <v>0</v>
      </c>
      <c r="Y82" s="211">
        <f>IF(Q82="Other dry cargo", Alukset_fx!$Q$52, IF(OR(Q82="Dry bulk",Q82="Bulk carrier"),Alukset_fx!$Q$35,IF(OR(Q82="Tanker",Q82="Gas tanker",Q82="Oil tanker"),Alukset_fx!$Q$57,IF(Q82="Chemical tanker",Alukset_fx!$Q$56,IF(OR(Q82="Tugboat",Q82="Barge"),0,IF(Q82="Other vessel",Alukset_fx!$Q$54,IF(Q82="Container ship",Alukset_fx!$Q$37,IF(OR(Q82="RoPax",Q82="RoRo",Q82="Vehicle carrier"),Alukset_fx!$Q$55,0))))))))</f>
        <v>0</v>
      </c>
      <c r="Z82" t="str">
        <f t="shared" si="17"/>
        <v>MDO/MGO</v>
      </c>
      <c r="AA82" t="str">
        <f t="shared" si="18"/>
        <v>MSD</v>
      </c>
      <c r="AB82" t="str">
        <f t="shared" si="19"/>
        <v>MDO/MGO</v>
      </c>
      <c r="AC82" t="str">
        <f t="shared" si="20"/>
        <v>MSD</v>
      </c>
      <c r="AD82" t="str">
        <f t="shared" si="21"/>
        <v>MDO/MGO</v>
      </c>
      <c r="AE82" t="str">
        <f t="shared" si="22"/>
        <v>ST</v>
      </c>
      <c r="AG82">
        <f>Alukset_Käynnit!O89</f>
        <v>0</v>
      </c>
      <c r="AH82" s="207">
        <f>IF(AA82="SSD",((U82*Alukset_fx!$B$24)*Alukset_Käynnit_Lask!W82*(Alukset_fx!$K$49)/1000),IF(AA82="MSD",((U82*Alukset_fx!$B$24)*Alukset_Käynnit_Lask!W82*(Alukset_fx!$K$52)/1000),IF(AA82="HSD",((U82*Alukset_fx!$B$24)*Alukset_Käynnit_Lask!W82*(Alukset_fx!$K$55)/1000),0)))</f>
        <v>0</v>
      </c>
      <c r="AI82" s="207">
        <f>IF(AC82="MSD",((V82*Alukset_fx!$B$25)*Alukset_Käynnit_Lask!W82*(Alukset_fx!$L$52)/1000),IF(AC82="HSD",((V82*Alukset_fx!$B$25)*Alukset_Käynnit_Lask!W82*(Alukset_fx!$L$55)/1000),0))</f>
        <v>0</v>
      </c>
      <c r="AJ82" s="207">
        <f>X82*W82*Alukset_fx!$K$61/1000</f>
        <v>0</v>
      </c>
      <c r="AK82">
        <v>0</v>
      </c>
      <c r="AL82" s="207">
        <f>IF(AG82="Käytetty",0,IF(AC82="MSD",((V82*Alukset_fx!$O$25)*Alukset_Käynnit_Lask!O82*(Alukset_fx!$L$52)/1000),IF(AC82="HSD",((V82*Alukset_fx!$O$25)*Alukset_Käynnit_Lask!O82*(Alukset_fx!$L$55)/1000),0)))</f>
        <v>0</v>
      </c>
      <c r="AM82" s="207">
        <f>IF(AG82="Käytetty",0,Y82*O82*Alukset_fx!$K$61/1000)</f>
        <v>0</v>
      </c>
      <c r="AN82" s="213">
        <f t="shared" si="23"/>
        <v>0</v>
      </c>
    </row>
    <row r="83" spans="1:40" x14ac:dyDescent="0.25">
      <c r="A83" s="203">
        <f>Alukset_Käynnit!A90</f>
        <v>0</v>
      </c>
      <c r="B83" s="203">
        <f>Alukset_Käynnit!B90</f>
        <v>0</v>
      </c>
      <c r="C83" s="262">
        <f>Alukset_Käynnit!C90</f>
        <v>0</v>
      </c>
      <c r="D83" s="266">
        <f>Alukset_Käynnit!D90</f>
        <v>0</v>
      </c>
      <c r="E83" s="262">
        <f>Alukset_Käynnit!E90</f>
        <v>0</v>
      </c>
      <c r="F83" s="262">
        <f>Alukset_Käynnit!F90</f>
        <v>0</v>
      </c>
      <c r="G83" s="262">
        <f>Alukset_Käynnit!G90</f>
        <v>0</v>
      </c>
      <c r="H83" s="262">
        <f>Alukset_Käynnit!H90</f>
        <v>0</v>
      </c>
      <c r="I83" s="262">
        <f>Alukset_Käynnit!I90</f>
        <v>0</v>
      </c>
      <c r="J83" s="262">
        <f>Alukset_Käynnit!J90</f>
        <v>0</v>
      </c>
      <c r="K83" s="262">
        <f>Alukset_Käynnit!K90</f>
        <v>0</v>
      </c>
      <c r="L83" s="205">
        <f>Alukset_Käynnit!L90</f>
        <v>0</v>
      </c>
      <c r="N83" s="275">
        <f t="shared" si="13"/>
        <v>0</v>
      </c>
      <c r="O83" s="276">
        <f t="shared" si="24"/>
        <v>0</v>
      </c>
      <c r="P83" s="202"/>
      <c r="Q83" s="204">
        <f t="shared" si="14"/>
        <v>0</v>
      </c>
      <c r="R83" s="202">
        <f>IF(Q83="Other dry cargo",L83*Alukset_fx!$B$71,IF(OR(Q83="Dry bulk",Q83="Bulk carrier"),L83*Alukset_fx!$B$69,IF(Q83="Tugboat",L83*Alukset_fx!$B$76,IF(OR(Q83="Tanker",Q83="Gas tanker",Q83="Chemical tanker",Q83="Oil tanker"),L83*Alukset_fx!$B$68,IF(OR(Q83="RoRo",Q83="Vehicle carrier"),L83*Alukset_fx!$B$72,IF(Q83="RoPax",L83*Alukset_fx!$B$73,IF(Q83="Container ship",L83*Alukset_fx!$B$70,IF(Q83="Barge",0,L83*Alukset_fx!$B$75))))))))</f>
        <v>0</v>
      </c>
      <c r="S83" s="210">
        <f>IF(L83=0,IF(Q83="Other dry cargo",Alukset_fx!$H$73*(Alukset_Käynnit_Lask!K83^Alukset_fx!$I$73),IF(OR(Q83="Dry Bulk",Q83="Bulk carrier"),Alukset_fx!$H$71*(Alukset_Käynnit_Lask!K83^Alukset_fx!$I$71),IF(Q83="Tugboat",Alukset_fx!$H$78*(Alukset_Käynnit_Lask!K83^Alukset_fx!$I$78),IF(OR(Q83="Tanker",Q83="Gas tanker",Q83="Chemical tanker",Q83="Oil tanker"),Alukset_fx!$H$70*(Alukset_Käynnit_Lask!K83^Alukset_fx!$I$70),IF(Q83="Container ship",Alukset_fx!$H$72*(Alukset_Käynnit_Lask!K83^Alukset_fx!$I$72),IF(Q83="Barge",0,IF(Q83="RoPax",Alukset_fx!$H$75*(Alukset_Käynnit_Lask!K83^Alukset_fx!$I$75),IF(OR(Q83="RoRo",Q83="Vehicle carrier"),Alukset_fx!$H$74*(Alukset_Käynnit_Lask!K83^Alukset_fx!$I$74),Alukset_fx!$H$77*(Alukset_Käynnit_Lask!K83^Alukset_fx!$I$77))))))))),"-")</f>
        <v>0</v>
      </c>
      <c r="T83" s="208">
        <f>IF(R83=0,IF(Q83="Other dry cargo",S83*Alukset_fx!$B$71,IF(OR(Q83="Dry bulk",Q83="Bulk carrier"),S83*Alukset_fx!$B$69,IF(Q83="Tugboat",S83*Alukset_fx!$B$76,IF(OR(Q83="Tanker",Q83="Gas tanker",Q83="Chemical tanker",Q83="Oil tanker"),S83*Alukset_fx!$B$68,IF(OR(Q83="RoRo",Q83="Vehicle carrier"),S83*Alukset_fx!$B$72,IF(Q83="RoPax",S83*Alukset_fx!$B$73,IF(Q83="Container ship",S83*Alukset_fx!$B$70,S83*Alukset_fx!$B$75))))))),"-")</f>
        <v>0</v>
      </c>
      <c r="U83" s="208">
        <f t="shared" si="15"/>
        <v>0</v>
      </c>
      <c r="V83" s="208">
        <f t="shared" si="16"/>
        <v>0</v>
      </c>
      <c r="W83" s="202">
        <f>Alukset_Käynnit!N90</f>
        <v>0</v>
      </c>
      <c r="X83" s="211">
        <f>IF(Q83="Other dry cargo", Alukset_fx!$C$52, IF(OR(Q83="Dry bulk",Q83="Bulk carrier"),Alukset_fx!$C$35,IF(OR(Q83="Tanker",Q83="Gas tanker",Q83="Oil tanker"),Alukset_fx!$C$57,IF(Q83="Chemical tanker",Alukset_fx!$C$56,IF(OR(Q83="Tugboat",Q83="Barge"),0,IF(Q83="Other vessel",Alukset_fx!$C$54,IF(Q83="Container ship",Alukset_fx!$C$37,IF(OR(Q83="RoPax",Q83="RoRo",Q83="Vehicle carrier"),Alukset_fx!$C$55,0))))))))</f>
        <v>0</v>
      </c>
      <c r="Y83" s="211">
        <f>IF(Q83="Other dry cargo", Alukset_fx!$Q$52, IF(OR(Q83="Dry bulk",Q83="Bulk carrier"),Alukset_fx!$Q$35,IF(OR(Q83="Tanker",Q83="Gas tanker",Q83="Oil tanker"),Alukset_fx!$Q$57,IF(Q83="Chemical tanker",Alukset_fx!$Q$56,IF(OR(Q83="Tugboat",Q83="Barge"),0,IF(Q83="Other vessel",Alukset_fx!$Q$54,IF(Q83="Container ship",Alukset_fx!$Q$37,IF(OR(Q83="RoPax",Q83="RoRo",Q83="Vehicle carrier"),Alukset_fx!$Q$55,0))))))))</f>
        <v>0</v>
      </c>
      <c r="Z83" t="str">
        <f t="shared" si="17"/>
        <v>MDO/MGO</v>
      </c>
      <c r="AA83" t="str">
        <f t="shared" si="18"/>
        <v>MSD</v>
      </c>
      <c r="AB83" t="str">
        <f t="shared" si="19"/>
        <v>MDO/MGO</v>
      </c>
      <c r="AC83" t="str">
        <f t="shared" si="20"/>
        <v>MSD</v>
      </c>
      <c r="AD83" t="str">
        <f t="shared" si="21"/>
        <v>MDO/MGO</v>
      </c>
      <c r="AE83" t="str">
        <f t="shared" si="22"/>
        <v>ST</v>
      </c>
      <c r="AG83">
        <f>Alukset_Käynnit!O90</f>
        <v>0</v>
      </c>
      <c r="AH83" s="207">
        <f>IF(AA83="SSD",((U83*Alukset_fx!$B$24)*Alukset_Käynnit_Lask!W83*(Alukset_fx!$K$49)/1000),IF(AA83="MSD",((U83*Alukset_fx!$B$24)*Alukset_Käynnit_Lask!W83*(Alukset_fx!$K$52)/1000),IF(AA83="HSD",((U83*Alukset_fx!$B$24)*Alukset_Käynnit_Lask!W83*(Alukset_fx!$K$55)/1000),0)))</f>
        <v>0</v>
      </c>
      <c r="AI83" s="207">
        <f>IF(AC83="MSD",((V83*Alukset_fx!$B$25)*Alukset_Käynnit_Lask!W83*(Alukset_fx!$L$52)/1000),IF(AC83="HSD",((V83*Alukset_fx!$B$25)*Alukset_Käynnit_Lask!W83*(Alukset_fx!$L$55)/1000),0))</f>
        <v>0</v>
      </c>
      <c r="AJ83" s="207">
        <f>X83*W83*Alukset_fx!$K$61/1000</f>
        <v>0</v>
      </c>
      <c r="AK83">
        <v>0</v>
      </c>
      <c r="AL83" s="207">
        <f>IF(AG83="Käytetty",0,IF(AC83="MSD",((V83*Alukset_fx!$O$25)*Alukset_Käynnit_Lask!O83*(Alukset_fx!$L$52)/1000),IF(AC83="HSD",((V83*Alukset_fx!$O$25)*Alukset_Käynnit_Lask!O83*(Alukset_fx!$L$55)/1000),0)))</f>
        <v>0</v>
      </c>
      <c r="AM83" s="207">
        <f>IF(AG83="Käytetty",0,Y83*O83*Alukset_fx!$K$61/1000)</f>
        <v>0</v>
      </c>
      <c r="AN83" s="213">
        <f t="shared" si="23"/>
        <v>0</v>
      </c>
    </row>
    <row r="84" spans="1:40" x14ac:dyDescent="0.25">
      <c r="A84" s="203">
        <f>Alukset_Käynnit!A91</f>
        <v>0</v>
      </c>
      <c r="B84" s="203">
        <f>Alukset_Käynnit!B91</f>
        <v>0</v>
      </c>
      <c r="C84" s="262">
        <f>Alukset_Käynnit!C91</f>
        <v>0</v>
      </c>
      <c r="D84" s="266">
        <f>Alukset_Käynnit!D91</f>
        <v>0</v>
      </c>
      <c r="E84" s="262">
        <f>Alukset_Käynnit!E91</f>
        <v>0</v>
      </c>
      <c r="F84" s="262">
        <f>Alukset_Käynnit!F91</f>
        <v>0</v>
      </c>
      <c r="G84" s="262">
        <f>Alukset_Käynnit!G91</f>
        <v>0</v>
      </c>
      <c r="H84" s="262">
        <f>Alukset_Käynnit!H91</f>
        <v>0</v>
      </c>
      <c r="I84" s="262">
        <f>Alukset_Käynnit!I91</f>
        <v>0</v>
      </c>
      <c r="J84" s="262">
        <f>Alukset_Käynnit!J91</f>
        <v>0</v>
      </c>
      <c r="K84" s="262">
        <f>Alukset_Käynnit!K91</f>
        <v>0</v>
      </c>
      <c r="L84" s="205">
        <f>Alukset_Käynnit!L91</f>
        <v>0</v>
      </c>
      <c r="N84" s="273">
        <f t="shared" si="13"/>
        <v>0</v>
      </c>
      <c r="O84" s="274">
        <f t="shared" si="24"/>
        <v>0</v>
      </c>
      <c r="P84" s="202"/>
      <c r="Q84" s="204">
        <f t="shared" si="14"/>
        <v>0</v>
      </c>
      <c r="R84" s="202">
        <f>IF(Q84="Other dry cargo",L84*Alukset_fx!$B$71,IF(OR(Q84="Dry bulk",Q84="Bulk carrier"),L84*Alukset_fx!$B$69,IF(Q84="Tugboat",L84*Alukset_fx!$B$76,IF(OR(Q84="Tanker",Q84="Gas tanker",Q84="Chemical tanker",Q84="Oil tanker"),L84*Alukset_fx!$B$68,IF(OR(Q84="RoRo",Q84="Vehicle carrier"),L84*Alukset_fx!$B$72,IF(Q84="RoPax",L84*Alukset_fx!$B$73,IF(Q84="Container ship",L84*Alukset_fx!$B$70,IF(Q84="Barge",0,L84*Alukset_fx!$B$75))))))))</f>
        <v>0</v>
      </c>
      <c r="S84" s="210">
        <f>IF(L84=0,IF(Q84="Other dry cargo",Alukset_fx!$H$73*(Alukset_Käynnit_Lask!K84^Alukset_fx!$I$73),IF(OR(Q84="Dry Bulk",Q84="Bulk carrier"),Alukset_fx!$H$71*(Alukset_Käynnit_Lask!K84^Alukset_fx!$I$71),IF(Q84="Tugboat",Alukset_fx!$H$78*(Alukset_Käynnit_Lask!K84^Alukset_fx!$I$78),IF(OR(Q84="Tanker",Q84="Gas tanker",Q84="Chemical tanker",Q84="Oil tanker"),Alukset_fx!$H$70*(Alukset_Käynnit_Lask!K84^Alukset_fx!$I$70),IF(Q84="Container ship",Alukset_fx!$H$72*(Alukset_Käynnit_Lask!K84^Alukset_fx!$I$72),IF(Q84="Barge",0,IF(Q84="RoPax",Alukset_fx!$H$75*(Alukset_Käynnit_Lask!K84^Alukset_fx!$I$75),IF(OR(Q84="RoRo",Q84="Vehicle carrier"),Alukset_fx!$H$74*(Alukset_Käynnit_Lask!K84^Alukset_fx!$I$74),Alukset_fx!$H$77*(Alukset_Käynnit_Lask!K84^Alukset_fx!$I$77))))))))),"-")</f>
        <v>0</v>
      </c>
      <c r="T84" s="208">
        <f>IF(R84=0,IF(Q84="Other dry cargo",S84*Alukset_fx!$B$71,IF(OR(Q84="Dry bulk",Q84="Bulk carrier"),S84*Alukset_fx!$B$69,IF(Q84="Tugboat",S84*Alukset_fx!$B$76,IF(OR(Q84="Tanker",Q84="Gas tanker",Q84="Chemical tanker",Q84="Oil tanker"),S84*Alukset_fx!$B$68,IF(OR(Q84="RoRo",Q84="Vehicle carrier"),S84*Alukset_fx!$B$72,IF(Q84="RoPax",S84*Alukset_fx!$B$73,IF(Q84="Container ship",S84*Alukset_fx!$B$70,S84*Alukset_fx!$B$75))))))),"-")</f>
        <v>0</v>
      </c>
      <c r="U84" s="208">
        <f t="shared" si="15"/>
        <v>0</v>
      </c>
      <c r="V84" s="208">
        <f t="shared" si="16"/>
        <v>0</v>
      </c>
      <c r="W84" s="202">
        <f>Alukset_Käynnit!N91</f>
        <v>0</v>
      </c>
      <c r="X84" s="211">
        <f>IF(Q84="Other dry cargo", Alukset_fx!$C$52, IF(OR(Q84="Dry bulk",Q84="Bulk carrier"),Alukset_fx!$C$35,IF(OR(Q84="Tanker",Q84="Gas tanker",Q84="Oil tanker"),Alukset_fx!$C$57,IF(Q84="Chemical tanker",Alukset_fx!$C$56,IF(OR(Q84="Tugboat",Q84="Barge"),0,IF(Q84="Other vessel",Alukset_fx!$C$54,IF(Q84="Container ship",Alukset_fx!$C$37,IF(OR(Q84="RoPax",Q84="RoRo",Q84="Vehicle carrier"),Alukset_fx!$C$55,0))))))))</f>
        <v>0</v>
      </c>
      <c r="Y84" s="211">
        <f>IF(Q84="Other dry cargo", Alukset_fx!$Q$52, IF(OR(Q84="Dry bulk",Q84="Bulk carrier"),Alukset_fx!$Q$35,IF(OR(Q84="Tanker",Q84="Gas tanker",Q84="Oil tanker"),Alukset_fx!$Q$57,IF(Q84="Chemical tanker",Alukset_fx!$Q$56,IF(OR(Q84="Tugboat",Q84="Barge"),0,IF(Q84="Other vessel",Alukset_fx!$Q$54,IF(Q84="Container ship",Alukset_fx!$Q$37,IF(OR(Q84="RoPax",Q84="RoRo",Q84="Vehicle carrier"),Alukset_fx!$Q$55,0))))))))</f>
        <v>0</v>
      </c>
      <c r="Z84" t="str">
        <f t="shared" si="17"/>
        <v>MDO/MGO</v>
      </c>
      <c r="AA84" t="str">
        <f t="shared" si="18"/>
        <v>MSD</v>
      </c>
      <c r="AB84" t="str">
        <f t="shared" si="19"/>
        <v>MDO/MGO</v>
      </c>
      <c r="AC84" t="str">
        <f t="shared" si="20"/>
        <v>MSD</v>
      </c>
      <c r="AD84" t="str">
        <f t="shared" si="21"/>
        <v>MDO/MGO</v>
      </c>
      <c r="AE84" t="str">
        <f t="shared" si="22"/>
        <v>ST</v>
      </c>
      <c r="AG84">
        <f>Alukset_Käynnit!O91</f>
        <v>0</v>
      </c>
      <c r="AH84" s="207">
        <f>IF(AA84="SSD",((U84*Alukset_fx!$B$24)*Alukset_Käynnit_Lask!W84*(Alukset_fx!$K$49)/1000),IF(AA84="MSD",((U84*Alukset_fx!$B$24)*Alukset_Käynnit_Lask!W84*(Alukset_fx!$K$52)/1000),IF(AA84="HSD",((U84*Alukset_fx!$B$24)*Alukset_Käynnit_Lask!W84*(Alukset_fx!$K$55)/1000),0)))</f>
        <v>0</v>
      </c>
      <c r="AI84" s="207">
        <f>IF(AC84="MSD",((V84*Alukset_fx!$B$25)*Alukset_Käynnit_Lask!W84*(Alukset_fx!$L$52)/1000),IF(AC84="HSD",((V84*Alukset_fx!$B$25)*Alukset_Käynnit_Lask!W84*(Alukset_fx!$L$55)/1000),0))</f>
        <v>0</v>
      </c>
      <c r="AJ84" s="207">
        <f>X84*W84*Alukset_fx!$K$61/1000</f>
        <v>0</v>
      </c>
      <c r="AK84">
        <v>0</v>
      </c>
      <c r="AL84" s="207">
        <f>IF(AG84="Käytetty",0,IF(AC84="MSD",((V84*Alukset_fx!$O$25)*Alukset_Käynnit_Lask!O84*(Alukset_fx!$L$52)/1000),IF(AC84="HSD",((V84*Alukset_fx!$O$25)*Alukset_Käynnit_Lask!O84*(Alukset_fx!$L$55)/1000),0)))</f>
        <v>0</v>
      </c>
      <c r="AM84" s="207">
        <f>IF(AG84="Käytetty",0,Y84*O84*Alukset_fx!$K$61/1000)</f>
        <v>0</v>
      </c>
      <c r="AN84" s="213">
        <f t="shared" si="23"/>
        <v>0</v>
      </c>
    </row>
    <row r="85" spans="1:40" x14ac:dyDescent="0.25">
      <c r="A85" s="203">
        <f>Alukset_Käynnit!A92</f>
        <v>0</v>
      </c>
      <c r="B85" s="203">
        <f>Alukset_Käynnit!B92</f>
        <v>0</v>
      </c>
      <c r="C85" s="262">
        <f>Alukset_Käynnit!C92</f>
        <v>0</v>
      </c>
      <c r="D85" s="266">
        <f>Alukset_Käynnit!D92</f>
        <v>0</v>
      </c>
      <c r="E85" s="262">
        <f>Alukset_Käynnit!E92</f>
        <v>0</v>
      </c>
      <c r="F85" s="262">
        <f>Alukset_Käynnit!F92</f>
        <v>0</v>
      </c>
      <c r="G85" s="262">
        <f>Alukset_Käynnit!G92</f>
        <v>0</v>
      </c>
      <c r="H85" s="262">
        <f>Alukset_Käynnit!H92</f>
        <v>0</v>
      </c>
      <c r="I85" s="262">
        <f>Alukset_Käynnit!I92</f>
        <v>0</v>
      </c>
      <c r="J85" s="262">
        <f>Alukset_Käynnit!J92</f>
        <v>0</v>
      </c>
      <c r="K85" s="262">
        <f>Alukset_Käynnit!K92</f>
        <v>0</v>
      </c>
      <c r="L85" s="205">
        <f>Alukset_Käynnit!L92</f>
        <v>0</v>
      </c>
      <c r="N85" s="273">
        <f t="shared" si="13"/>
        <v>0</v>
      </c>
      <c r="O85" s="274">
        <f t="shared" si="24"/>
        <v>0</v>
      </c>
      <c r="P85" s="202"/>
      <c r="Q85" s="204">
        <f t="shared" si="14"/>
        <v>0</v>
      </c>
      <c r="R85" s="202">
        <f>IF(Q85="Other dry cargo",L85*Alukset_fx!$B$71,IF(OR(Q85="Dry bulk",Q85="Bulk carrier"),L85*Alukset_fx!$B$69,IF(Q85="Tugboat",L85*Alukset_fx!$B$76,IF(OR(Q85="Tanker",Q85="Gas tanker",Q85="Chemical tanker",Q85="Oil tanker"),L85*Alukset_fx!$B$68,IF(OR(Q85="RoRo",Q85="Vehicle carrier"),L85*Alukset_fx!$B$72,IF(Q85="RoPax",L85*Alukset_fx!$B$73,IF(Q85="Container ship",L85*Alukset_fx!$B$70,IF(Q85="Barge",0,L85*Alukset_fx!$B$75))))))))</f>
        <v>0</v>
      </c>
      <c r="S85" s="210">
        <f>IF(L85=0,IF(Q85="Other dry cargo",Alukset_fx!$H$73*(Alukset_Käynnit_Lask!K85^Alukset_fx!$I$73),IF(OR(Q85="Dry Bulk",Q85="Bulk carrier"),Alukset_fx!$H$71*(Alukset_Käynnit_Lask!K85^Alukset_fx!$I$71),IF(Q85="Tugboat",Alukset_fx!$H$78*(Alukset_Käynnit_Lask!K85^Alukset_fx!$I$78),IF(OR(Q85="Tanker",Q85="Gas tanker",Q85="Chemical tanker",Q85="Oil tanker"),Alukset_fx!$H$70*(Alukset_Käynnit_Lask!K85^Alukset_fx!$I$70),IF(Q85="Container ship",Alukset_fx!$H$72*(Alukset_Käynnit_Lask!K85^Alukset_fx!$I$72),IF(Q85="Barge",0,IF(Q85="RoPax",Alukset_fx!$H$75*(Alukset_Käynnit_Lask!K85^Alukset_fx!$I$75),IF(OR(Q85="RoRo",Q85="Vehicle carrier"),Alukset_fx!$H$74*(Alukset_Käynnit_Lask!K85^Alukset_fx!$I$74),Alukset_fx!$H$77*(Alukset_Käynnit_Lask!K85^Alukset_fx!$I$77))))))))),"-")</f>
        <v>0</v>
      </c>
      <c r="T85" s="208">
        <f>IF(R85=0,IF(Q85="Other dry cargo",S85*Alukset_fx!$B$71,IF(OR(Q85="Dry bulk",Q85="Bulk carrier"),S85*Alukset_fx!$B$69,IF(Q85="Tugboat",S85*Alukset_fx!$B$76,IF(OR(Q85="Tanker",Q85="Gas tanker",Q85="Chemical tanker",Q85="Oil tanker"),S85*Alukset_fx!$B$68,IF(OR(Q85="RoRo",Q85="Vehicle carrier"),S85*Alukset_fx!$B$72,IF(Q85="RoPax",S85*Alukset_fx!$B$73,IF(Q85="Container ship",S85*Alukset_fx!$B$70,S85*Alukset_fx!$B$75))))))),"-")</f>
        <v>0</v>
      </c>
      <c r="U85" s="208">
        <f t="shared" si="15"/>
        <v>0</v>
      </c>
      <c r="V85" s="208">
        <f t="shared" si="16"/>
        <v>0</v>
      </c>
      <c r="W85" s="202">
        <f>Alukset_Käynnit!N92</f>
        <v>0</v>
      </c>
      <c r="X85" s="211">
        <f>IF(Q85="Other dry cargo", Alukset_fx!$C$52, IF(OR(Q85="Dry bulk",Q85="Bulk carrier"),Alukset_fx!$C$35,IF(OR(Q85="Tanker",Q85="Gas tanker",Q85="Oil tanker"),Alukset_fx!$C$57,IF(Q85="Chemical tanker",Alukset_fx!$C$56,IF(OR(Q85="Tugboat",Q85="Barge"),0,IF(Q85="Other vessel",Alukset_fx!$C$54,IF(Q85="Container ship",Alukset_fx!$C$37,IF(OR(Q85="RoPax",Q85="RoRo",Q85="Vehicle carrier"),Alukset_fx!$C$55,0))))))))</f>
        <v>0</v>
      </c>
      <c r="Y85" s="211">
        <f>IF(Q85="Other dry cargo", Alukset_fx!$Q$52, IF(OR(Q85="Dry bulk",Q85="Bulk carrier"),Alukset_fx!$Q$35,IF(OR(Q85="Tanker",Q85="Gas tanker",Q85="Oil tanker"),Alukset_fx!$Q$57,IF(Q85="Chemical tanker",Alukset_fx!$Q$56,IF(OR(Q85="Tugboat",Q85="Barge"),0,IF(Q85="Other vessel",Alukset_fx!$Q$54,IF(Q85="Container ship",Alukset_fx!$Q$37,IF(OR(Q85="RoPax",Q85="RoRo",Q85="Vehicle carrier"),Alukset_fx!$Q$55,0))))))))</f>
        <v>0</v>
      </c>
      <c r="Z85" t="str">
        <f t="shared" si="17"/>
        <v>MDO/MGO</v>
      </c>
      <c r="AA85" t="str">
        <f t="shared" si="18"/>
        <v>MSD</v>
      </c>
      <c r="AB85" t="str">
        <f t="shared" si="19"/>
        <v>MDO/MGO</v>
      </c>
      <c r="AC85" t="str">
        <f t="shared" si="20"/>
        <v>MSD</v>
      </c>
      <c r="AD85" t="str">
        <f t="shared" si="21"/>
        <v>MDO/MGO</v>
      </c>
      <c r="AE85" t="str">
        <f t="shared" si="22"/>
        <v>ST</v>
      </c>
      <c r="AG85">
        <f>Alukset_Käynnit!O92</f>
        <v>0</v>
      </c>
      <c r="AH85" s="207">
        <f>IF(AA85="SSD",((U85*Alukset_fx!$B$24)*Alukset_Käynnit_Lask!W85*(Alukset_fx!$K$49)/1000),IF(AA85="MSD",((U85*Alukset_fx!$B$24)*Alukset_Käynnit_Lask!W85*(Alukset_fx!$K$52)/1000),IF(AA85="HSD",((U85*Alukset_fx!$B$24)*Alukset_Käynnit_Lask!W85*(Alukset_fx!$K$55)/1000),0)))</f>
        <v>0</v>
      </c>
      <c r="AI85" s="207">
        <f>IF(AC85="MSD",((V85*Alukset_fx!$B$25)*Alukset_Käynnit_Lask!W85*(Alukset_fx!$L$52)/1000),IF(AC85="HSD",((V85*Alukset_fx!$B$25)*Alukset_Käynnit_Lask!W85*(Alukset_fx!$L$55)/1000),0))</f>
        <v>0</v>
      </c>
      <c r="AJ85" s="207">
        <f>X85*W85*Alukset_fx!$K$61/1000</f>
        <v>0</v>
      </c>
      <c r="AK85">
        <v>0</v>
      </c>
      <c r="AL85" s="207">
        <f>IF(AG85="Käytetty",0,IF(AC85="MSD",((V85*Alukset_fx!$O$25)*Alukset_Käynnit_Lask!O85*(Alukset_fx!$L$52)/1000),IF(AC85="HSD",((V85*Alukset_fx!$O$25)*Alukset_Käynnit_Lask!O85*(Alukset_fx!$L$55)/1000),0)))</f>
        <v>0</v>
      </c>
      <c r="AM85" s="207">
        <f>IF(AG85="Käytetty",0,Y85*O85*Alukset_fx!$K$61/1000)</f>
        <v>0</v>
      </c>
      <c r="AN85" s="213">
        <f t="shared" si="23"/>
        <v>0</v>
      </c>
    </row>
    <row r="86" spans="1:40" x14ac:dyDescent="0.25">
      <c r="A86" s="203">
        <f>Alukset_Käynnit!A93</f>
        <v>0</v>
      </c>
      <c r="B86" s="203">
        <f>Alukset_Käynnit!B93</f>
        <v>0</v>
      </c>
      <c r="C86" s="262">
        <f>Alukset_Käynnit!C93</f>
        <v>0</v>
      </c>
      <c r="D86" s="266">
        <f>Alukset_Käynnit!D93</f>
        <v>0</v>
      </c>
      <c r="E86" s="262">
        <f>Alukset_Käynnit!E93</f>
        <v>0</v>
      </c>
      <c r="F86" s="262">
        <f>Alukset_Käynnit!F93</f>
        <v>0</v>
      </c>
      <c r="G86" s="262">
        <f>Alukset_Käynnit!G93</f>
        <v>0</v>
      </c>
      <c r="H86" s="262">
        <f>Alukset_Käynnit!H93</f>
        <v>0</v>
      </c>
      <c r="I86" s="262">
        <f>Alukset_Käynnit!I93</f>
        <v>0</v>
      </c>
      <c r="J86" s="262">
        <f>Alukset_Käynnit!J93</f>
        <v>0</v>
      </c>
      <c r="K86" s="262">
        <f>Alukset_Käynnit!K93</f>
        <v>0</v>
      </c>
      <c r="L86" s="205">
        <f>Alukset_Käynnit!L93</f>
        <v>0</v>
      </c>
      <c r="N86" s="275">
        <f t="shared" si="13"/>
        <v>0</v>
      </c>
      <c r="O86" s="276">
        <f t="shared" si="24"/>
        <v>0</v>
      </c>
      <c r="P86" s="202"/>
      <c r="Q86" s="204">
        <f t="shared" si="14"/>
        <v>0</v>
      </c>
      <c r="R86" s="202">
        <f>IF(Q86="Other dry cargo",L86*Alukset_fx!$B$71,IF(OR(Q86="Dry bulk",Q86="Bulk carrier"),L86*Alukset_fx!$B$69,IF(Q86="Tugboat",L86*Alukset_fx!$B$76,IF(OR(Q86="Tanker",Q86="Gas tanker",Q86="Chemical tanker",Q86="Oil tanker"),L86*Alukset_fx!$B$68,IF(OR(Q86="RoRo",Q86="Vehicle carrier"),L86*Alukset_fx!$B$72,IF(Q86="RoPax",L86*Alukset_fx!$B$73,IF(Q86="Container ship",L86*Alukset_fx!$B$70,IF(Q86="Barge",0,L86*Alukset_fx!$B$75))))))))</f>
        <v>0</v>
      </c>
      <c r="S86" s="210">
        <f>IF(L86=0,IF(Q86="Other dry cargo",Alukset_fx!$H$73*(Alukset_Käynnit_Lask!K86^Alukset_fx!$I$73),IF(OR(Q86="Dry Bulk",Q86="Bulk carrier"),Alukset_fx!$H$71*(Alukset_Käynnit_Lask!K86^Alukset_fx!$I$71),IF(Q86="Tugboat",Alukset_fx!$H$78*(Alukset_Käynnit_Lask!K86^Alukset_fx!$I$78),IF(OR(Q86="Tanker",Q86="Gas tanker",Q86="Chemical tanker",Q86="Oil tanker"),Alukset_fx!$H$70*(Alukset_Käynnit_Lask!K86^Alukset_fx!$I$70),IF(Q86="Container ship",Alukset_fx!$H$72*(Alukset_Käynnit_Lask!K86^Alukset_fx!$I$72),IF(Q86="Barge",0,IF(Q86="RoPax",Alukset_fx!$H$75*(Alukset_Käynnit_Lask!K86^Alukset_fx!$I$75),IF(OR(Q86="RoRo",Q86="Vehicle carrier"),Alukset_fx!$H$74*(Alukset_Käynnit_Lask!K86^Alukset_fx!$I$74),Alukset_fx!$H$77*(Alukset_Käynnit_Lask!K86^Alukset_fx!$I$77))))))))),"-")</f>
        <v>0</v>
      </c>
      <c r="T86" s="208">
        <f>IF(R86=0,IF(Q86="Other dry cargo",S86*Alukset_fx!$B$71,IF(OR(Q86="Dry bulk",Q86="Bulk carrier"),S86*Alukset_fx!$B$69,IF(Q86="Tugboat",S86*Alukset_fx!$B$76,IF(OR(Q86="Tanker",Q86="Gas tanker",Q86="Chemical tanker",Q86="Oil tanker"),S86*Alukset_fx!$B$68,IF(OR(Q86="RoRo",Q86="Vehicle carrier"),S86*Alukset_fx!$B$72,IF(Q86="RoPax",S86*Alukset_fx!$B$73,IF(Q86="Container ship",S86*Alukset_fx!$B$70,S86*Alukset_fx!$B$75))))))),"-")</f>
        <v>0</v>
      </c>
      <c r="U86" s="208">
        <f t="shared" si="15"/>
        <v>0</v>
      </c>
      <c r="V86" s="208">
        <f t="shared" si="16"/>
        <v>0</v>
      </c>
      <c r="W86" s="202">
        <f>Alukset_Käynnit!N93</f>
        <v>0</v>
      </c>
      <c r="X86" s="211">
        <f>IF(Q86="Other dry cargo", Alukset_fx!$C$52, IF(OR(Q86="Dry bulk",Q86="Bulk carrier"),Alukset_fx!$C$35,IF(OR(Q86="Tanker",Q86="Gas tanker",Q86="Oil tanker"),Alukset_fx!$C$57,IF(Q86="Chemical tanker",Alukset_fx!$C$56,IF(OR(Q86="Tugboat",Q86="Barge"),0,IF(Q86="Other vessel",Alukset_fx!$C$54,IF(Q86="Container ship",Alukset_fx!$C$37,IF(OR(Q86="RoPax",Q86="RoRo",Q86="Vehicle carrier"),Alukset_fx!$C$55,0))))))))</f>
        <v>0</v>
      </c>
      <c r="Y86" s="211">
        <f>IF(Q86="Other dry cargo", Alukset_fx!$Q$52, IF(OR(Q86="Dry bulk",Q86="Bulk carrier"),Alukset_fx!$Q$35,IF(OR(Q86="Tanker",Q86="Gas tanker",Q86="Oil tanker"),Alukset_fx!$Q$57,IF(Q86="Chemical tanker",Alukset_fx!$Q$56,IF(OR(Q86="Tugboat",Q86="Barge"),0,IF(Q86="Other vessel",Alukset_fx!$Q$54,IF(Q86="Container ship",Alukset_fx!$Q$37,IF(OR(Q86="RoPax",Q86="RoRo",Q86="Vehicle carrier"),Alukset_fx!$Q$55,0))))))))</f>
        <v>0</v>
      </c>
      <c r="Z86" t="str">
        <f t="shared" si="17"/>
        <v>MDO/MGO</v>
      </c>
      <c r="AA86" t="str">
        <f t="shared" si="18"/>
        <v>MSD</v>
      </c>
      <c r="AB86" t="str">
        <f t="shared" si="19"/>
        <v>MDO/MGO</v>
      </c>
      <c r="AC86" t="str">
        <f t="shared" si="20"/>
        <v>MSD</v>
      </c>
      <c r="AD86" t="str">
        <f t="shared" si="21"/>
        <v>MDO/MGO</v>
      </c>
      <c r="AE86" t="str">
        <f t="shared" si="22"/>
        <v>ST</v>
      </c>
      <c r="AG86">
        <f>Alukset_Käynnit!O93</f>
        <v>0</v>
      </c>
      <c r="AH86" s="207">
        <f>IF(AA86="SSD",((U86*Alukset_fx!$B$24)*Alukset_Käynnit_Lask!W86*(Alukset_fx!$K$49)/1000),IF(AA86="MSD",((U86*Alukset_fx!$B$24)*Alukset_Käynnit_Lask!W86*(Alukset_fx!$K$52)/1000),IF(AA86="HSD",((U86*Alukset_fx!$B$24)*Alukset_Käynnit_Lask!W86*(Alukset_fx!$K$55)/1000),0)))</f>
        <v>0</v>
      </c>
      <c r="AI86" s="207">
        <f>IF(AC86="MSD",((V86*Alukset_fx!$B$25)*Alukset_Käynnit_Lask!W86*(Alukset_fx!$L$52)/1000),IF(AC86="HSD",((V86*Alukset_fx!$B$25)*Alukset_Käynnit_Lask!W86*(Alukset_fx!$L$55)/1000),0))</f>
        <v>0</v>
      </c>
      <c r="AJ86" s="207">
        <f>X86*W86*Alukset_fx!$K$61/1000</f>
        <v>0</v>
      </c>
      <c r="AK86">
        <v>0</v>
      </c>
      <c r="AL86" s="207">
        <f>IF(AG86="Käytetty",0,IF(AC86="MSD",((V86*Alukset_fx!$O$25)*Alukset_Käynnit_Lask!O86*(Alukset_fx!$L$52)/1000),IF(AC86="HSD",((V86*Alukset_fx!$O$25)*Alukset_Käynnit_Lask!O86*(Alukset_fx!$L$55)/1000),0)))</f>
        <v>0</v>
      </c>
      <c r="AM86" s="207">
        <f>IF(AG86="Käytetty",0,Y86*O86*Alukset_fx!$K$61/1000)</f>
        <v>0</v>
      </c>
      <c r="AN86" s="213">
        <f t="shared" si="23"/>
        <v>0</v>
      </c>
    </row>
    <row r="87" spans="1:40" x14ac:dyDescent="0.25">
      <c r="A87" s="203">
        <f>Alukset_Käynnit!A94</f>
        <v>0</v>
      </c>
      <c r="B87" s="203">
        <f>Alukset_Käynnit!B94</f>
        <v>0</v>
      </c>
      <c r="C87" s="262">
        <f>Alukset_Käynnit!C94</f>
        <v>0</v>
      </c>
      <c r="D87" s="266">
        <f>Alukset_Käynnit!D94</f>
        <v>0</v>
      </c>
      <c r="E87" s="262">
        <f>Alukset_Käynnit!E94</f>
        <v>0</v>
      </c>
      <c r="F87" s="262">
        <f>Alukset_Käynnit!F94</f>
        <v>0</v>
      </c>
      <c r="G87" s="262">
        <f>Alukset_Käynnit!G94</f>
        <v>0</v>
      </c>
      <c r="H87" s="262">
        <f>Alukset_Käynnit!H94</f>
        <v>0</v>
      </c>
      <c r="I87" s="262">
        <f>Alukset_Käynnit!I94</f>
        <v>0</v>
      </c>
      <c r="J87" s="262">
        <f>Alukset_Käynnit!J94</f>
        <v>0</v>
      </c>
      <c r="K87" s="262">
        <f>Alukset_Käynnit!K94</f>
        <v>0</v>
      </c>
      <c r="L87" s="205">
        <f>Alukset_Käynnit!L94</f>
        <v>0</v>
      </c>
      <c r="N87" s="273">
        <f t="shared" si="13"/>
        <v>0</v>
      </c>
      <c r="O87" s="274">
        <f t="shared" si="24"/>
        <v>0</v>
      </c>
      <c r="P87" s="202"/>
      <c r="Q87" s="204">
        <f t="shared" si="14"/>
        <v>0</v>
      </c>
      <c r="R87" s="202">
        <f>IF(Q87="Other dry cargo",L87*Alukset_fx!$B$71,IF(OR(Q87="Dry bulk",Q87="Bulk carrier"),L87*Alukset_fx!$B$69,IF(Q87="Tugboat",L87*Alukset_fx!$B$76,IF(OR(Q87="Tanker",Q87="Gas tanker",Q87="Chemical tanker",Q87="Oil tanker"),L87*Alukset_fx!$B$68,IF(OR(Q87="RoRo",Q87="Vehicle carrier"),L87*Alukset_fx!$B$72,IF(Q87="RoPax",L87*Alukset_fx!$B$73,IF(Q87="Container ship",L87*Alukset_fx!$B$70,IF(Q87="Barge",0,L87*Alukset_fx!$B$75))))))))</f>
        <v>0</v>
      </c>
      <c r="S87" s="210">
        <f>IF(L87=0,IF(Q87="Other dry cargo",Alukset_fx!$H$73*(Alukset_Käynnit_Lask!K87^Alukset_fx!$I$73),IF(OR(Q87="Dry Bulk",Q87="Bulk carrier"),Alukset_fx!$H$71*(Alukset_Käynnit_Lask!K87^Alukset_fx!$I$71),IF(Q87="Tugboat",Alukset_fx!$H$78*(Alukset_Käynnit_Lask!K87^Alukset_fx!$I$78),IF(OR(Q87="Tanker",Q87="Gas tanker",Q87="Chemical tanker",Q87="Oil tanker"),Alukset_fx!$H$70*(Alukset_Käynnit_Lask!K87^Alukset_fx!$I$70),IF(Q87="Container ship",Alukset_fx!$H$72*(Alukset_Käynnit_Lask!K87^Alukset_fx!$I$72),IF(Q87="Barge",0,IF(Q87="RoPax",Alukset_fx!$H$75*(Alukset_Käynnit_Lask!K87^Alukset_fx!$I$75),IF(OR(Q87="RoRo",Q87="Vehicle carrier"),Alukset_fx!$H$74*(Alukset_Käynnit_Lask!K87^Alukset_fx!$I$74),Alukset_fx!$H$77*(Alukset_Käynnit_Lask!K87^Alukset_fx!$I$77))))))))),"-")</f>
        <v>0</v>
      </c>
      <c r="T87" s="208">
        <f>IF(R87=0,IF(Q87="Other dry cargo",S87*Alukset_fx!$B$71,IF(OR(Q87="Dry bulk",Q87="Bulk carrier"),S87*Alukset_fx!$B$69,IF(Q87="Tugboat",S87*Alukset_fx!$B$76,IF(OR(Q87="Tanker",Q87="Gas tanker",Q87="Chemical tanker",Q87="Oil tanker"),S87*Alukset_fx!$B$68,IF(OR(Q87="RoRo",Q87="Vehicle carrier"),S87*Alukset_fx!$B$72,IF(Q87="RoPax",S87*Alukset_fx!$B$73,IF(Q87="Container ship",S87*Alukset_fx!$B$70,S87*Alukset_fx!$B$75))))))),"-")</f>
        <v>0</v>
      </c>
      <c r="U87" s="208">
        <f t="shared" si="15"/>
        <v>0</v>
      </c>
      <c r="V87" s="208">
        <f t="shared" si="16"/>
        <v>0</v>
      </c>
      <c r="W87" s="202">
        <f>Alukset_Käynnit!N94</f>
        <v>0</v>
      </c>
      <c r="X87" s="211">
        <f>IF(Q87="Other dry cargo", Alukset_fx!$C$52, IF(OR(Q87="Dry bulk",Q87="Bulk carrier"),Alukset_fx!$C$35,IF(OR(Q87="Tanker",Q87="Gas tanker",Q87="Oil tanker"),Alukset_fx!$C$57,IF(Q87="Chemical tanker",Alukset_fx!$C$56,IF(OR(Q87="Tugboat",Q87="Barge"),0,IF(Q87="Other vessel",Alukset_fx!$C$54,IF(Q87="Container ship",Alukset_fx!$C$37,IF(OR(Q87="RoPax",Q87="RoRo",Q87="Vehicle carrier"),Alukset_fx!$C$55,0))))))))</f>
        <v>0</v>
      </c>
      <c r="Y87" s="211">
        <f>IF(Q87="Other dry cargo", Alukset_fx!$Q$52, IF(OR(Q87="Dry bulk",Q87="Bulk carrier"),Alukset_fx!$Q$35,IF(OR(Q87="Tanker",Q87="Gas tanker",Q87="Oil tanker"),Alukset_fx!$Q$57,IF(Q87="Chemical tanker",Alukset_fx!$Q$56,IF(OR(Q87="Tugboat",Q87="Barge"),0,IF(Q87="Other vessel",Alukset_fx!$Q$54,IF(Q87="Container ship",Alukset_fx!$Q$37,IF(OR(Q87="RoPax",Q87="RoRo",Q87="Vehicle carrier"),Alukset_fx!$Q$55,0))))))))</f>
        <v>0</v>
      </c>
      <c r="Z87" t="str">
        <f t="shared" si="17"/>
        <v>MDO/MGO</v>
      </c>
      <c r="AA87" t="str">
        <f t="shared" si="18"/>
        <v>MSD</v>
      </c>
      <c r="AB87" t="str">
        <f t="shared" si="19"/>
        <v>MDO/MGO</v>
      </c>
      <c r="AC87" t="str">
        <f t="shared" si="20"/>
        <v>MSD</v>
      </c>
      <c r="AD87" t="str">
        <f t="shared" si="21"/>
        <v>MDO/MGO</v>
      </c>
      <c r="AE87" t="str">
        <f t="shared" si="22"/>
        <v>ST</v>
      </c>
      <c r="AG87">
        <f>Alukset_Käynnit!O94</f>
        <v>0</v>
      </c>
      <c r="AH87" s="207">
        <f>IF(AA87="SSD",((U87*Alukset_fx!$B$24)*Alukset_Käynnit_Lask!W87*(Alukset_fx!$K$49)/1000),IF(AA87="MSD",((U87*Alukset_fx!$B$24)*Alukset_Käynnit_Lask!W87*(Alukset_fx!$K$52)/1000),IF(AA87="HSD",((U87*Alukset_fx!$B$24)*Alukset_Käynnit_Lask!W87*(Alukset_fx!$K$55)/1000),0)))</f>
        <v>0</v>
      </c>
      <c r="AI87" s="207">
        <f>IF(AC87="MSD",((V87*Alukset_fx!$B$25)*Alukset_Käynnit_Lask!W87*(Alukset_fx!$L$52)/1000),IF(AC87="HSD",((V87*Alukset_fx!$B$25)*Alukset_Käynnit_Lask!W87*(Alukset_fx!$L$55)/1000),0))</f>
        <v>0</v>
      </c>
      <c r="AJ87" s="207">
        <f>X87*W87*Alukset_fx!$K$61/1000</f>
        <v>0</v>
      </c>
      <c r="AK87">
        <v>0</v>
      </c>
      <c r="AL87" s="207">
        <f>IF(AG87="Käytetty",0,IF(AC87="MSD",((V87*Alukset_fx!$O$25)*Alukset_Käynnit_Lask!O87*(Alukset_fx!$L$52)/1000),IF(AC87="HSD",((V87*Alukset_fx!$O$25)*Alukset_Käynnit_Lask!O87*(Alukset_fx!$L$55)/1000),0)))</f>
        <v>0</v>
      </c>
      <c r="AM87" s="207">
        <f>IF(AG87="Käytetty",0,Y87*O87*Alukset_fx!$K$61/1000)</f>
        <v>0</v>
      </c>
      <c r="AN87" s="213">
        <f t="shared" si="23"/>
        <v>0</v>
      </c>
    </row>
    <row r="88" spans="1:40" x14ac:dyDescent="0.25">
      <c r="A88" s="203">
        <f>Alukset_Käynnit!A95</f>
        <v>0</v>
      </c>
      <c r="B88" s="203">
        <f>Alukset_Käynnit!B95</f>
        <v>0</v>
      </c>
      <c r="C88" s="262">
        <f>Alukset_Käynnit!C95</f>
        <v>0</v>
      </c>
      <c r="D88" s="266">
        <f>Alukset_Käynnit!D95</f>
        <v>0</v>
      </c>
      <c r="E88" s="262">
        <f>Alukset_Käynnit!E95</f>
        <v>0</v>
      </c>
      <c r="F88" s="262">
        <f>Alukset_Käynnit!F95</f>
        <v>0</v>
      </c>
      <c r="G88" s="262">
        <f>Alukset_Käynnit!G95</f>
        <v>0</v>
      </c>
      <c r="H88" s="262">
        <f>Alukset_Käynnit!H95</f>
        <v>0</v>
      </c>
      <c r="I88" s="262">
        <f>Alukset_Käynnit!I95</f>
        <v>0</v>
      </c>
      <c r="J88" s="262">
        <f>Alukset_Käynnit!J95</f>
        <v>0</v>
      </c>
      <c r="K88" s="262">
        <f>Alukset_Käynnit!K95</f>
        <v>0</v>
      </c>
      <c r="L88" s="205">
        <f>Alukset_Käynnit!L95</f>
        <v>0</v>
      </c>
      <c r="N88" s="273">
        <f t="shared" si="13"/>
        <v>0</v>
      </c>
      <c r="O88" s="274">
        <f t="shared" si="24"/>
        <v>0</v>
      </c>
      <c r="P88" s="202"/>
      <c r="Q88" s="204">
        <f t="shared" si="14"/>
        <v>0</v>
      </c>
      <c r="R88" s="202">
        <f>IF(Q88="Other dry cargo",L88*Alukset_fx!$B$71,IF(OR(Q88="Dry bulk",Q88="Bulk carrier"),L88*Alukset_fx!$B$69,IF(Q88="Tugboat",L88*Alukset_fx!$B$76,IF(OR(Q88="Tanker",Q88="Gas tanker",Q88="Chemical tanker",Q88="Oil tanker"),L88*Alukset_fx!$B$68,IF(OR(Q88="RoRo",Q88="Vehicle carrier"),L88*Alukset_fx!$B$72,IF(Q88="RoPax",L88*Alukset_fx!$B$73,IF(Q88="Container ship",L88*Alukset_fx!$B$70,IF(Q88="Barge",0,L88*Alukset_fx!$B$75))))))))</f>
        <v>0</v>
      </c>
      <c r="S88" s="210">
        <f>IF(L88=0,IF(Q88="Other dry cargo",Alukset_fx!$H$73*(Alukset_Käynnit_Lask!K88^Alukset_fx!$I$73),IF(OR(Q88="Dry Bulk",Q88="Bulk carrier"),Alukset_fx!$H$71*(Alukset_Käynnit_Lask!K88^Alukset_fx!$I$71),IF(Q88="Tugboat",Alukset_fx!$H$78*(Alukset_Käynnit_Lask!K88^Alukset_fx!$I$78),IF(OR(Q88="Tanker",Q88="Gas tanker",Q88="Chemical tanker",Q88="Oil tanker"),Alukset_fx!$H$70*(Alukset_Käynnit_Lask!K88^Alukset_fx!$I$70),IF(Q88="Container ship",Alukset_fx!$H$72*(Alukset_Käynnit_Lask!K88^Alukset_fx!$I$72),IF(Q88="Barge",0,IF(Q88="RoPax",Alukset_fx!$H$75*(Alukset_Käynnit_Lask!K88^Alukset_fx!$I$75),IF(OR(Q88="RoRo",Q88="Vehicle carrier"),Alukset_fx!$H$74*(Alukset_Käynnit_Lask!K88^Alukset_fx!$I$74),Alukset_fx!$H$77*(Alukset_Käynnit_Lask!K88^Alukset_fx!$I$77))))))))),"-")</f>
        <v>0</v>
      </c>
      <c r="T88" s="208">
        <f>IF(R88=0,IF(Q88="Other dry cargo",S88*Alukset_fx!$B$71,IF(OR(Q88="Dry bulk",Q88="Bulk carrier"),S88*Alukset_fx!$B$69,IF(Q88="Tugboat",S88*Alukset_fx!$B$76,IF(OR(Q88="Tanker",Q88="Gas tanker",Q88="Chemical tanker",Q88="Oil tanker"),S88*Alukset_fx!$B$68,IF(OR(Q88="RoRo",Q88="Vehicle carrier"),S88*Alukset_fx!$B$72,IF(Q88="RoPax",S88*Alukset_fx!$B$73,IF(Q88="Container ship",S88*Alukset_fx!$B$70,S88*Alukset_fx!$B$75))))))),"-")</f>
        <v>0</v>
      </c>
      <c r="U88" s="208">
        <f t="shared" si="15"/>
        <v>0</v>
      </c>
      <c r="V88" s="208">
        <f t="shared" si="16"/>
        <v>0</v>
      </c>
      <c r="W88" s="202">
        <f>Alukset_Käynnit!N95</f>
        <v>0</v>
      </c>
      <c r="X88" s="211">
        <f>IF(Q88="Other dry cargo", Alukset_fx!$C$52, IF(OR(Q88="Dry bulk",Q88="Bulk carrier"),Alukset_fx!$C$35,IF(OR(Q88="Tanker",Q88="Gas tanker",Q88="Oil tanker"),Alukset_fx!$C$57,IF(Q88="Chemical tanker",Alukset_fx!$C$56,IF(OR(Q88="Tugboat",Q88="Barge"),0,IF(Q88="Other vessel",Alukset_fx!$C$54,IF(Q88="Container ship",Alukset_fx!$C$37,IF(OR(Q88="RoPax",Q88="RoRo",Q88="Vehicle carrier"),Alukset_fx!$C$55,0))))))))</f>
        <v>0</v>
      </c>
      <c r="Y88" s="211">
        <f>IF(Q88="Other dry cargo", Alukset_fx!$Q$52, IF(OR(Q88="Dry bulk",Q88="Bulk carrier"),Alukset_fx!$Q$35,IF(OR(Q88="Tanker",Q88="Gas tanker",Q88="Oil tanker"),Alukset_fx!$Q$57,IF(Q88="Chemical tanker",Alukset_fx!$Q$56,IF(OR(Q88="Tugboat",Q88="Barge"),0,IF(Q88="Other vessel",Alukset_fx!$Q$54,IF(Q88="Container ship",Alukset_fx!$Q$37,IF(OR(Q88="RoPax",Q88="RoRo",Q88="Vehicle carrier"),Alukset_fx!$Q$55,0))))))))</f>
        <v>0</v>
      </c>
      <c r="Z88" t="str">
        <f t="shared" si="17"/>
        <v>MDO/MGO</v>
      </c>
      <c r="AA88" t="str">
        <f t="shared" si="18"/>
        <v>MSD</v>
      </c>
      <c r="AB88" t="str">
        <f t="shared" si="19"/>
        <v>MDO/MGO</v>
      </c>
      <c r="AC88" t="str">
        <f t="shared" si="20"/>
        <v>MSD</v>
      </c>
      <c r="AD88" t="str">
        <f t="shared" si="21"/>
        <v>MDO/MGO</v>
      </c>
      <c r="AE88" t="str">
        <f t="shared" si="22"/>
        <v>ST</v>
      </c>
      <c r="AG88">
        <f>Alukset_Käynnit!O95</f>
        <v>0</v>
      </c>
      <c r="AH88" s="207">
        <f>IF(AA88="SSD",((U88*Alukset_fx!$B$24)*Alukset_Käynnit_Lask!W88*(Alukset_fx!$K$49)/1000),IF(AA88="MSD",((U88*Alukset_fx!$B$24)*Alukset_Käynnit_Lask!W88*(Alukset_fx!$K$52)/1000),IF(AA88="HSD",((U88*Alukset_fx!$B$24)*Alukset_Käynnit_Lask!W88*(Alukset_fx!$K$55)/1000),0)))</f>
        <v>0</v>
      </c>
      <c r="AI88" s="207">
        <f>IF(AC88="MSD",((V88*Alukset_fx!$B$25)*Alukset_Käynnit_Lask!W88*(Alukset_fx!$L$52)/1000),IF(AC88="HSD",((V88*Alukset_fx!$B$25)*Alukset_Käynnit_Lask!W88*(Alukset_fx!$L$55)/1000),0))</f>
        <v>0</v>
      </c>
      <c r="AJ88" s="207">
        <f>X88*W88*Alukset_fx!$K$61/1000</f>
        <v>0</v>
      </c>
      <c r="AK88">
        <v>0</v>
      </c>
      <c r="AL88" s="207">
        <f>IF(AG88="Käytetty",0,IF(AC88="MSD",((V88*Alukset_fx!$O$25)*Alukset_Käynnit_Lask!O88*(Alukset_fx!$L$52)/1000),IF(AC88="HSD",((V88*Alukset_fx!$O$25)*Alukset_Käynnit_Lask!O88*(Alukset_fx!$L$55)/1000),0)))</f>
        <v>0</v>
      </c>
      <c r="AM88" s="207">
        <f>IF(AG88="Käytetty",0,Y88*O88*Alukset_fx!$K$61/1000)</f>
        <v>0</v>
      </c>
      <c r="AN88" s="213">
        <f t="shared" si="23"/>
        <v>0</v>
      </c>
    </row>
    <row r="89" spans="1:40" x14ac:dyDescent="0.25">
      <c r="A89" s="203">
        <f>Alukset_Käynnit!A96</f>
        <v>0</v>
      </c>
      <c r="B89" s="203">
        <f>Alukset_Käynnit!B96</f>
        <v>0</v>
      </c>
      <c r="C89" s="262">
        <f>Alukset_Käynnit!C96</f>
        <v>0</v>
      </c>
      <c r="D89" s="266">
        <f>Alukset_Käynnit!D96</f>
        <v>0</v>
      </c>
      <c r="E89" s="262">
        <f>Alukset_Käynnit!E96</f>
        <v>0</v>
      </c>
      <c r="F89" s="262">
        <f>Alukset_Käynnit!F96</f>
        <v>0</v>
      </c>
      <c r="G89" s="262">
        <f>Alukset_Käynnit!G96</f>
        <v>0</v>
      </c>
      <c r="H89" s="262">
        <f>Alukset_Käynnit!H96</f>
        <v>0</v>
      </c>
      <c r="I89" s="262">
        <f>Alukset_Käynnit!I96</f>
        <v>0</v>
      </c>
      <c r="J89" s="262">
        <f>Alukset_Käynnit!J96</f>
        <v>0</v>
      </c>
      <c r="K89" s="262">
        <f>Alukset_Käynnit!K96</f>
        <v>0</v>
      </c>
      <c r="L89" s="205">
        <f>Alukset_Käynnit!L96</f>
        <v>0</v>
      </c>
      <c r="N89" s="273">
        <f t="shared" si="13"/>
        <v>0</v>
      </c>
      <c r="O89" s="274">
        <f t="shared" si="24"/>
        <v>0</v>
      </c>
      <c r="P89" s="202"/>
      <c r="Q89" s="204">
        <f t="shared" si="14"/>
        <v>0</v>
      </c>
      <c r="R89" s="202">
        <f>IF(Q89="Other dry cargo",L89*Alukset_fx!$B$71,IF(OR(Q89="Dry bulk",Q89="Bulk carrier"),L89*Alukset_fx!$B$69,IF(Q89="Tugboat",L89*Alukset_fx!$B$76,IF(OR(Q89="Tanker",Q89="Gas tanker",Q89="Chemical tanker",Q89="Oil tanker"),L89*Alukset_fx!$B$68,IF(OR(Q89="RoRo",Q89="Vehicle carrier"),L89*Alukset_fx!$B$72,IF(Q89="RoPax",L89*Alukset_fx!$B$73,IF(Q89="Container ship",L89*Alukset_fx!$B$70,IF(Q89="Barge",0,L89*Alukset_fx!$B$75))))))))</f>
        <v>0</v>
      </c>
      <c r="S89" s="210">
        <f>IF(L89=0,IF(Q89="Other dry cargo",Alukset_fx!$H$73*(Alukset_Käynnit_Lask!K89^Alukset_fx!$I$73),IF(OR(Q89="Dry Bulk",Q89="Bulk carrier"),Alukset_fx!$H$71*(Alukset_Käynnit_Lask!K89^Alukset_fx!$I$71),IF(Q89="Tugboat",Alukset_fx!$H$78*(Alukset_Käynnit_Lask!K89^Alukset_fx!$I$78),IF(OR(Q89="Tanker",Q89="Gas tanker",Q89="Chemical tanker",Q89="Oil tanker"),Alukset_fx!$H$70*(Alukset_Käynnit_Lask!K89^Alukset_fx!$I$70),IF(Q89="Container ship",Alukset_fx!$H$72*(Alukset_Käynnit_Lask!K89^Alukset_fx!$I$72),IF(Q89="Barge",0,IF(Q89="RoPax",Alukset_fx!$H$75*(Alukset_Käynnit_Lask!K89^Alukset_fx!$I$75),IF(OR(Q89="RoRo",Q89="Vehicle carrier"),Alukset_fx!$H$74*(Alukset_Käynnit_Lask!K89^Alukset_fx!$I$74),Alukset_fx!$H$77*(Alukset_Käynnit_Lask!K89^Alukset_fx!$I$77))))))))),"-")</f>
        <v>0</v>
      </c>
      <c r="T89" s="208">
        <f>IF(R89=0,IF(Q89="Other dry cargo",S89*Alukset_fx!$B$71,IF(OR(Q89="Dry bulk",Q89="Bulk carrier"),S89*Alukset_fx!$B$69,IF(Q89="Tugboat",S89*Alukset_fx!$B$76,IF(OR(Q89="Tanker",Q89="Gas tanker",Q89="Chemical tanker",Q89="Oil tanker"),S89*Alukset_fx!$B$68,IF(OR(Q89="RoRo",Q89="Vehicle carrier"),S89*Alukset_fx!$B$72,IF(Q89="RoPax",S89*Alukset_fx!$B$73,IF(Q89="Container ship",S89*Alukset_fx!$B$70,S89*Alukset_fx!$B$75))))))),"-")</f>
        <v>0</v>
      </c>
      <c r="U89" s="208">
        <f t="shared" si="15"/>
        <v>0</v>
      </c>
      <c r="V89" s="208">
        <f t="shared" si="16"/>
        <v>0</v>
      </c>
      <c r="W89" s="202">
        <f>Alukset_Käynnit!N96</f>
        <v>0</v>
      </c>
      <c r="X89" s="211">
        <f>IF(Q89="Other dry cargo", Alukset_fx!$C$52, IF(OR(Q89="Dry bulk",Q89="Bulk carrier"),Alukset_fx!$C$35,IF(OR(Q89="Tanker",Q89="Gas tanker",Q89="Oil tanker"),Alukset_fx!$C$57,IF(Q89="Chemical tanker",Alukset_fx!$C$56,IF(OR(Q89="Tugboat",Q89="Barge"),0,IF(Q89="Other vessel",Alukset_fx!$C$54,IF(Q89="Container ship",Alukset_fx!$C$37,IF(OR(Q89="RoPax",Q89="RoRo",Q89="Vehicle carrier"),Alukset_fx!$C$55,0))))))))</f>
        <v>0</v>
      </c>
      <c r="Y89" s="211">
        <f>IF(Q89="Other dry cargo", Alukset_fx!$Q$52, IF(OR(Q89="Dry bulk",Q89="Bulk carrier"),Alukset_fx!$Q$35,IF(OR(Q89="Tanker",Q89="Gas tanker",Q89="Oil tanker"),Alukset_fx!$Q$57,IF(Q89="Chemical tanker",Alukset_fx!$Q$56,IF(OR(Q89="Tugboat",Q89="Barge"),0,IF(Q89="Other vessel",Alukset_fx!$Q$54,IF(Q89="Container ship",Alukset_fx!$Q$37,IF(OR(Q89="RoPax",Q89="RoRo",Q89="Vehicle carrier"),Alukset_fx!$Q$55,0))))))))</f>
        <v>0</v>
      </c>
      <c r="Z89" t="str">
        <f t="shared" si="17"/>
        <v>MDO/MGO</v>
      </c>
      <c r="AA89" t="str">
        <f t="shared" si="18"/>
        <v>MSD</v>
      </c>
      <c r="AB89" t="str">
        <f t="shared" si="19"/>
        <v>MDO/MGO</v>
      </c>
      <c r="AC89" t="str">
        <f t="shared" si="20"/>
        <v>MSD</v>
      </c>
      <c r="AD89" t="str">
        <f t="shared" si="21"/>
        <v>MDO/MGO</v>
      </c>
      <c r="AE89" t="str">
        <f t="shared" si="22"/>
        <v>ST</v>
      </c>
      <c r="AG89">
        <f>Alukset_Käynnit!O96</f>
        <v>0</v>
      </c>
      <c r="AH89" s="207">
        <f>IF(AA89="SSD",((U89*Alukset_fx!$B$24)*Alukset_Käynnit_Lask!W89*(Alukset_fx!$K$49)/1000),IF(AA89="MSD",((U89*Alukset_fx!$B$24)*Alukset_Käynnit_Lask!W89*(Alukset_fx!$K$52)/1000),IF(AA89="HSD",((U89*Alukset_fx!$B$24)*Alukset_Käynnit_Lask!W89*(Alukset_fx!$K$55)/1000),0)))</f>
        <v>0</v>
      </c>
      <c r="AI89" s="207">
        <f>IF(AC89="MSD",((V89*Alukset_fx!$B$25)*Alukset_Käynnit_Lask!W89*(Alukset_fx!$L$52)/1000),IF(AC89="HSD",((V89*Alukset_fx!$B$25)*Alukset_Käynnit_Lask!W89*(Alukset_fx!$L$55)/1000),0))</f>
        <v>0</v>
      </c>
      <c r="AJ89" s="207">
        <f>X89*W89*Alukset_fx!$K$61/1000</f>
        <v>0</v>
      </c>
      <c r="AK89">
        <v>0</v>
      </c>
      <c r="AL89" s="207">
        <f>IF(AG89="Käytetty",0,IF(AC89="MSD",((V89*Alukset_fx!$O$25)*Alukset_Käynnit_Lask!O89*(Alukset_fx!$L$52)/1000),IF(AC89="HSD",((V89*Alukset_fx!$O$25)*Alukset_Käynnit_Lask!O89*(Alukset_fx!$L$55)/1000),0)))</f>
        <v>0</v>
      </c>
      <c r="AM89" s="207">
        <f>IF(AG89="Käytetty",0,Y89*O89*Alukset_fx!$K$61/1000)</f>
        <v>0</v>
      </c>
      <c r="AN89" s="213">
        <f t="shared" si="23"/>
        <v>0</v>
      </c>
    </row>
    <row r="90" spans="1:40" x14ac:dyDescent="0.25">
      <c r="A90" s="203">
        <f>Alukset_Käynnit!A97</f>
        <v>0</v>
      </c>
      <c r="B90" s="203">
        <f>Alukset_Käynnit!B97</f>
        <v>0</v>
      </c>
      <c r="C90" s="262">
        <f>Alukset_Käynnit!C97</f>
        <v>0</v>
      </c>
      <c r="D90" s="266">
        <f>Alukset_Käynnit!D97</f>
        <v>0</v>
      </c>
      <c r="E90" s="262">
        <f>Alukset_Käynnit!E97</f>
        <v>0</v>
      </c>
      <c r="F90" s="262">
        <f>Alukset_Käynnit!F97</f>
        <v>0</v>
      </c>
      <c r="G90" s="262">
        <f>Alukset_Käynnit!G97</f>
        <v>0</v>
      </c>
      <c r="H90" s="262">
        <f>Alukset_Käynnit!H97</f>
        <v>0</v>
      </c>
      <c r="I90" s="262">
        <f>Alukset_Käynnit!I97</f>
        <v>0</v>
      </c>
      <c r="J90" s="262">
        <f>Alukset_Käynnit!J97</f>
        <v>0</v>
      </c>
      <c r="K90" s="262">
        <f>Alukset_Käynnit!K97</f>
        <v>0</v>
      </c>
      <c r="L90" s="205">
        <f>Alukset_Käynnit!L97</f>
        <v>0</v>
      </c>
      <c r="N90" s="273">
        <f t="shared" si="13"/>
        <v>0</v>
      </c>
      <c r="O90" s="274">
        <f t="shared" si="24"/>
        <v>0</v>
      </c>
      <c r="P90" s="202"/>
      <c r="Q90" s="204">
        <f t="shared" si="14"/>
        <v>0</v>
      </c>
      <c r="R90" s="202">
        <f>IF(Q90="Other dry cargo",L90*Alukset_fx!$B$71,IF(OR(Q90="Dry bulk",Q90="Bulk carrier"),L90*Alukset_fx!$B$69,IF(Q90="Tugboat",L90*Alukset_fx!$B$76,IF(OR(Q90="Tanker",Q90="Gas tanker",Q90="Chemical tanker",Q90="Oil tanker"),L90*Alukset_fx!$B$68,IF(OR(Q90="RoRo",Q90="Vehicle carrier"),L90*Alukset_fx!$B$72,IF(Q90="RoPax",L90*Alukset_fx!$B$73,IF(Q90="Container ship",L90*Alukset_fx!$B$70,IF(Q90="Barge",0,L90*Alukset_fx!$B$75))))))))</f>
        <v>0</v>
      </c>
      <c r="S90" s="210">
        <f>IF(L90=0,IF(Q90="Other dry cargo",Alukset_fx!$H$73*(Alukset_Käynnit_Lask!K90^Alukset_fx!$I$73),IF(OR(Q90="Dry Bulk",Q90="Bulk carrier"),Alukset_fx!$H$71*(Alukset_Käynnit_Lask!K90^Alukset_fx!$I$71),IF(Q90="Tugboat",Alukset_fx!$H$78*(Alukset_Käynnit_Lask!K90^Alukset_fx!$I$78),IF(OR(Q90="Tanker",Q90="Gas tanker",Q90="Chemical tanker",Q90="Oil tanker"),Alukset_fx!$H$70*(Alukset_Käynnit_Lask!K90^Alukset_fx!$I$70),IF(Q90="Container ship",Alukset_fx!$H$72*(Alukset_Käynnit_Lask!K90^Alukset_fx!$I$72),IF(Q90="Barge",0,IF(Q90="RoPax",Alukset_fx!$H$75*(Alukset_Käynnit_Lask!K90^Alukset_fx!$I$75),IF(OR(Q90="RoRo",Q90="Vehicle carrier"),Alukset_fx!$H$74*(Alukset_Käynnit_Lask!K90^Alukset_fx!$I$74),Alukset_fx!$H$77*(Alukset_Käynnit_Lask!K90^Alukset_fx!$I$77))))))))),"-")</f>
        <v>0</v>
      </c>
      <c r="T90" s="208">
        <f>IF(R90=0,IF(Q90="Other dry cargo",S90*Alukset_fx!$B$71,IF(OR(Q90="Dry bulk",Q90="Bulk carrier"),S90*Alukset_fx!$B$69,IF(Q90="Tugboat",S90*Alukset_fx!$B$76,IF(OR(Q90="Tanker",Q90="Gas tanker",Q90="Chemical tanker",Q90="Oil tanker"),S90*Alukset_fx!$B$68,IF(OR(Q90="RoRo",Q90="Vehicle carrier"),S90*Alukset_fx!$B$72,IF(Q90="RoPax",S90*Alukset_fx!$B$73,IF(Q90="Container ship",S90*Alukset_fx!$B$70,S90*Alukset_fx!$B$75))))))),"-")</f>
        <v>0</v>
      </c>
      <c r="U90" s="208">
        <f t="shared" si="15"/>
        <v>0</v>
      </c>
      <c r="V90" s="208">
        <f t="shared" si="16"/>
        <v>0</v>
      </c>
      <c r="W90" s="202">
        <f>Alukset_Käynnit!N97</f>
        <v>0</v>
      </c>
      <c r="X90" s="211">
        <f>IF(Q90="Other dry cargo", Alukset_fx!$C$52, IF(OR(Q90="Dry bulk",Q90="Bulk carrier"),Alukset_fx!$C$35,IF(OR(Q90="Tanker",Q90="Gas tanker",Q90="Oil tanker"),Alukset_fx!$C$57,IF(Q90="Chemical tanker",Alukset_fx!$C$56,IF(OR(Q90="Tugboat",Q90="Barge"),0,IF(Q90="Other vessel",Alukset_fx!$C$54,IF(Q90="Container ship",Alukset_fx!$C$37,IF(OR(Q90="RoPax",Q90="RoRo",Q90="Vehicle carrier"),Alukset_fx!$C$55,0))))))))</f>
        <v>0</v>
      </c>
      <c r="Y90" s="211">
        <f>IF(Q90="Other dry cargo", Alukset_fx!$Q$52, IF(OR(Q90="Dry bulk",Q90="Bulk carrier"),Alukset_fx!$Q$35,IF(OR(Q90="Tanker",Q90="Gas tanker",Q90="Oil tanker"),Alukset_fx!$Q$57,IF(Q90="Chemical tanker",Alukset_fx!$Q$56,IF(OR(Q90="Tugboat",Q90="Barge"),0,IF(Q90="Other vessel",Alukset_fx!$Q$54,IF(Q90="Container ship",Alukset_fx!$Q$37,IF(OR(Q90="RoPax",Q90="RoRo",Q90="Vehicle carrier"),Alukset_fx!$Q$55,0))))))))</f>
        <v>0</v>
      </c>
      <c r="Z90" t="str">
        <f t="shared" si="17"/>
        <v>MDO/MGO</v>
      </c>
      <c r="AA90" t="str">
        <f t="shared" si="18"/>
        <v>MSD</v>
      </c>
      <c r="AB90" t="str">
        <f t="shared" si="19"/>
        <v>MDO/MGO</v>
      </c>
      <c r="AC90" t="str">
        <f t="shared" si="20"/>
        <v>MSD</v>
      </c>
      <c r="AD90" t="str">
        <f t="shared" si="21"/>
        <v>MDO/MGO</v>
      </c>
      <c r="AE90" t="str">
        <f t="shared" si="22"/>
        <v>ST</v>
      </c>
      <c r="AG90">
        <f>Alukset_Käynnit!O97</f>
        <v>0</v>
      </c>
      <c r="AH90" s="207">
        <f>IF(AA90="SSD",((U90*Alukset_fx!$B$24)*Alukset_Käynnit_Lask!W90*(Alukset_fx!$K$49)/1000),IF(AA90="MSD",((U90*Alukset_fx!$B$24)*Alukset_Käynnit_Lask!W90*(Alukset_fx!$K$52)/1000),IF(AA90="HSD",((U90*Alukset_fx!$B$24)*Alukset_Käynnit_Lask!W90*(Alukset_fx!$K$55)/1000),0)))</f>
        <v>0</v>
      </c>
      <c r="AI90" s="207">
        <f>IF(AC90="MSD",((V90*Alukset_fx!$B$25)*Alukset_Käynnit_Lask!W90*(Alukset_fx!$L$52)/1000),IF(AC90="HSD",((V90*Alukset_fx!$B$25)*Alukset_Käynnit_Lask!W90*(Alukset_fx!$L$55)/1000),0))</f>
        <v>0</v>
      </c>
      <c r="AJ90" s="207">
        <f>X90*W90*Alukset_fx!$K$61/1000</f>
        <v>0</v>
      </c>
      <c r="AK90">
        <v>0</v>
      </c>
      <c r="AL90" s="207">
        <f>IF(AG90="Käytetty",0,IF(AC90="MSD",((V90*Alukset_fx!$O$25)*Alukset_Käynnit_Lask!O90*(Alukset_fx!$L$52)/1000),IF(AC90="HSD",((V90*Alukset_fx!$O$25)*Alukset_Käynnit_Lask!O90*(Alukset_fx!$L$55)/1000),0)))</f>
        <v>0</v>
      </c>
      <c r="AM90" s="207">
        <f>IF(AG90="Käytetty",0,Y90*O90*Alukset_fx!$K$61/1000)</f>
        <v>0</v>
      </c>
      <c r="AN90" s="213">
        <f t="shared" si="23"/>
        <v>0</v>
      </c>
    </row>
    <row r="91" spans="1:40" x14ac:dyDescent="0.25">
      <c r="A91" s="203">
        <f>Alukset_Käynnit!A98</f>
        <v>0</v>
      </c>
      <c r="B91" s="203">
        <f>Alukset_Käynnit!B98</f>
        <v>0</v>
      </c>
      <c r="C91" s="262">
        <f>Alukset_Käynnit!C98</f>
        <v>0</v>
      </c>
      <c r="D91" s="266">
        <f>Alukset_Käynnit!D98</f>
        <v>0</v>
      </c>
      <c r="E91" s="262">
        <f>Alukset_Käynnit!E98</f>
        <v>0</v>
      </c>
      <c r="F91" s="262">
        <f>Alukset_Käynnit!F98</f>
        <v>0</v>
      </c>
      <c r="G91" s="262">
        <f>Alukset_Käynnit!G98</f>
        <v>0</v>
      </c>
      <c r="H91" s="262">
        <f>Alukset_Käynnit!H98</f>
        <v>0</v>
      </c>
      <c r="I91" s="262">
        <f>Alukset_Käynnit!I98</f>
        <v>0</v>
      </c>
      <c r="J91" s="262">
        <f>Alukset_Käynnit!J98</f>
        <v>0</v>
      </c>
      <c r="K91" s="262">
        <f>Alukset_Käynnit!K98</f>
        <v>0</v>
      </c>
      <c r="L91" s="205">
        <f>Alukset_Käynnit!L98</f>
        <v>0</v>
      </c>
      <c r="N91" s="273">
        <f t="shared" si="13"/>
        <v>0</v>
      </c>
      <c r="O91" s="274">
        <f t="shared" si="24"/>
        <v>0</v>
      </c>
      <c r="P91" s="202"/>
      <c r="Q91" s="204">
        <f t="shared" si="14"/>
        <v>0</v>
      </c>
      <c r="R91" s="202">
        <f>IF(Q91="Other dry cargo",L91*Alukset_fx!$B$71,IF(OR(Q91="Dry bulk",Q91="Bulk carrier"),L91*Alukset_fx!$B$69,IF(Q91="Tugboat",L91*Alukset_fx!$B$76,IF(OR(Q91="Tanker",Q91="Gas tanker",Q91="Chemical tanker",Q91="Oil tanker"),L91*Alukset_fx!$B$68,IF(OR(Q91="RoRo",Q91="Vehicle carrier"),L91*Alukset_fx!$B$72,IF(Q91="RoPax",L91*Alukset_fx!$B$73,IF(Q91="Container ship",L91*Alukset_fx!$B$70,IF(Q91="Barge",0,L91*Alukset_fx!$B$75))))))))</f>
        <v>0</v>
      </c>
      <c r="S91" s="210">
        <f>IF(L91=0,IF(Q91="Other dry cargo",Alukset_fx!$H$73*(Alukset_Käynnit_Lask!K91^Alukset_fx!$I$73),IF(OR(Q91="Dry Bulk",Q91="Bulk carrier"),Alukset_fx!$H$71*(Alukset_Käynnit_Lask!K91^Alukset_fx!$I$71),IF(Q91="Tugboat",Alukset_fx!$H$78*(Alukset_Käynnit_Lask!K91^Alukset_fx!$I$78),IF(OR(Q91="Tanker",Q91="Gas tanker",Q91="Chemical tanker",Q91="Oil tanker"),Alukset_fx!$H$70*(Alukset_Käynnit_Lask!K91^Alukset_fx!$I$70),IF(Q91="Container ship",Alukset_fx!$H$72*(Alukset_Käynnit_Lask!K91^Alukset_fx!$I$72),IF(Q91="Barge",0,IF(Q91="RoPax",Alukset_fx!$H$75*(Alukset_Käynnit_Lask!K91^Alukset_fx!$I$75),IF(OR(Q91="RoRo",Q91="Vehicle carrier"),Alukset_fx!$H$74*(Alukset_Käynnit_Lask!K91^Alukset_fx!$I$74),Alukset_fx!$H$77*(Alukset_Käynnit_Lask!K91^Alukset_fx!$I$77))))))))),"-")</f>
        <v>0</v>
      </c>
      <c r="T91" s="208">
        <f>IF(R91=0,IF(Q91="Other dry cargo",S91*Alukset_fx!$B$71,IF(OR(Q91="Dry bulk",Q91="Bulk carrier"),S91*Alukset_fx!$B$69,IF(Q91="Tugboat",S91*Alukset_fx!$B$76,IF(OR(Q91="Tanker",Q91="Gas tanker",Q91="Chemical tanker",Q91="Oil tanker"),S91*Alukset_fx!$B$68,IF(OR(Q91="RoRo",Q91="Vehicle carrier"),S91*Alukset_fx!$B$72,IF(Q91="RoPax",S91*Alukset_fx!$B$73,IF(Q91="Container ship",S91*Alukset_fx!$B$70,S91*Alukset_fx!$B$75))))))),"-")</f>
        <v>0</v>
      </c>
      <c r="U91" s="208">
        <f t="shared" si="15"/>
        <v>0</v>
      </c>
      <c r="V91" s="208">
        <f t="shared" si="16"/>
        <v>0</v>
      </c>
      <c r="W91" s="202">
        <f>Alukset_Käynnit!N98</f>
        <v>0</v>
      </c>
      <c r="X91" s="211">
        <f>IF(Q91="Other dry cargo", Alukset_fx!$C$52, IF(OR(Q91="Dry bulk",Q91="Bulk carrier"),Alukset_fx!$C$35,IF(OR(Q91="Tanker",Q91="Gas tanker",Q91="Oil tanker"),Alukset_fx!$C$57,IF(Q91="Chemical tanker",Alukset_fx!$C$56,IF(OR(Q91="Tugboat",Q91="Barge"),0,IF(Q91="Other vessel",Alukset_fx!$C$54,IF(Q91="Container ship",Alukset_fx!$C$37,IF(OR(Q91="RoPax",Q91="RoRo",Q91="Vehicle carrier"),Alukset_fx!$C$55,0))))))))</f>
        <v>0</v>
      </c>
      <c r="Y91" s="211">
        <f>IF(Q91="Other dry cargo", Alukset_fx!$Q$52, IF(OR(Q91="Dry bulk",Q91="Bulk carrier"),Alukset_fx!$Q$35,IF(OR(Q91="Tanker",Q91="Gas tanker",Q91="Oil tanker"),Alukset_fx!$Q$57,IF(Q91="Chemical tanker",Alukset_fx!$Q$56,IF(OR(Q91="Tugboat",Q91="Barge"),0,IF(Q91="Other vessel",Alukset_fx!$Q$54,IF(Q91="Container ship",Alukset_fx!$Q$37,IF(OR(Q91="RoPax",Q91="RoRo",Q91="Vehicle carrier"),Alukset_fx!$Q$55,0))))))))</f>
        <v>0</v>
      </c>
      <c r="Z91" t="str">
        <f t="shared" si="17"/>
        <v>MDO/MGO</v>
      </c>
      <c r="AA91" t="str">
        <f t="shared" si="18"/>
        <v>MSD</v>
      </c>
      <c r="AB91" t="str">
        <f t="shared" si="19"/>
        <v>MDO/MGO</v>
      </c>
      <c r="AC91" t="str">
        <f t="shared" si="20"/>
        <v>MSD</v>
      </c>
      <c r="AD91" t="str">
        <f t="shared" si="21"/>
        <v>MDO/MGO</v>
      </c>
      <c r="AE91" t="str">
        <f t="shared" si="22"/>
        <v>ST</v>
      </c>
      <c r="AG91">
        <f>Alukset_Käynnit!O98</f>
        <v>0</v>
      </c>
      <c r="AH91" s="207">
        <f>IF(AA91="SSD",((U91*Alukset_fx!$B$24)*Alukset_Käynnit_Lask!W91*(Alukset_fx!$K$49)/1000),IF(AA91="MSD",((U91*Alukset_fx!$B$24)*Alukset_Käynnit_Lask!W91*(Alukset_fx!$K$52)/1000),IF(AA91="HSD",((U91*Alukset_fx!$B$24)*Alukset_Käynnit_Lask!W91*(Alukset_fx!$K$55)/1000),0)))</f>
        <v>0</v>
      </c>
      <c r="AI91" s="207">
        <f>IF(AC91="MSD",((V91*Alukset_fx!$B$25)*Alukset_Käynnit_Lask!W91*(Alukset_fx!$L$52)/1000),IF(AC91="HSD",((V91*Alukset_fx!$B$25)*Alukset_Käynnit_Lask!W91*(Alukset_fx!$L$55)/1000),0))</f>
        <v>0</v>
      </c>
      <c r="AJ91" s="207">
        <f>X91*W91*Alukset_fx!$K$61/1000</f>
        <v>0</v>
      </c>
      <c r="AK91">
        <v>0</v>
      </c>
      <c r="AL91" s="207">
        <f>IF(AG91="Käytetty",0,IF(AC91="MSD",((V91*Alukset_fx!$O$25)*Alukset_Käynnit_Lask!O91*(Alukset_fx!$L$52)/1000),IF(AC91="HSD",((V91*Alukset_fx!$O$25)*Alukset_Käynnit_Lask!O91*(Alukset_fx!$L$55)/1000),0)))</f>
        <v>0</v>
      </c>
      <c r="AM91" s="207">
        <f>IF(AG91="Käytetty",0,Y91*O91*Alukset_fx!$K$61/1000)</f>
        <v>0</v>
      </c>
      <c r="AN91" s="213">
        <f t="shared" si="23"/>
        <v>0</v>
      </c>
    </row>
    <row r="92" spans="1:40" x14ac:dyDescent="0.25">
      <c r="A92" s="203">
        <f>Alukset_Käynnit!A99</f>
        <v>0</v>
      </c>
      <c r="B92" s="203">
        <f>Alukset_Käynnit!B99</f>
        <v>0</v>
      </c>
      <c r="C92" s="262">
        <f>Alukset_Käynnit!C99</f>
        <v>0</v>
      </c>
      <c r="D92" s="266">
        <f>Alukset_Käynnit!D99</f>
        <v>0</v>
      </c>
      <c r="E92" s="262">
        <f>Alukset_Käynnit!E99</f>
        <v>0</v>
      </c>
      <c r="F92" s="262">
        <f>Alukset_Käynnit!F99</f>
        <v>0</v>
      </c>
      <c r="G92" s="262">
        <f>Alukset_Käynnit!G99</f>
        <v>0</v>
      </c>
      <c r="H92" s="262">
        <f>Alukset_Käynnit!H99</f>
        <v>0</v>
      </c>
      <c r="I92" s="262">
        <f>Alukset_Käynnit!I99</f>
        <v>0</v>
      </c>
      <c r="J92" s="262">
        <f>Alukset_Käynnit!J99</f>
        <v>0</v>
      </c>
      <c r="K92" s="262">
        <f>Alukset_Käynnit!K99</f>
        <v>0</v>
      </c>
      <c r="L92" s="205">
        <f>Alukset_Käynnit!L99</f>
        <v>0</v>
      </c>
      <c r="N92" s="275">
        <f t="shared" si="13"/>
        <v>0</v>
      </c>
      <c r="O92" s="276">
        <f t="shared" si="24"/>
        <v>0</v>
      </c>
      <c r="P92" s="202"/>
      <c r="Q92" s="204">
        <f t="shared" si="14"/>
        <v>0</v>
      </c>
      <c r="R92" s="202">
        <f>IF(Q92="Other dry cargo",L92*Alukset_fx!$B$71,IF(OR(Q92="Dry bulk",Q92="Bulk carrier"),L92*Alukset_fx!$B$69,IF(Q92="Tugboat",L92*Alukset_fx!$B$76,IF(OR(Q92="Tanker",Q92="Gas tanker",Q92="Chemical tanker",Q92="Oil tanker"),L92*Alukset_fx!$B$68,IF(OR(Q92="RoRo",Q92="Vehicle carrier"),L92*Alukset_fx!$B$72,IF(Q92="RoPax",L92*Alukset_fx!$B$73,IF(Q92="Container ship",L92*Alukset_fx!$B$70,IF(Q92="Barge",0,L92*Alukset_fx!$B$75))))))))</f>
        <v>0</v>
      </c>
      <c r="S92" s="210">
        <f>IF(L92=0,IF(Q92="Other dry cargo",Alukset_fx!$H$73*(Alukset_Käynnit_Lask!K92^Alukset_fx!$I$73),IF(OR(Q92="Dry Bulk",Q92="Bulk carrier"),Alukset_fx!$H$71*(Alukset_Käynnit_Lask!K92^Alukset_fx!$I$71),IF(Q92="Tugboat",Alukset_fx!$H$78*(Alukset_Käynnit_Lask!K92^Alukset_fx!$I$78),IF(OR(Q92="Tanker",Q92="Gas tanker",Q92="Chemical tanker",Q92="Oil tanker"),Alukset_fx!$H$70*(Alukset_Käynnit_Lask!K92^Alukset_fx!$I$70),IF(Q92="Container ship",Alukset_fx!$H$72*(Alukset_Käynnit_Lask!K92^Alukset_fx!$I$72),IF(Q92="Barge",0,IF(Q92="RoPax",Alukset_fx!$H$75*(Alukset_Käynnit_Lask!K92^Alukset_fx!$I$75),IF(OR(Q92="RoRo",Q92="Vehicle carrier"),Alukset_fx!$H$74*(Alukset_Käynnit_Lask!K92^Alukset_fx!$I$74),Alukset_fx!$H$77*(Alukset_Käynnit_Lask!K92^Alukset_fx!$I$77))))))))),"-")</f>
        <v>0</v>
      </c>
      <c r="T92" s="208">
        <f>IF(R92=0,IF(Q92="Other dry cargo",S92*Alukset_fx!$B$71,IF(OR(Q92="Dry bulk",Q92="Bulk carrier"),S92*Alukset_fx!$B$69,IF(Q92="Tugboat",S92*Alukset_fx!$B$76,IF(OR(Q92="Tanker",Q92="Gas tanker",Q92="Chemical tanker",Q92="Oil tanker"),S92*Alukset_fx!$B$68,IF(OR(Q92="RoRo",Q92="Vehicle carrier"),S92*Alukset_fx!$B$72,IF(Q92="RoPax",S92*Alukset_fx!$B$73,IF(Q92="Container ship",S92*Alukset_fx!$B$70,S92*Alukset_fx!$B$75))))))),"-")</f>
        <v>0</v>
      </c>
      <c r="U92" s="208">
        <f t="shared" si="15"/>
        <v>0</v>
      </c>
      <c r="V92" s="208">
        <f t="shared" si="16"/>
        <v>0</v>
      </c>
      <c r="W92" s="202">
        <f>Alukset_Käynnit!N99</f>
        <v>0</v>
      </c>
      <c r="X92" s="211">
        <f>IF(Q92="Other dry cargo", Alukset_fx!$C$52, IF(OR(Q92="Dry bulk",Q92="Bulk carrier"),Alukset_fx!$C$35,IF(OR(Q92="Tanker",Q92="Gas tanker",Q92="Oil tanker"),Alukset_fx!$C$57,IF(Q92="Chemical tanker",Alukset_fx!$C$56,IF(OR(Q92="Tugboat",Q92="Barge"),0,IF(Q92="Other vessel",Alukset_fx!$C$54,IF(Q92="Container ship",Alukset_fx!$C$37,IF(OR(Q92="RoPax",Q92="RoRo",Q92="Vehicle carrier"),Alukset_fx!$C$55,0))))))))</f>
        <v>0</v>
      </c>
      <c r="Y92" s="211">
        <f>IF(Q92="Other dry cargo", Alukset_fx!$Q$52, IF(OR(Q92="Dry bulk",Q92="Bulk carrier"),Alukset_fx!$Q$35,IF(OR(Q92="Tanker",Q92="Gas tanker",Q92="Oil tanker"),Alukset_fx!$Q$57,IF(Q92="Chemical tanker",Alukset_fx!$Q$56,IF(OR(Q92="Tugboat",Q92="Barge"),0,IF(Q92="Other vessel",Alukset_fx!$Q$54,IF(Q92="Container ship",Alukset_fx!$Q$37,IF(OR(Q92="RoPax",Q92="RoRo",Q92="Vehicle carrier"),Alukset_fx!$Q$55,0))))))))</f>
        <v>0</v>
      </c>
      <c r="Z92" t="str">
        <f t="shared" si="17"/>
        <v>MDO/MGO</v>
      </c>
      <c r="AA92" t="str">
        <f t="shared" si="18"/>
        <v>MSD</v>
      </c>
      <c r="AB92" t="str">
        <f t="shared" si="19"/>
        <v>MDO/MGO</v>
      </c>
      <c r="AC92" t="str">
        <f t="shared" si="20"/>
        <v>MSD</v>
      </c>
      <c r="AD92" t="str">
        <f t="shared" si="21"/>
        <v>MDO/MGO</v>
      </c>
      <c r="AE92" t="str">
        <f t="shared" si="22"/>
        <v>ST</v>
      </c>
      <c r="AG92">
        <f>Alukset_Käynnit!O99</f>
        <v>0</v>
      </c>
      <c r="AH92" s="207">
        <f>IF(AA92="SSD",((U92*Alukset_fx!$B$24)*Alukset_Käynnit_Lask!W92*(Alukset_fx!$K$49)/1000),IF(AA92="MSD",((U92*Alukset_fx!$B$24)*Alukset_Käynnit_Lask!W92*(Alukset_fx!$K$52)/1000),IF(AA92="HSD",((U92*Alukset_fx!$B$24)*Alukset_Käynnit_Lask!W92*(Alukset_fx!$K$55)/1000),0)))</f>
        <v>0</v>
      </c>
      <c r="AI92" s="207">
        <f>IF(AC92="MSD",((V92*Alukset_fx!$B$25)*Alukset_Käynnit_Lask!W92*(Alukset_fx!$L$52)/1000),IF(AC92="HSD",((V92*Alukset_fx!$B$25)*Alukset_Käynnit_Lask!W92*(Alukset_fx!$L$55)/1000),0))</f>
        <v>0</v>
      </c>
      <c r="AJ92" s="207">
        <f>X92*W92*Alukset_fx!$K$61/1000</f>
        <v>0</v>
      </c>
      <c r="AK92">
        <v>0</v>
      </c>
      <c r="AL92" s="207">
        <f>IF(AG92="Käytetty",0,IF(AC92="MSD",((V92*Alukset_fx!$O$25)*Alukset_Käynnit_Lask!O92*(Alukset_fx!$L$52)/1000),IF(AC92="HSD",((V92*Alukset_fx!$O$25)*Alukset_Käynnit_Lask!O92*(Alukset_fx!$L$55)/1000),0)))</f>
        <v>0</v>
      </c>
      <c r="AM92" s="207">
        <f>IF(AG92="Käytetty",0,Y92*O92*Alukset_fx!$K$61/1000)</f>
        <v>0</v>
      </c>
      <c r="AN92" s="213">
        <f t="shared" si="23"/>
        <v>0</v>
      </c>
    </row>
    <row r="93" spans="1:40" x14ac:dyDescent="0.25">
      <c r="A93" s="203">
        <f>Alukset_Käynnit!A100</f>
        <v>0</v>
      </c>
      <c r="B93" s="203">
        <f>Alukset_Käynnit!B100</f>
        <v>0</v>
      </c>
      <c r="C93" s="262">
        <f>Alukset_Käynnit!C100</f>
        <v>0</v>
      </c>
      <c r="D93" s="266">
        <f>Alukset_Käynnit!D100</f>
        <v>0</v>
      </c>
      <c r="E93" s="262">
        <f>Alukset_Käynnit!E100</f>
        <v>0</v>
      </c>
      <c r="F93" s="262">
        <f>Alukset_Käynnit!F100</f>
        <v>0</v>
      </c>
      <c r="G93" s="262">
        <f>Alukset_Käynnit!G100</f>
        <v>0</v>
      </c>
      <c r="H93" s="262">
        <f>Alukset_Käynnit!H100</f>
        <v>0</v>
      </c>
      <c r="I93" s="262">
        <f>Alukset_Käynnit!I100</f>
        <v>0</v>
      </c>
      <c r="J93" s="262">
        <f>Alukset_Käynnit!J100</f>
        <v>0</v>
      </c>
      <c r="K93" s="262">
        <f>Alukset_Käynnit!K100</f>
        <v>0</v>
      </c>
      <c r="L93" s="205">
        <f>Alukset_Käynnit!L100</f>
        <v>0</v>
      </c>
      <c r="N93" s="275">
        <f t="shared" si="13"/>
        <v>0</v>
      </c>
      <c r="O93" s="276">
        <f t="shared" si="24"/>
        <v>0</v>
      </c>
      <c r="P93" s="202"/>
      <c r="Q93" s="204">
        <f t="shared" si="14"/>
        <v>0</v>
      </c>
      <c r="R93" s="202">
        <f>IF(Q93="Other dry cargo",L93*Alukset_fx!$B$71,IF(OR(Q93="Dry bulk",Q93="Bulk carrier"),L93*Alukset_fx!$B$69,IF(Q93="Tugboat",L93*Alukset_fx!$B$76,IF(OR(Q93="Tanker",Q93="Gas tanker",Q93="Chemical tanker",Q93="Oil tanker"),L93*Alukset_fx!$B$68,IF(OR(Q93="RoRo",Q93="Vehicle carrier"),L93*Alukset_fx!$B$72,IF(Q93="RoPax",L93*Alukset_fx!$B$73,IF(Q93="Container ship",L93*Alukset_fx!$B$70,IF(Q93="Barge",0,L93*Alukset_fx!$B$75))))))))</f>
        <v>0</v>
      </c>
      <c r="S93" s="210">
        <f>IF(L93=0,IF(Q93="Other dry cargo",Alukset_fx!$H$73*(Alukset_Käynnit_Lask!K93^Alukset_fx!$I$73),IF(OR(Q93="Dry Bulk",Q93="Bulk carrier"),Alukset_fx!$H$71*(Alukset_Käynnit_Lask!K93^Alukset_fx!$I$71),IF(Q93="Tugboat",Alukset_fx!$H$78*(Alukset_Käynnit_Lask!K93^Alukset_fx!$I$78),IF(OR(Q93="Tanker",Q93="Gas tanker",Q93="Chemical tanker",Q93="Oil tanker"),Alukset_fx!$H$70*(Alukset_Käynnit_Lask!K93^Alukset_fx!$I$70),IF(Q93="Container ship",Alukset_fx!$H$72*(Alukset_Käynnit_Lask!K93^Alukset_fx!$I$72),IF(Q93="Barge",0,IF(Q93="RoPax",Alukset_fx!$H$75*(Alukset_Käynnit_Lask!K93^Alukset_fx!$I$75),IF(OR(Q93="RoRo",Q93="Vehicle carrier"),Alukset_fx!$H$74*(Alukset_Käynnit_Lask!K93^Alukset_fx!$I$74),Alukset_fx!$H$77*(Alukset_Käynnit_Lask!K93^Alukset_fx!$I$77))))))))),"-")</f>
        <v>0</v>
      </c>
      <c r="T93" s="208">
        <f>IF(R93=0,IF(Q93="Other dry cargo",S93*Alukset_fx!$B$71,IF(OR(Q93="Dry bulk",Q93="Bulk carrier"),S93*Alukset_fx!$B$69,IF(Q93="Tugboat",S93*Alukset_fx!$B$76,IF(OR(Q93="Tanker",Q93="Gas tanker",Q93="Chemical tanker",Q93="Oil tanker"),S93*Alukset_fx!$B$68,IF(OR(Q93="RoRo",Q93="Vehicle carrier"),S93*Alukset_fx!$B$72,IF(Q93="RoPax",S93*Alukset_fx!$B$73,IF(Q93="Container ship",S93*Alukset_fx!$B$70,S93*Alukset_fx!$B$75))))))),"-")</f>
        <v>0</v>
      </c>
      <c r="U93" s="208">
        <f t="shared" si="15"/>
        <v>0</v>
      </c>
      <c r="V93" s="208">
        <f t="shared" si="16"/>
        <v>0</v>
      </c>
      <c r="W93" s="202">
        <f>Alukset_Käynnit!N100</f>
        <v>0</v>
      </c>
      <c r="X93" s="211">
        <f>IF(Q93="Other dry cargo", Alukset_fx!$C$52, IF(OR(Q93="Dry bulk",Q93="Bulk carrier"),Alukset_fx!$C$35,IF(OR(Q93="Tanker",Q93="Gas tanker",Q93="Oil tanker"),Alukset_fx!$C$57,IF(Q93="Chemical tanker",Alukset_fx!$C$56,IF(OR(Q93="Tugboat",Q93="Barge"),0,IF(Q93="Other vessel",Alukset_fx!$C$54,IF(Q93="Container ship",Alukset_fx!$C$37,IF(OR(Q93="RoPax",Q93="RoRo",Q93="Vehicle carrier"),Alukset_fx!$C$55,0))))))))</f>
        <v>0</v>
      </c>
      <c r="Y93" s="211">
        <f>IF(Q93="Other dry cargo", Alukset_fx!$Q$52, IF(OR(Q93="Dry bulk",Q93="Bulk carrier"),Alukset_fx!$Q$35,IF(OR(Q93="Tanker",Q93="Gas tanker",Q93="Oil tanker"),Alukset_fx!$Q$57,IF(Q93="Chemical tanker",Alukset_fx!$Q$56,IF(OR(Q93="Tugboat",Q93="Barge"),0,IF(Q93="Other vessel",Alukset_fx!$Q$54,IF(Q93="Container ship",Alukset_fx!$Q$37,IF(OR(Q93="RoPax",Q93="RoRo",Q93="Vehicle carrier"),Alukset_fx!$Q$55,0))))))))</f>
        <v>0</v>
      </c>
      <c r="Z93" t="str">
        <f t="shared" si="17"/>
        <v>MDO/MGO</v>
      </c>
      <c r="AA93" t="str">
        <f t="shared" si="18"/>
        <v>MSD</v>
      </c>
      <c r="AB93" t="str">
        <f t="shared" si="19"/>
        <v>MDO/MGO</v>
      </c>
      <c r="AC93" t="str">
        <f t="shared" si="20"/>
        <v>MSD</v>
      </c>
      <c r="AD93" t="str">
        <f t="shared" si="21"/>
        <v>MDO/MGO</v>
      </c>
      <c r="AE93" t="str">
        <f t="shared" si="22"/>
        <v>ST</v>
      </c>
      <c r="AG93">
        <f>Alukset_Käynnit!O100</f>
        <v>0</v>
      </c>
      <c r="AH93" s="207">
        <f>IF(AA93="SSD",((U93*Alukset_fx!$B$24)*Alukset_Käynnit_Lask!W93*(Alukset_fx!$K$49)/1000),IF(AA93="MSD",((U93*Alukset_fx!$B$24)*Alukset_Käynnit_Lask!W93*(Alukset_fx!$K$52)/1000),IF(AA93="HSD",((U93*Alukset_fx!$B$24)*Alukset_Käynnit_Lask!W93*(Alukset_fx!$K$55)/1000),0)))</f>
        <v>0</v>
      </c>
      <c r="AI93" s="207">
        <f>IF(AC93="MSD",((V93*Alukset_fx!$B$25)*Alukset_Käynnit_Lask!W93*(Alukset_fx!$L$52)/1000),IF(AC93="HSD",((V93*Alukset_fx!$B$25)*Alukset_Käynnit_Lask!W93*(Alukset_fx!$L$55)/1000),0))</f>
        <v>0</v>
      </c>
      <c r="AJ93" s="207">
        <f>X93*W93*Alukset_fx!$K$61/1000</f>
        <v>0</v>
      </c>
      <c r="AK93">
        <v>0</v>
      </c>
      <c r="AL93" s="207">
        <f>IF(AG93="Käytetty",0,IF(AC93="MSD",((V93*Alukset_fx!$O$25)*Alukset_Käynnit_Lask!O93*(Alukset_fx!$L$52)/1000),IF(AC93="HSD",((V93*Alukset_fx!$O$25)*Alukset_Käynnit_Lask!O93*(Alukset_fx!$L$55)/1000),0)))</f>
        <v>0</v>
      </c>
      <c r="AM93" s="207">
        <f>IF(AG93="Käytetty",0,Y93*O93*Alukset_fx!$K$61/1000)</f>
        <v>0</v>
      </c>
      <c r="AN93" s="213">
        <f t="shared" si="23"/>
        <v>0</v>
      </c>
    </row>
    <row r="94" spans="1:40" x14ac:dyDescent="0.25">
      <c r="A94" s="203">
        <f>Alukset_Käynnit!A101</f>
        <v>0</v>
      </c>
      <c r="B94" s="203">
        <f>Alukset_Käynnit!B101</f>
        <v>0</v>
      </c>
      <c r="C94" s="262">
        <f>Alukset_Käynnit!C101</f>
        <v>0</v>
      </c>
      <c r="D94" s="266">
        <f>Alukset_Käynnit!D101</f>
        <v>0</v>
      </c>
      <c r="E94" s="262">
        <f>Alukset_Käynnit!E101</f>
        <v>0</v>
      </c>
      <c r="F94" s="262">
        <f>Alukset_Käynnit!F101</f>
        <v>0</v>
      </c>
      <c r="G94" s="262">
        <f>Alukset_Käynnit!G101</f>
        <v>0</v>
      </c>
      <c r="H94" s="262">
        <f>Alukset_Käynnit!H101</f>
        <v>0</v>
      </c>
      <c r="I94" s="262">
        <f>Alukset_Käynnit!I101</f>
        <v>0</v>
      </c>
      <c r="J94" s="262">
        <f>Alukset_Käynnit!J101</f>
        <v>0</v>
      </c>
      <c r="K94" s="262">
        <f>Alukset_Käynnit!K101</f>
        <v>0</v>
      </c>
      <c r="L94" s="205">
        <f>Alukset_Käynnit!L101</f>
        <v>0</v>
      </c>
      <c r="N94" s="275">
        <f t="shared" si="13"/>
        <v>0</v>
      </c>
      <c r="O94" s="276">
        <f t="shared" si="24"/>
        <v>0</v>
      </c>
      <c r="P94" s="202"/>
      <c r="Q94" s="204">
        <f t="shared" si="14"/>
        <v>0</v>
      </c>
      <c r="R94" s="202">
        <f>IF(Q94="Other dry cargo",L94*Alukset_fx!$B$71,IF(OR(Q94="Dry bulk",Q94="Bulk carrier"),L94*Alukset_fx!$B$69,IF(Q94="Tugboat",L94*Alukset_fx!$B$76,IF(OR(Q94="Tanker",Q94="Gas tanker",Q94="Chemical tanker",Q94="Oil tanker"),L94*Alukset_fx!$B$68,IF(OR(Q94="RoRo",Q94="Vehicle carrier"),L94*Alukset_fx!$B$72,IF(Q94="RoPax",L94*Alukset_fx!$B$73,IF(Q94="Container ship",L94*Alukset_fx!$B$70,IF(Q94="Barge",0,L94*Alukset_fx!$B$75))))))))</f>
        <v>0</v>
      </c>
      <c r="S94" s="210">
        <f>IF(L94=0,IF(Q94="Other dry cargo",Alukset_fx!$H$73*(Alukset_Käynnit_Lask!K94^Alukset_fx!$I$73),IF(OR(Q94="Dry Bulk",Q94="Bulk carrier"),Alukset_fx!$H$71*(Alukset_Käynnit_Lask!K94^Alukset_fx!$I$71),IF(Q94="Tugboat",Alukset_fx!$H$78*(Alukset_Käynnit_Lask!K94^Alukset_fx!$I$78),IF(OR(Q94="Tanker",Q94="Gas tanker",Q94="Chemical tanker",Q94="Oil tanker"),Alukset_fx!$H$70*(Alukset_Käynnit_Lask!K94^Alukset_fx!$I$70),IF(Q94="Container ship",Alukset_fx!$H$72*(Alukset_Käynnit_Lask!K94^Alukset_fx!$I$72),IF(Q94="Barge",0,IF(Q94="RoPax",Alukset_fx!$H$75*(Alukset_Käynnit_Lask!K94^Alukset_fx!$I$75),IF(OR(Q94="RoRo",Q94="Vehicle carrier"),Alukset_fx!$H$74*(Alukset_Käynnit_Lask!K94^Alukset_fx!$I$74),Alukset_fx!$H$77*(Alukset_Käynnit_Lask!K94^Alukset_fx!$I$77))))))))),"-")</f>
        <v>0</v>
      </c>
      <c r="T94" s="208">
        <f>IF(R94=0,IF(Q94="Other dry cargo",S94*Alukset_fx!$B$71,IF(OR(Q94="Dry bulk",Q94="Bulk carrier"),S94*Alukset_fx!$B$69,IF(Q94="Tugboat",S94*Alukset_fx!$B$76,IF(OR(Q94="Tanker",Q94="Gas tanker",Q94="Chemical tanker",Q94="Oil tanker"),S94*Alukset_fx!$B$68,IF(OR(Q94="RoRo",Q94="Vehicle carrier"),S94*Alukset_fx!$B$72,IF(Q94="RoPax",S94*Alukset_fx!$B$73,IF(Q94="Container ship",S94*Alukset_fx!$B$70,S94*Alukset_fx!$B$75))))))),"-")</f>
        <v>0</v>
      </c>
      <c r="U94" s="208">
        <f t="shared" si="15"/>
        <v>0</v>
      </c>
      <c r="V94" s="208">
        <f t="shared" si="16"/>
        <v>0</v>
      </c>
      <c r="W94" s="202">
        <f>Alukset_Käynnit!N101</f>
        <v>0</v>
      </c>
      <c r="X94" s="211">
        <f>IF(Q94="Other dry cargo", Alukset_fx!$C$52, IF(OR(Q94="Dry bulk",Q94="Bulk carrier"),Alukset_fx!$C$35,IF(OR(Q94="Tanker",Q94="Gas tanker",Q94="Oil tanker"),Alukset_fx!$C$57,IF(Q94="Chemical tanker",Alukset_fx!$C$56,IF(OR(Q94="Tugboat",Q94="Barge"),0,IF(Q94="Other vessel",Alukset_fx!$C$54,IF(Q94="Container ship",Alukset_fx!$C$37,IF(OR(Q94="RoPax",Q94="RoRo",Q94="Vehicle carrier"),Alukset_fx!$C$55,0))))))))</f>
        <v>0</v>
      </c>
      <c r="Y94" s="211">
        <f>IF(Q94="Other dry cargo", Alukset_fx!$Q$52, IF(OR(Q94="Dry bulk",Q94="Bulk carrier"),Alukset_fx!$Q$35,IF(OR(Q94="Tanker",Q94="Gas tanker",Q94="Oil tanker"),Alukset_fx!$Q$57,IF(Q94="Chemical tanker",Alukset_fx!$Q$56,IF(OR(Q94="Tugboat",Q94="Barge"),0,IF(Q94="Other vessel",Alukset_fx!$Q$54,IF(Q94="Container ship",Alukset_fx!$Q$37,IF(OR(Q94="RoPax",Q94="RoRo",Q94="Vehicle carrier"),Alukset_fx!$Q$55,0))))))))</f>
        <v>0</v>
      </c>
      <c r="Z94" t="str">
        <f t="shared" si="17"/>
        <v>MDO/MGO</v>
      </c>
      <c r="AA94" t="str">
        <f t="shared" si="18"/>
        <v>MSD</v>
      </c>
      <c r="AB94" t="str">
        <f t="shared" si="19"/>
        <v>MDO/MGO</v>
      </c>
      <c r="AC94" t="str">
        <f t="shared" si="20"/>
        <v>MSD</v>
      </c>
      <c r="AD94" t="str">
        <f t="shared" si="21"/>
        <v>MDO/MGO</v>
      </c>
      <c r="AE94" t="str">
        <f t="shared" si="22"/>
        <v>ST</v>
      </c>
      <c r="AG94">
        <f>Alukset_Käynnit!O101</f>
        <v>0</v>
      </c>
      <c r="AH94" s="207">
        <f>IF(AA94="SSD",((U94*Alukset_fx!$B$24)*Alukset_Käynnit_Lask!W94*(Alukset_fx!$K$49)/1000),IF(AA94="MSD",((U94*Alukset_fx!$B$24)*Alukset_Käynnit_Lask!W94*(Alukset_fx!$K$52)/1000),IF(AA94="HSD",((U94*Alukset_fx!$B$24)*Alukset_Käynnit_Lask!W94*(Alukset_fx!$K$55)/1000),0)))</f>
        <v>0</v>
      </c>
      <c r="AI94" s="207">
        <f>IF(AC94="MSD",((V94*Alukset_fx!$B$25)*Alukset_Käynnit_Lask!W94*(Alukset_fx!$L$52)/1000),IF(AC94="HSD",((V94*Alukset_fx!$B$25)*Alukset_Käynnit_Lask!W94*(Alukset_fx!$L$55)/1000),0))</f>
        <v>0</v>
      </c>
      <c r="AJ94" s="207">
        <f>X94*W94*Alukset_fx!$K$61/1000</f>
        <v>0</v>
      </c>
      <c r="AK94">
        <v>0</v>
      </c>
      <c r="AL94" s="207">
        <f>IF(AG94="Käytetty",0,IF(AC94="MSD",((V94*Alukset_fx!$O$25)*Alukset_Käynnit_Lask!O94*(Alukset_fx!$L$52)/1000),IF(AC94="HSD",((V94*Alukset_fx!$O$25)*Alukset_Käynnit_Lask!O94*(Alukset_fx!$L$55)/1000),0)))</f>
        <v>0</v>
      </c>
      <c r="AM94" s="207">
        <f>IF(AG94="Käytetty",0,Y94*O94*Alukset_fx!$K$61/1000)</f>
        <v>0</v>
      </c>
      <c r="AN94" s="213">
        <f t="shared" si="23"/>
        <v>0</v>
      </c>
    </row>
    <row r="95" spans="1:40" x14ac:dyDescent="0.25">
      <c r="A95" s="203">
        <f>Alukset_Käynnit!A102</f>
        <v>0</v>
      </c>
      <c r="B95" s="203">
        <f>Alukset_Käynnit!B102</f>
        <v>0</v>
      </c>
      <c r="C95" s="262">
        <f>Alukset_Käynnit!C102</f>
        <v>0</v>
      </c>
      <c r="D95" s="266">
        <f>Alukset_Käynnit!D102</f>
        <v>0</v>
      </c>
      <c r="E95" s="262">
        <f>Alukset_Käynnit!E102</f>
        <v>0</v>
      </c>
      <c r="F95" s="262">
        <f>Alukset_Käynnit!F102</f>
        <v>0</v>
      </c>
      <c r="G95" s="262">
        <f>Alukset_Käynnit!G102</f>
        <v>0</v>
      </c>
      <c r="H95" s="262">
        <f>Alukset_Käynnit!H102</f>
        <v>0</v>
      </c>
      <c r="I95" s="262">
        <f>Alukset_Käynnit!I102</f>
        <v>0</v>
      </c>
      <c r="J95" s="262">
        <f>Alukset_Käynnit!J102</f>
        <v>0</v>
      </c>
      <c r="K95" s="262">
        <f>Alukset_Käynnit!K102</f>
        <v>0</v>
      </c>
      <c r="L95" s="205">
        <f>Alukset_Käynnit!L102</f>
        <v>0</v>
      </c>
      <c r="N95" s="273">
        <f t="shared" si="13"/>
        <v>0</v>
      </c>
      <c r="O95" s="274">
        <f t="shared" si="24"/>
        <v>0</v>
      </c>
      <c r="P95" s="202"/>
      <c r="Q95" s="204">
        <f t="shared" si="14"/>
        <v>0</v>
      </c>
      <c r="R95" s="202">
        <f>IF(Q95="Other dry cargo",L95*Alukset_fx!$B$71,IF(OR(Q95="Dry bulk",Q95="Bulk carrier"),L95*Alukset_fx!$B$69,IF(Q95="Tugboat",L95*Alukset_fx!$B$76,IF(OR(Q95="Tanker",Q95="Gas tanker",Q95="Chemical tanker",Q95="Oil tanker"),L95*Alukset_fx!$B$68,IF(OR(Q95="RoRo",Q95="Vehicle carrier"),L95*Alukset_fx!$B$72,IF(Q95="RoPax",L95*Alukset_fx!$B$73,IF(Q95="Container ship",L95*Alukset_fx!$B$70,IF(Q95="Barge",0,L95*Alukset_fx!$B$75))))))))</f>
        <v>0</v>
      </c>
      <c r="S95" s="210">
        <f>IF(L95=0,IF(Q95="Other dry cargo",Alukset_fx!$H$73*(Alukset_Käynnit_Lask!K95^Alukset_fx!$I$73),IF(OR(Q95="Dry Bulk",Q95="Bulk carrier"),Alukset_fx!$H$71*(Alukset_Käynnit_Lask!K95^Alukset_fx!$I$71),IF(Q95="Tugboat",Alukset_fx!$H$78*(Alukset_Käynnit_Lask!K95^Alukset_fx!$I$78),IF(OR(Q95="Tanker",Q95="Gas tanker",Q95="Chemical tanker",Q95="Oil tanker"),Alukset_fx!$H$70*(Alukset_Käynnit_Lask!K95^Alukset_fx!$I$70),IF(Q95="Container ship",Alukset_fx!$H$72*(Alukset_Käynnit_Lask!K95^Alukset_fx!$I$72),IF(Q95="Barge",0,IF(Q95="RoPax",Alukset_fx!$H$75*(Alukset_Käynnit_Lask!K95^Alukset_fx!$I$75),IF(OR(Q95="RoRo",Q95="Vehicle carrier"),Alukset_fx!$H$74*(Alukset_Käynnit_Lask!K95^Alukset_fx!$I$74),Alukset_fx!$H$77*(Alukset_Käynnit_Lask!K95^Alukset_fx!$I$77))))))))),"-")</f>
        <v>0</v>
      </c>
      <c r="T95" s="208">
        <f>IF(R95=0,IF(Q95="Other dry cargo",S95*Alukset_fx!$B$71,IF(OR(Q95="Dry bulk",Q95="Bulk carrier"),S95*Alukset_fx!$B$69,IF(Q95="Tugboat",S95*Alukset_fx!$B$76,IF(OR(Q95="Tanker",Q95="Gas tanker",Q95="Chemical tanker",Q95="Oil tanker"),S95*Alukset_fx!$B$68,IF(OR(Q95="RoRo",Q95="Vehicle carrier"),S95*Alukset_fx!$B$72,IF(Q95="RoPax",S95*Alukset_fx!$B$73,IF(Q95="Container ship",S95*Alukset_fx!$B$70,S95*Alukset_fx!$B$75))))))),"-")</f>
        <v>0</v>
      </c>
      <c r="U95" s="208">
        <f t="shared" si="15"/>
        <v>0</v>
      </c>
      <c r="V95" s="208">
        <f t="shared" si="16"/>
        <v>0</v>
      </c>
      <c r="W95" s="202">
        <f>Alukset_Käynnit!N102</f>
        <v>0</v>
      </c>
      <c r="X95" s="211">
        <f>IF(Q95="Other dry cargo", Alukset_fx!$C$52, IF(OR(Q95="Dry bulk",Q95="Bulk carrier"),Alukset_fx!$C$35,IF(OR(Q95="Tanker",Q95="Gas tanker",Q95="Oil tanker"),Alukset_fx!$C$57,IF(Q95="Chemical tanker",Alukset_fx!$C$56,IF(OR(Q95="Tugboat",Q95="Barge"),0,IF(Q95="Other vessel",Alukset_fx!$C$54,IF(Q95="Container ship",Alukset_fx!$C$37,IF(OR(Q95="RoPax",Q95="RoRo",Q95="Vehicle carrier"),Alukset_fx!$C$55,0))))))))</f>
        <v>0</v>
      </c>
      <c r="Y95" s="211">
        <f>IF(Q95="Other dry cargo", Alukset_fx!$Q$52, IF(OR(Q95="Dry bulk",Q95="Bulk carrier"),Alukset_fx!$Q$35,IF(OR(Q95="Tanker",Q95="Gas tanker",Q95="Oil tanker"),Alukset_fx!$Q$57,IF(Q95="Chemical tanker",Alukset_fx!$Q$56,IF(OR(Q95="Tugboat",Q95="Barge"),0,IF(Q95="Other vessel",Alukset_fx!$Q$54,IF(Q95="Container ship",Alukset_fx!$Q$37,IF(OR(Q95="RoPax",Q95="RoRo",Q95="Vehicle carrier"),Alukset_fx!$Q$55,0))))))))</f>
        <v>0</v>
      </c>
      <c r="Z95" t="str">
        <f t="shared" si="17"/>
        <v>MDO/MGO</v>
      </c>
      <c r="AA95" t="str">
        <f t="shared" si="18"/>
        <v>MSD</v>
      </c>
      <c r="AB95" t="str">
        <f t="shared" si="19"/>
        <v>MDO/MGO</v>
      </c>
      <c r="AC95" t="str">
        <f t="shared" si="20"/>
        <v>MSD</v>
      </c>
      <c r="AD95" t="str">
        <f t="shared" si="21"/>
        <v>MDO/MGO</v>
      </c>
      <c r="AE95" t="str">
        <f t="shared" si="22"/>
        <v>ST</v>
      </c>
      <c r="AG95">
        <f>Alukset_Käynnit!O102</f>
        <v>0</v>
      </c>
      <c r="AH95" s="207">
        <f>IF(AA95="SSD",((U95*Alukset_fx!$B$24)*Alukset_Käynnit_Lask!W95*(Alukset_fx!$K$49)/1000),IF(AA95="MSD",((U95*Alukset_fx!$B$24)*Alukset_Käynnit_Lask!W95*(Alukset_fx!$K$52)/1000),IF(AA95="HSD",((U95*Alukset_fx!$B$24)*Alukset_Käynnit_Lask!W95*(Alukset_fx!$K$55)/1000),0)))</f>
        <v>0</v>
      </c>
      <c r="AI95" s="207">
        <f>IF(AC95="MSD",((V95*Alukset_fx!$B$25)*Alukset_Käynnit_Lask!W95*(Alukset_fx!$L$52)/1000),IF(AC95="HSD",((V95*Alukset_fx!$B$25)*Alukset_Käynnit_Lask!W95*(Alukset_fx!$L$55)/1000),0))</f>
        <v>0</v>
      </c>
      <c r="AJ95" s="207">
        <f>X95*W95*Alukset_fx!$K$61/1000</f>
        <v>0</v>
      </c>
      <c r="AK95">
        <v>0</v>
      </c>
      <c r="AL95" s="207">
        <f>IF(AG95="Käytetty",0,IF(AC95="MSD",((V95*Alukset_fx!$O$25)*Alukset_Käynnit_Lask!O95*(Alukset_fx!$L$52)/1000),IF(AC95="HSD",((V95*Alukset_fx!$O$25)*Alukset_Käynnit_Lask!O95*(Alukset_fx!$L$55)/1000),0)))</f>
        <v>0</v>
      </c>
      <c r="AM95" s="207">
        <f>IF(AG95="Käytetty",0,Y95*O95*Alukset_fx!$K$61/1000)</f>
        <v>0</v>
      </c>
      <c r="AN95" s="213">
        <f t="shared" si="23"/>
        <v>0</v>
      </c>
    </row>
    <row r="96" spans="1:40" x14ac:dyDescent="0.25">
      <c r="A96" s="203">
        <f>Alukset_Käynnit!A103</f>
        <v>0</v>
      </c>
      <c r="B96" s="203">
        <f>Alukset_Käynnit!B103</f>
        <v>0</v>
      </c>
      <c r="C96" s="262">
        <f>Alukset_Käynnit!C103</f>
        <v>0</v>
      </c>
      <c r="D96" s="266">
        <f>Alukset_Käynnit!D103</f>
        <v>0</v>
      </c>
      <c r="E96" s="262">
        <f>Alukset_Käynnit!E103</f>
        <v>0</v>
      </c>
      <c r="F96" s="262">
        <f>Alukset_Käynnit!F103</f>
        <v>0</v>
      </c>
      <c r="G96" s="262">
        <f>Alukset_Käynnit!G103</f>
        <v>0</v>
      </c>
      <c r="H96" s="262">
        <f>Alukset_Käynnit!H103</f>
        <v>0</v>
      </c>
      <c r="I96" s="262">
        <f>Alukset_Käynnit!I103</f>
        <v>0</v>
      </c>
      <c r="J96" s="262">
        <f>Alukset_Käynnit!J103</f>
        <v>0</v>
      </c>
      <c r="K96" s="262">
        <f>Alukset_Käynnit!K103</f>
        <v>0</v>
      </c>
      <c r="L96" s="205">
        <f>Alukset_Käynnit!L103</f>
        <v>0</v>
      </c>
      <c r="N96" s="273">
        <f t="shared" si="13"/>
        <v>0</v>
      </c>
      <c r="O96" s="274">
        <f t="shared" si="24"/>
        <v>0</v>
      </c>
      <c r="P96" s="202"/>
      <c r="Q96" s="204">
        <f t="shared" si="14"/>
        <v>0</v>
      </c>
      <c r="R96" s="202">
        <f>IF(Q96="Other dry cargo",L96*Alukset_fx!$B$71,IF(OR(Q96="Dry bulk",Q96="Bulk carrier"),L96*Alukset_fx!$B$69,IF(Q96="Tugboat",L96*Alukset_fx!$B$76,IF(OR(Q96="Tanker",Q96="Gas tanker",Q96="Chemical tanker",Q96="Oil tanker"),L96*Alukset_fx!$B$68,IF(OR(Q96="RoRo",Q96="Vehicle carrier"),L96*Alukset_fx!$B$72,IF(Q96="RoPax",L96*Alukset_fx!$B$73,IF(Q96="Container ship",L96*Alukset_fx!$B$70,IF(Q96="Barge",0,L96*Alukset_fx!$B$75))))))))</f>
        <v>0</v>
      </c>
      <c r="S96" s="210">
        <f>IF(L96=0,IF(Q96="Other dry cargo",Alukset_fx!$H$73*(Alukset_Käynnit_Lask!K96^Alukset_fx!$I$73),IF(OR(Q96="Dry Bulk",Q96="Bulk carrier"),Alukset_fx!$H$71*(Alukset_Käynnit_Lask!K96^Alukset_fx!$I$71),IF(Q96="Tugboat",Alukset_fx!$H$78*(Alukset_Käynnit_Lask!K96^Alukset_fx!$I$78),IF(OR(Q96="Tanker",Q96="Gas tanker",Q96="Chemical tanker",Q96="Oil tanker"),Alukset_fx!$H$70*(Alukset_Käynnit_Lask!K96^Alukset_fx!$I$70),IF(Q96="Container ship",Alukset_fx!$H$72*(Alukset_Käynnit_Lask!K96^Alukset_fx!$I$72),IF(Q96="Barge",0,IF(Q96="RoPax",Alukset_fx!$H$75*(Alukset_Käynnit_Lask!K96^Alukset_fx!$I$75),IF(OR(Q96="RoRo",Q96="Vehicle carrier"),Alukset_fx!$H$74*(Alukset_Käynnit_Lask!K96^Alukset_fx!$I$74),Alukset_fx!$H$77*(Alukset_Käynnit_Lask!K96^Alukset_fx!$I$77))))))))),"-")</f>
        <v>0</v>
      </c>
      <c r="T96" s="208">
        <f>IF(R96=0,IF(Q96="Other dry cargo",S96*Alukset_fx!$B$71,IF(OR(Q96="Dry bulk",Q96="Bulk carrier"),S96*Alukset_fx!$B$69,IF(Q96="Tugboat",S96*Alukset_fx!$B$76,IF(OR(Q96="Tanker",Q96="Gas tanker",Q96="Chemical tanker",Q96="Oil tanker"),S96*Alukset_fx!$B$68,IF(OR(Q96="RoRo",Q96="Vehicle carrier"),S96*Alukset_fx!$B$72,IF(Q96="RoPax",S96*Alukset_fx!$B$73,IF(Q96="Container ship",S96*Alukset_fx!$B$70,S96*Alukset_fx!$B$75))))))),"-")</f>
        <v>0</v>
      </c>
      <c r="U96" s="208">
        <f t="shared" si="15"/>
        <v>0</v>
      </c>
      <c r="V96" s="208">
        <f t="shared" si="16"/>
        <v>0</v>
      </c>
      <c r="W96" s="202">
        <f>Alukset_Käynnit!N103</f>
        <v>0</v>
      </c>
      <c r="X96" s="211">
        <f>IF(Q96="Other dry cargo", Alukset_fx!$C$52, IF(OR(Q96="Dry bulk",Q96="Bulk carrier"),Alukset_fx!$C$35,IF(OR(Q96="Tanker",Q96="Gas tanker",Q96="Oil tanker"),Alukset_fx!$C$57,IF(Q96="Chemical tanker",Alukset_fx!$C$56,IF(OR(Q96="Tugboat",Q96="Barge"),0,IF(Q96="Other vessel",Alukset_fx!$C$54,IF(Q96="Container ship",Alukset_fx!$C$37,IF(OR(Q96="RoPax",Q96="RoRo",Q96="Vehicle carrier"),Alukset_fx!$C$55,0))))))))</f>
        <v>0</v>
      </c>
      <c r="Y96" s="211">
        <f>IF(Q96="Other dry cargo", Alukset_fx!$Q$52, IF(OR(Q96="Dry bulk",Q96="Bulk carrier"),Alukset_fx!$Q$35,IF(OR(Q96="Tanker",Q96="Gas tanker",Q96="Oil tanker"),Alukset_fx!$Q$57,IF(Q96="Chemical tanker",Alukset_fx!$Q$56,IF(OR(Q96="Tugboat",Q96="Barge"),0,IF(Q96="Other vessel",Alukset_fx!$Q$54,IF(Q96="Container ship",Alukset_fx!$Q$37,IF(OR(Q96="RoPax",Q96="RoRo",Q96="Vehicle carrier"),Alukset_fx!$Q$55,0))))))))</f>
        <v>0</v>
      </c>
      <c r="Z96" t="str">
        <f t="shared" si="17"/>
        <v>MDO/MGO</v>
      </c>
      <c r="AA96" t="str">
        <f t="shared" si="18"/>
        <v>MSD</v>
      </c>
      <c r="AB96" t="str">
        <f t="shared" si="19"/>
        <v>MDO/MGO</v>
      </c>
      <c r="AC96" t="str">
        <f t="shared" si="20"/>
        <v>MSD</v>
      </c>
      <c r="AD96" t="str">
        <f t="shared" si="21"/>
        <v>MDO/MGO</v>
      </c>
      <c r="AE96" t="str">
        <f t="shared" si="22"/>
        <v>ST</v>
      </c>
      <c r="AG96">
        <f>Alukset_Käynnit!O103</f>
        <v>0</v>
      </c>
      <c r="AH96" s="207">
        <f>IF(AA96="SSD",((U96*Alukset_fx!$B$24)*Alukset_Käynnit_Lask!W96*(Alukset_fx!$K$49)/1000),IF(AA96="MSD",((U96*Alukset_fx!$B$24)*Alukset_Käynnit_Lask!W96*(Alukset_fx!$K$52)/1000),IF(AA96="HSD",((U96*Alukset_fx!$B$24)*Alukset_Käynnit_Lask!W96*(Alukset_fx!$K$55)/1000),0)))</f>
        <v>0</v>
      </c>
      <c r="AI96" s="207">
        <f>IF(AC96="MSD",((V96*Alukset_fx!$B$25)*Alukset_Käynnit_Lask!W96*(Alukset_fx!$L$52)/1000),IF(AC96="HSD",((V96*Alukset_fx!$B$25)*Alukset_Käynnit_Lask!W96*(Alukset_fx!$L$55)/1000),0))</f>
        <v>0</v>
      </c>
      <c r="AJ96" s="207">
        <f>X96*W96*Alukset_fx!$K$61/1000</f>
        <v>0</v>
      </c>
      <c r="AK96">
        <v>0</v>
      </c>
      <c r="AL96" s="207">
        <f>IF(AG96="Käytetty",0,IF(AC96="MSD",((V96*Alukset_fx!$O$25)*Alukset_Käynnit_Lask!O96*(Alukset_fx!$L$52)/1000),IF(AC96="HSD",((V96*Alukset_fx!$O$25)*Alukset_Käynnit_Lask!O96*(Alukset_fx!$L$55)/1000),0)))</f>
        <v>0</v>
      </c>
      <c r="AM96" s="207">
        <f>IF(AG96="Käytetty",0,Y96*O96*Alukset_fx!$K$61/1000)</f>
        <v>0</v>
      </c>
      <c r="AN96" s="213">
        <f t="shared" si="23"/>
        <v>0</v>
      </c>
    </row>
    <row r="97" spans="1:40" x14ac:dyDescent="0.25">
      <c r="A97" s="203">
        <f>Alukset_Käynnit!A104</f>
        <v>0</v>
      </c>
      <c r="B97" s="203">
        <f>Alukset_Käynnit!B104</f>
        <v>0</v>
      </c>
      <c r="C97" s="262">
        <f>Alukset_Käynnit!C104</f>
        <v>0</v>
      </c>
      <c r="D97" s="266">
        <f>Alukset_Käynnit!D104</f>
        <v>0</v>
      </c>
      <c r="E97" s="262">
        <f>Alukset_Käynnit!E104</f>
        <v>0</v>
      </c>
      <c r="F97" s="262">
        <f>Alukset_Käynnit!F104</f>
        <v>0</v>
      </c>
      <c r="G97" s="262">
        <f>Alukset_Käynnit!G104</f>
        <v>0</v>
      </c>
      <c r="H97" s="262">
        <f>Alukset_Käynnit!H104</f>
        <v>0</v>
      </c>
      <c r="I97" s="262">
        <f>Alukset_Käynnit!I104</f>
        <v>0</v>
      </c>
      <c r="J97" s="262">
        <f>Alukset_Käynnit!J104</f>
        <v>0</v>
      </c>
      <c r="K97" s="262">
        <f>Alukset_Käynnit!K104</f>
        <v>0</v>
      </c>
      <c r="L97" s="205">
        <f>Alukset_Käynnit!L104</f>
        <v>0</v>
      </c>
      <c r="N97" s="275">
        <f t="shared" si="13"/>
        <v>0</v>
      </c>
      <c r="O97" s="276">
        <f t="shared" si="24"/>
        <v>0</v>
      </c>
      <c r="P97" s="202"/>
      <c r="Q97" s="204">
        <f t="shared" si="14"/>
        <v>0</v>
      </c>
      <c r="R97" s="202">
        <f>IF(Q97="Other dry cargo",L97*Alukset_fx!$B$71,IF(OR(Q97="Dry bulk",Q97="Bulk carrier"),L97*Alukset_fx!$B$69,IF(Q97="Tugboat",L97*Alukset_fx!$B$76,IF(OR(Q97="Tanker",Q97="Gas tanker",Q97="Chemical tanker",Q97="Oil tanker"),L97*Alukset_fx!$B$68,IF(OR(Q97="RoRo",Q97="Vehicle carrier"),L97*Alukset_fx!$B$72,IF(Q97="RoPax",L97*Alukset_fx!$B$73,IF(Q97="Container ship",L97*Alukset_fx!$B$70,IF(Q97="Barge",0,L97*Alukset_fx!$B$75))))))))</f>
        <v>0</v>
      </c>
      <c r="S97" s="210">
        <f>IF(L97=0,IF(Q97="Other dry cargo",Alukset_fx!$H$73*(Alukset_Käynnit_Lask!K97^Alukset_fx!$I$73),IF(OR(Q97="Dry Bulk",Q97="Bulk carrier"),Alukset_fx!$H$71*(Alukset_Käynnit_Lask!K97^Alukset_fx!$I$71),IF(Q97="Tugboat",Alukset_fx!$H$78*(Alukset_Käynnit_Lask!K97^Alukset_fx!$I$78),IF(OR(Q97="Tanker",Q97="Gas tanker",Q97="Chemical tanker",Q97="Oil tanker"),Alukset_fx!$H$70*(Alukset_Käynnit_Lask!K97^Alukset_fx!$I$70),IF(Q97="Container ship",Alukset_fx!$H$72*(Alukset_Käynnit_Lask!K97^Alukset_fx!$I$72),IF(Q97="Barge",0,IF(Q97="RoPax",Alukset_fx!$H$75*(Alukset_Käynnit_Lask!K97^Alukset_fx!$I$75),IF(OR(Q97="RoRo",Q97="Vehicle carrier"),Alukset_fx!$H$74*(Alukset_Käynnit_Lask!K97^Alukset_fx!$I$74),Alukset_fx!$H$77*(Alukset_Käynnit_Lask!K97^Alukset_fx!$I$77))))))))),"-")</f>
        <v>0</v>
      </c>
      <c r="T97" s="208">
        <f>IF(R97=0,IF(Q97="Other dry cargo",S97*Alukset_fx!$B$71,IF(OR(Q97="Dry bulk",Q97="Bulk carrier"),S97*Alukset_fx!$B$69,IF(Q97="Tugboat",S97*Alukset_fx!$B$76,IF(OR(Q97="Tanker",Q97="Gas tanker",Q97="Chemical tanker",Q97="Oil tanker"),S97*Alukset_fx!$B$68,IF(OR(Q97="RoRo",Q97="Vehicle carrier"),S97*Alukset_fx!$B$72,IF(Q97="RoPax",S97*Alukset_fx!$B$73,IF(Q97="Container ship",S97*Alukset_fx!$B$70,S97*Alukset_fx!$B$75))))))),"-")</f>
        <v>0</v>
      </c>
      <c r="U97" s="208">
        <f t="shared" si="15"/>
        <v>0</v>
      </c>
      <c r="V97" s="208">
        <f t="shared" si="16"/>
        <v>0</v>
      </c>
      <c r="W97" s="202">
        <f>Alukset_Käynnit!N104</f>
        <v>0</v>
      </c>
      <c r="X97" s="211">
        <f>IF(Q97="Other dry cargo", Alukset_fx!$C$52, IF(OR(Q97="Dry bulk",Q97="Bulk carrier"),Alukset_fx!$C$35,IF(OR(Q97="Tanker",Q97="Gas tanker",Q97="Oil tanker"),Alukset_fx!$C$57,IF(Q97="Chemical tanker",Alukset_fx!$C$56,IF(OR(Q97="Tugboat",Q97="Barge"),0,IF(Q97="Other vessel",Alukset_fx!$C$54,IF(Q97="Container ship",Alukset_fx!$C$37,IF(OR(Q97="RoPax",Q97="RoRo",Q97="Vehicle carrier"),Alukset_fx!$C$55,0))))))))</f>
        <v>0</v>
      </c>
      <c r="Y97" s="211">
        <f>IF(Q97="Other dry cargo", Alukset_fx!$Q$52, IF(OR(Q97="Dry bulk",Q97="Bulk carrier"),Alukset_fx!$Q$35,IF(OR(Q97="Tanker",Q97="Gas tanker",Q97="Oil tanker"),Alukset_fx!$Q$57,IF(Q97="Chemical tanker",Alukset_fx!$Q$56,IF(OR(Q97="Tugboat",Q97="Barge"),0,IF(Q97="Other vessel",Alukset_fx!$Q$54,IF(Q97="Container ship",Alukset_fx!$Q$37,IF(OR(Q97="RoPax",Q97="RoRo",Q97="Vehicle carrier"),Alukset_fx!$Q$55,0))))))))</f>
        <v>0</v>
      </c>
      <c r="Z97" t="str">
        <f t="shared" si="17"/>
        <v>MDO/MGO</v>
      </c>
      <c r="AA97" t="str">
        <f t="shared" si="18"/>
        <v>MSD</v>
      </c>
      <c r="AB97" t="str">
        <f t="shared" si="19"/>
        <v>MDO/MGO</v>
      </c>
      <c r="AC97" t="str">
        <f t="shared" si="20"/>
        <v>MSD</v>
      </c>
      <c r="AD97" t="str">
        <f t="shared" si="21"/>
        <v>MDO/MGO</v>
      </c>
      <c r="AE97" t="str">
        <f t="shared" si="22"/>
        <v>ST</v>
      </c>
      <c r="AG97">
        <f>Alukset_Käynnit!O104</f>
        <v>0</v>
      </c>
      <c r="AH97" s="207">
        <f>IF(AA97="SSD",((U97*Alukset_fx!$B$24)*Alukset_Käynnit_Lask!W97*(Alukset_fx!$K$49)/1000),IF(AA97="MSD",((U97*Alukset_fx!$B$24)*Alukset_Käynnit_Lask!W97*(Alukset_fx!$K$52)/1000),IF(AA97="HSD",((U97*Alukset_fx!$B$24)*Alukset_Käynnit_Lask!W97*(Alukset_fx!$K$55)/1000),0)))</f>
        <v>0</v>
      </c>
      <c r="AI97" s="207">
        <f>IF(AC97="MSD",((V97*Alukset_fx!$B$25)*Alukset_Käynnit_Lask!W97*(Alukset_fx!$L$52)/1000),IF(AC97="HSD",((V97*Alukset_fx!$B$25)*Alukset_Käynnit_Lask!W97*(Alukset_fx!$L$55)/1000),0))</f>
        <v>0</v>
      </c>
      <c r="AJ97" s="207">
        <f>X97*W97*Alukset_fx!$K$61/1000</f>
        <v>0</v>
      </c>
      <c r="AK97">
        <v>0</v>
      </c>
      <c r="AL97" s="207">
        <f>IF(AG97="Käytetty",0,IF(AC97="MSD",((V97*Alukset_fx!$O$25)*Alukset_Käynnit_Lask!O97*(Alukset_fx!$L$52)/1000),IF(AC97="HSD",((V97*Alukset_fx!$O$25)*Alukset_Käynnit_Lask!O97*(Alukset_fx!$L$55)/1000),0)))</f>
        <v>0</v>
      </c>
      <c r="AM97" s="207">
        <f>IF(AG97="Käytetty",0,Y97*O97*Alukset_fx!$K$61/1000)</f>
        <v>0</v>
      </c>
      <c r="AN97" s="213">
        <f t="shared" si="23"/>
        <v>0</v>
      </c>
    </row>
    <row r="98" spans="1:40" x14ac:dyDescent="0.25">
      <c r="A98" s="203">
        <f>Alukset_Käynnit!A105</f>
        <v>0</v>
      </c>
      <c r="B98" s="203">
        <f>Alukset_Käynnit!B105</f>
        <v>0</v>
      </c>
      <c r="C98" s="262">
        <f>Alukset_Käynnit!C105</f>
        <v>0</v>
      </c>
      <c r="D98" s="266">
        <f>Alukset_Käynnit!D105</f>
        <v>0</v>
      </c>
      <c r="E98" s="262">
        <f>Alukset_Käynnit!E105</f>
        <v>0</v>
      </c>
      <c r="F98" s="262">
        <f>Alukset_Käynnit!F105</f>
        <v>0</v>
      </c>
      <c r="G98" s="262">
        <f>Alukset_Käynnit!G105</f>
        <v>0</v>
      </c>
      <c r="H98" s="262">
        <f>Alukset_Käynnit!H105</f>
        <v>0</v>
      </c>
      <c r="I98" s="262">
        <f>Alukset_Käynnit!I105</f>
        <v>0</v>
      </c>
      <c r="J98" s="262">
        <f>Alukset_Käynnit!J105</f>
        <v>0</v>
      </c>
      <c r="K98" s="262">
        <f>Alukset_Käynnit!K105</f>
        <v>0</v>
      </c>
      <c r="L98" s="205">
        <f>Alukset_Käynnit!L105</f>
        <v>0</v>
      </c>
      <c r="N98" s="273">
        <f t="shared" si="13"/>
        <v>0</v>
      </c>
      <c r="O98" s="274">
        <f t="shared" si="24"/>
        <v>0</v>
      </c>
      <c r="P98" s="202"/>
      <c r="Q98" s="204">
        <f t="shared" si="14"/>
        <v>0</v>
      </c>
      <c r="R98" s="202">
        <f>IF(Q98="Other dry cargo",L98*Alukset_fx!$B$71,IF(OR(Q98="Dry bulk",Q98="Bulk carrier"),L98*Alukset_fx!$B$69,IF(Q98="Tugboat",L98*Alukset_fx!$B$76,IF(OR(Q98="Tanker",Q98="Gas tanker",Q98="Chemical tanker",Q98="Oil tanker"),L98*Alukset_fx!$B$68,IF(OR(Q98="RoRo",Q98="Vehicle carrier"),L98*Alukset_fx!$B$72,IF(Q98="RoPax",L98*Alukset_fx!$B$73,IF(Q98="Container ship",L98*Alukset_fx!$B$70,IF(Q98="Barge",0,L98*Alukset_fx!$B$75))))))))</f>
        <v>0</v>
      </c>
      <c r="S98" s="210">
        <f>IF(L98=0,IF(Q98="Other dry cargo",Alukset_fx!$H$73*(Alukset_Käynnit_Lask!K98^Alukset_fx!$I$73),IF(OR(Q98="Dry Bulk",Q98="Bulk carrier"),Alukset_fx!$H$71*(Alukset_Käynnit_Lask!K98^Alukset_fx!$I$71),IF(Q98="Tugboat",Alukset_fx!$H$78*(Alukset_Käynnit_Lask!K98^Alukset_fx!$I$78),IF(OR(Q98="Tanker",Q98="Gas tanker",Q98="Chemical tanker",Q98="Oil tanker"),Alukset_fx!$H$70*(Alukset_Käynnit_Lask!K98^Alukset_fx!$I$70),IF(Q98="Container ship",Alukset_fx!$H$72*(Alukset_Käynnit_Lask!K98^Alukset_fx!$I$72),IF(Q98="Barge",0,IF(Q98="RoPax",Alukset_fx!$H$75*(Alukset_Käynnit_Lask!K98^Alukset_fx!$I$75),IF(OR(Q98="RoRo",Q98="Vehicle carrier"),Alukset_fx!$H$74*(Alukset_Käynnit_Lask!K98^Alukset_fx!$I$74),Alukset_fx!$H$77*(Alukset_Käynnit_Lask!K98^Alukset_fx!$I$77))))))))),"-")</f>
        <v>0</v>
      </c>
      <c r="T98" s="208">
        <f>IF(R98=0,IF(Q98="Other dry cargo",S98*Alukset_fx!$B$71,IF(OR(Q98="Dry bulk",Q98="Bulk carrier"),S98*Alukset_fx!$B$69,IF(Q98="Tugboat",S98*Alukset_fx!$B$76,IF(OR(Q98="Tanker",Q98="Gas tanker",Q98="Chemical tanker",Q98="Oil tanker"),S98*Alukset_fx!$B$68,IF(OR(Q98="RoRo",Q98="Vehicle carrier"),S98*Alukset_fx!$B$72,IF(Q98="RoPax",S98*Alukset_fx!$B$73,IF(Q98="Container ship",S98*Alukset_fx!$B$70,S98*Alukset_fx!$B$75))))))),"-")</f>
        <v>0</v>
      </c>
      <c r="U98" s="208">
        <f t="shared" si="15"/>
        <v>0</v>
      </c>
      <c r="V98" s="208">
        <f t="shared" si="16"/>
        <v>0</v>
      </c>
      <c r="W98" s="202">
        <f>Alukset_Käynnit!N105</f>
        <v>0</v>
      </c>
      <c r="X98" s="211">
        <f>IF(Q98="Other dry cargo", Alukset_fx!$C$52, IF(OR(Q98="Dry bulk",Q98="Bulk carrier"),Alukset_fx!$C$35,IF(OR(Q98="Tanker",Q98="Gas tanker",Q98="Oil tanker"),Alukset_fx!$C$57,IF(Q98="Chemical tanker",Alukset_fx!$C$56,IF(OR(Q98="Tugboat",Q98="Barge"),0,IF(Q98="Other vessel",Alukset_fx!$C$54,IF(Q98="Container ship",Alukset_fx!$C$37,IF(OR(Q98="RoPax",Q98="RoRo",Q98="Vehicle carrier"),Alukset_fx!$C$55,0))))))))</f>
        <v>0</v>
      </c>
      <c r="Y98" s="211">
        <f>IF(Q98="Other dry cargo", Alukset_fx!$Q$52, IF(OR(Q98="Dry bulk",Q98="Bulk carrier"),Alukset_fx!$Q$35,IF(OR(Q98="Tanker",Q98="Gas tanker",Q98="Oil tanker"),Alukset_fx!$Q$57,IF(Q98="Chemical tanker",Alukset_fx!$Q$56,IF(OR(Q98="Tugboat",Q98="Barge"),0,IF(Q98="Other vessel",Alukset_fx!$Q$54,IF(Q98="Container ship",Alukset_fx!$Q$37,IF(OR(Q98="RoPax",Q98="RoRo",Q98="Vehicle carrier"),Alukset_fx!$Q$55,0))))))))</f>
        <v>0</v>
      </c>
      <c r="Z98" t="str">
        <f t="shared" si="17"/>
        <v>MDO/MGO</v>
      </c>
      <c r="AA98" t="str">
        <f t="shared" si="18"/>
        <v>MSD</v>
      </c>
      <c r="AB98" t="str">
        <f t="shared" si="19"/>
        <v>MDO/MGO</v>
      </c>
      <c r="AC98" t="str">
        <f t="shared" si="20"/>
        <v>MSD</v>
      </c>
      <c r="AD98" t="str">
        <f t="shared" si="21"/>
        <v>MDO/MGO</v>
      </c>
      <c r="AE98" t="str">
        <f t="shared" si="22"/>
        <v>ST</v>
      </c>
      <c r="AG98">
        <f>Alukset_Käynnit!O105</f>
        <v>0</v>
      </c>
      <c r="AH98" s="207">
        <f>IF(AA98="SSD",((U98*Alukset_fx!$B$24)*Alukset_Käynnit_Lask!W98*(Alukset_fx!$K$49)/1000),IF(AA98="MSD",((U98*Alukset_fx!$B$24)*Alukset_Käynnit_Lask!W98*(Alukset_fx!$K$52)/1000),IF(AA98="HSD",((U98*Alukset_fx!$B$24)*Alukset_Käynnit_Lask!W98*(Alukset_fx!$K$55)/1000),0)))</f>
        <v>0</v>
      </c>
      <c r="AI98" s="207">
        <f>IF(AC98="MSD",((V98*Alukset_fx!$B$25)*Alukset_Käynnit_Lask!W98*(Alukset_fx!$L$52)/1000),IF(AC98="HSD",((V98*Alukset_fx!$B$25)*Alukset_Käynnit_Lask!W98*(Alukset_fx!$L$55)/1000),0))</f>
        <v>0</v>
      </c>
      <c r="AJ98" s="207">
        <f>X98*W98*Alukset_fx!$K$61/1000</f>
        <v>0</v>
      </c>
      <c r="AK98">
        <v>0</v>
      </c>
      <c r="AL98" s="207">
        <f>IF(AG98="Käytetty",0,IF(AC98="MSD",((V98*Alukset_fx!$O$25)*Alukset_Käynnit_Lask!O98*(Alukset_fx!$L$52)/1000),IF(AC98="HSD",((V98*Alukset_fx!$O$25)*Alukset_Käynnit_Lask!O98*(Alukset_fx!$L$55)/1000),0)))</f>
        <v>0</v>
      </c>
      <c r="AM98" s="207">
        <f>IF(AG98="Käytetty",0,Y98*O98*Alukset_fx!$K$61/1000)</f>
        <v>0</v>
      </c>
      <c r="AN98" s="213">
        <f t="shared" si="23"/>
        <v>0</v>
      </c>
    </row>
    <row r="99" spans="1:40" x14ac:dyDescent="0.25">
      <c r="A99" s="203">
        <f>Alukset_Käynnit!A106</f>
        <v>0</v>
      </c>
      <c r="B99" s="203">
        <f>Alukset_Käynnit!B106</f>
        <v>0</v>
      </c>
      <c r="C99" s="262">
        <f>Alukset_Käynnit!C106</f>
        <v>0</v>
      </c>
      <c r="D99" s="266">
        <f>Alukset_Käynnit!D106</f>
        <v>0</v>
      </c>
      <c r="E99" s="262">
        <f>Alukset_Käynnit!E106</f>
        <v>0</v>
      </c>
      <c r="F99" s="262">
        <f>Alukset_Käynnit!F106</f>
        <v>0</v>
      </c>
      <c r="G99" s="262">
        <f>Alukset_Käynnit!G106</f>
        <v>0</v>
      </c>
      <c r="H99" s="262">
        <f>Alukset_Käynnit!H106</f>
        <v>0</v>
      </c>
      <c r="I99" s="262">
        <f>Alukset_Käynnit!I106</f>
        <v>0</v>
      </c>
      <c r="J99" s="262">
        <f>Alukset_Käynnit!J106</f>
        <v>0</v>
      </c>
      <c r="K99" s="262">
        <f>Alukset_Käynnit!K106</f>
        <v>0</v>
      </c>
      <c r="L99" s="205">
        <f>Alukset_Käynnit!L106</f>
        <v>0</v>
      </c>
      <c r="N99" s="275">
        <f t="shared" si="13"/>
        <v>0</v>
      </c>
      <c r="O99" s="276">
        <f t="shared" si="24"/>
        <v>0</v>
      </c>
      <c r="P99" s="202"/>
      <c r="Q99" s="204">
        <f t="shared" si="14"/>
        <v>0</v>
      </c>
      <c r="R99" s="202">
        <f>IF(Q99="Other dry cargo",L99*Alukset_fx!$B$71,IF(OR(Q99="Dry bulk",Q99="Bulk carrier"),L99*Alukset_fx!$B$69,IF(Q99="Tugboat",L99*Alukset_fx!$B$76,IF(OR(Q99="Tanker",Q99="Gas tanker",Q99="Chemical tanker",Q99="Oil tanker"),L99*Alukset_fx!$B$68,IF(OR(Q99="RoRo",Q99="Vehicle carrier"),L99*Alukset_fx!$B$72,IF(Q99="RoPax",L99*Alukset_fx!$B$73,IF(Q99="Container ship",L99*Alukset_fx!$B$70,IF(Q99="Barge",0,L99*Alukset_fx!$B$75))))))))</f>
        <v>0</v>
      </c>
      <c r="S99" s="210">
        <f>IF(L99=0,IF(Q99="Other dry cargo",Alukset_fx!$H$73*(Alukset_Käynnit_Lask!K99^Alukset_fx!$I$73),IF(OR(Q99="Dry Bulk",Q99="Bulk carrier"),Alukset_fx!$H$71*(Alukset_Käynnit_Lask!K99^Alukset_fx!$I$71),IF(Q99="Tugboat",Alukset_fx!$H$78*(Alukset_Käynnit_Lask!K99^Alukset_fx!$I$78),IF(OR(Q99="Tanker",Q99="Gas tanker",Q99="Chemical tanker",Q99="Oil tanker"),Alukset_fx!$H$70*(Alukset_Käynnit_Lask!K99^Alukset_fx!$I$70),IF(Q99="Container ship",Alukset_fx!$H$72*(Alukset_Käynnit_Lask!K99^Alukset_fx!$I$72),IF(Q99="Barge",0,IF(Q99="RoPax",Alukset_fx!$H$75*(Alukset_Käynnit_Lask!K99^Alukset_fx!$I$75),IF(OR(Q99="RoRo",Q99="Vehicle carrier"),Alukset_fx!$H$74*(Alukset_Käynnit_Lask!K99^Alukset_fx!$I$74),Alukset_fx!$H$77*(Alukset_Käynnit_Lask!K99^Alukset_fx!$I$77))))))))),"-")</f>
        <v>0</v>
      </c>
      <c r="T99" s="208">
        <f>IF(R99=0,IF(Q99="Other dry cargo",S99*Alukset_fx!$B$71,IF(OR(Q99="Dry bulk",Q99="Bulk carrier"),S99*Alukset_fx!$B$69,IF(Q99="Tugboat",S99*Alukset_fx!$B$76,IF(OR(Q99="Tanker",Q99="Gas tanker",Q99="Chemical tanker",Q99="Oil tanker"),S99*Alukset_fx!$B$68,IF(OR(Q99="RoRo",Q99="Vehicle carrier"),S99*Alukset_fx!$B$72,IF(Q99="RoPax",S99*Alukset_fx!$B$73,IF(Q99="Container ship",S99*Alukset_fx!$B$70,S99*Alukset_fx!$B$75))))))),"-")</f>
        <v>0</v>
      </c>
      <c r="U99" s="208">
        <f t="shared" si="15"/>
        <v>0</v>
      </c>
      <c r="V99" s="208">
        <f t="shared" si="16"/>
        <v>0</v>
      </c>
      <c r="W99" s="202">
        <f>Alukset_Käynnit!N106</f>
        <v>0</v>
      </c>
      <c r="X99" s="211">
        <f>IF(Q99="Other dry cargo", Alukset_fx!$C$52, IF(OR(Q99="Dry bulk",Q99="Bulk carrier"),Alukset_fx!$C$35,IF(OR(Q99="Tanker",Q99="Gas tanker",Q99="Oil tanker"),Alukset_fx!$C$57,IF(Q99="Chemical tanker",Alukset_fx!$C$56,IF(OR(Q99="Tugboat",Q99="Barge"),0,IF(Q99="Other vessel",Alukset_fx!$C$54,IF(Q99="Container ship",Alukset_fx!$C$37,IF(OR(Q99="RoPax",Q99="RoRo",Q99="Vehicle carrier"),Alukset_fx!$C$55,0))))))))</f>
        <v>0</v>
      </c>
      <c r="Y99" s="211">
        <f>IF(Q99="Other dry cargo", Alukset_fx!$Q$52, IF(OR(Q99="Dry bulk",Q99="Bulk carrier"),Alukset_fx!$Q$35,IF(OR(Q99="Tanker",Q99="Gas tanker",Q99="Oil tanker"),Alukset_fx!$Q$57,IF(Q99="Chemical tanker",Alukset_fx!$Q$56,IF(OR(Q99="Tugboat",Q99="Barge"),0,IF(Q99="Other vessel",Alukset_fx!$Q$54,IF(Q99="Container ship",Alukset_fx!$Q$37,IF(OR(Q99="RoPax",Q99="RoRo",Q99="Vehicle carrier"),Alukset_fx!$Q$55,0))))))))</f>
        <v>0</v>
      </c>
      <c r="Z99" t="str">
        <f t="shared" si="17"/>
        <v>MDO/MGO</v>
      </c>
      <c r="AA99" t="str">
        <f t="shared" si="18"/>
        <v>MSD</v>
      </c>
      <c r="AB99" t="str">
        <f t="shared" si="19"/>
        <v>MDO/MGO</v>
      </c>
      <c r="AC99" t="str">
        <f t="shared" si="20"/>
        <v>MSD</v>
      </c>
      <c r="AD99" t="str">
        <f t="shared" si="21"/>
        <v>MDO/MGO</v>
      </c>
      <c r="AE99" t="str">
        <f t="shared" si="22"/>
        <v>ST</v>
      </c>
      <c r="AG99">
        <f>Alukset_Käynnit!O106</f>
        <v>0</v>
      </c>
      <c r="AH99" s="207">
        <f>IF(AA99="SSD",((U99*Alukset_fx!$B$24)*Alukset_Käynnit_Lask!W99*(Alukset_fx!$K$49)/1000),IF(AA99="MSD",((U99*Alukset_fx!$B$24)*Alukset_Käynnit_Lask!W99*(Alukset_fx!$K$52)/1000),IF(AA99="HSD",((U99*Alukset_fx!$B$24)*Alukset_Käynnit_Lask!W99*(Alukset_fx!$K$55)/1000),0)))</f>
        <v>0</v>
      </c>
      <c r="AI99" s="207">
        <f>IF(AC99="MSD",((V99*Alukset_fx!$B$25)*Alukset_Käynnit_Lask!W99*(Alukset_fx!$L$52)/1000),IF(AC99="HSD",((V99*Alukset_fx!$B$25)*Alukset_Käynnit_Lask!W99*(Alukset_fx!$L$55)/1000),0))</f>
        <v>0</v>
      </c>
      <c r="AJ99" s="207">
        <f>X99*W99*Alukset_fx!$K$61/1000</f>
        <v>0</v>
      </c>
      <c r="AK99">
        <v>0</v>
      </c>
      <c r="AL99" s="207">
        <f>IF(AG99="Käytetty",0,IF(AC99="MSD",((V99*Alukset_fx!$O$25)*Alukset_Käynnit_Lask!O99*(Alukset_fx!$L$52)/1000),IF(AC99="HSD",((V99*Alukset_fx!$O$25)*Alukset_Käynnit_Lask!O99*(Alukset_fx!$L$55)/1000),0)))</f>
        <v>0</v>
      </c>
      <c r="AM99" s="207">
        <f>IF(AG99="Käytetty",0,Y99*O99*Alukset_fx!$K$61/1000)</f>
        <v>0</v>
      </c>
      <c r="AN99" s="213">
        <f t="shared" si="23"/>
        <v>0</v>
      </c>
    </row>
    <row r="100" spans="1:40" x14ac:dyDescent="0.25">
      <c r="A100" s="203">
        <f>Alukset_Käynnit!A107</f>
        <v>0</v>
      </c>
      <c r="B100" s="203">
        <f>Alukset_Käynnit!B107</f>
        <v>0</v>
      </c>
      <c r="C100" s="262">
        <f>Alukset_Käynnit!C107</f>
        <v>0</v>
      </c>
      <c r="D100" s="266">
        <f>Alukset_Käynnit!D107</f>
        <v>0</v>
      </c>
      <c r="E100" s="262">
        <f>Alukset_Käynnit!E107</f>
        <v>0</v>
      </c>
      <c r="F100" s="262">
        <f>Alukset_Käynnit!F107</f>
        <v>0</v>
      </c>
      <c r="G100" s="262">
        <f>Alukset_Käynnit!G107</f>
        <v>0</v>
      </c>
      <c r="H100" s="262">
        <f>Alukset_Käynnit!H107</f>
        <v>0</v>
      </c>
      <c r="I100" s="262">
        <f>Alukset_Käynnit!I107</f>
        <v>0</v>
      </c>
      <c r="J100" s="262">
        <f>Alukset_Käynnit!J107</f>
        <v>0</v>
      </c>
      <c r="K100" s="262">
        <f>Alukset_Käynnit!K107</f>
        <v>0</v>
      </c>
      <c r="L100" s="205">
        <f>Alukset_Käynnit!L107</f>
        <v>0</v>
      </c>
      <c r="N100" s="275">
        <f t="shared" si="13"/>
        <v>0</v>
      </c>
      <c r="O100" s="276">
        <f t="shared" si="24"/>
        <v>0</v>
      </c>
      <c r="P100" s="202"/>
      <c r="Q100" s="204">
        <f t="shared" si="14"/>
        <v>0</v>
      </c>
      <c r="R100" s="202">
        <f>IF(Q100="Other dry cargo",L100*Alukset_fx!$B$71,IF(OR(Q100="Dry bulk",Q100="Bulk carrier"),L100*Alukset_fx!$B$69,IF(Q100="Tugboat",L100*Alukset_fx!$B$76,IF(OR(Q100="Tanker",Q100="Gas tanker",Q100="Chemical tanker",Q100="Oil tanker"),L100*Alukset_fx!$B$68,IF(OR(Q100="RoRo",Q100="Vehicle carrier"),L100*Alukset_fx!$B$72,IF(Q100="RoPax",L100*Alukset_fx!$B$73,IF(Q100="Container ship",L100*Alukset_fx!$B$70,IF(Q100="Barge",0,L100*Alukset_fx!$B$75))))))))</f>
        <v>0</v>
      </c>
      <c r="S100" s="210">
        <f>IF(L100=0,IF(Q100="Other dry cargo",Alukset_fx!$H$73*(Alukset_Käynnit_Lask!K100^Alukset_fx!$I$73),IF(OR(Q100="Dry Bulk",Q100="Bulk carrier"),Alukset_fx!$H$71*(Alukset_Käynnit_Lask!K100^Alukset_fx!$I$71),IF(Q100="Tugboat",Alukset_fx!$H$78*(Alukset_Käynnit_Lask!K100^Alukset_fx!$I$78),IF(OR(Q100="Tanker",Q100="Gas tanker",Q100="Chemical tanker",Q100="Oil tanker"),Alukset_fx!$H$70*(Alukset_Käynnit_Lask!K100^Alukset_fx!$I$70),IF(Q100="Container ship",Alukset_fx!$H$72*(Alukset_Käynnit_Lask!K100^Alukset_fx!$I$72),IF(Q100="Barge",0,IF(Q100="RoPax",Alukset_fx!$H$75*(Alukset_Käynnit_Lask!K100^Alukset_fx!$I$75),IF(OR(Q100="RoRo",Q100="Vehicle carrier"),Alukset_fx!$H$74*(Alukset_Käynnit_Lask!K100^Alukset_fx!$I$74),Alukset_fx!$H$77*(Alukset_Käynnit_Lask!K100^Alukset_fx!$I$77))))))))),"-")</f>
        <v>0</v>
      </c>
      <c r="T100" s="208">
        <f>IF(R100=0,IF(Q100="Other dry cargo",S100*Alukset_fx!$B$71,IF(OR(Q100="Dry bulk",Q100="Bulk carrier"),S100*Alukset_fx!$B$69,IF(Q100="Tugboat",S100*Alukset_fx!$B$76,IF(OR(Q100="Tanker",Q100="Gas tanker",Q100="Chemical tanker",Q100="Oil tanker"),S100*Alukset_fx!$B$68,IF(OR(Q100="RoRo",Q100="Vehicle carrier"),S100*Alukset_fx!$B$72,IF(Q100="RoPax",S100*Alukset_fx!$B$73,IF(Q100="Container ship",S100*Alukset_fx!$B$70,S100*Alukset_fx!$B$75))))))),"-")</f>
        <v>0</v>
      </c>
      <c r="U100" s="208">
        <f t="shared" si="15"/>
        <v>0</v>
      </c>
      <c r="V100" s="208">
        <f t="shared" si="16"/>
        <v>0</v>
      </c>
      <c r="W100" s="202">
        <f>Alukset_Käynnit!N107</f>
        <v>0</v>
      </c>
      <c r="X100" s="211">
        <f>IF(Q100="Other dry cargo", Alukset_fx!$C$52, IF(OR(Q100="Dry bulk",Q100="Bulk carrier"),Alukset_fx!$C$35,IF(OR(Q100="Tanker",Q100="Gas tanker",Q100="Oil tanker"),Alukset_fx!$C$57,IF(Q100="Chemical tanker",Alukset_fx!$C$56,IF(OR(Q100="Tugboat",Q100="Barge"),0,IF(Q100="Other vessel",Alukset_fx!$C$54,IF(Q100="Container ship",Alukset_fx!$C$37,IF(OR(Q100="RoPax",Q100="RoRo",Q100="Vehicle carrier"),Alukset_fx!$C$55,0))))))))</f>
        <v>0</v>
      </c>
      <c r="Y100" s="211">
        <f>IF(Q100="Other dry cargo", Alukset_fx!$Q$52, IF(OR(Q100="Dry bulk",Q100="Bulk carrier"),Alukset_fx!$Q$35,IF(OR(Q100="Tanker",Q100="Gas tanker",Q100="Oil tanker"),Alukset_fx!$Q$57,IF(Q100="Chemical tanker",Alukset_fx!$Q$56,IF(OR(Q100="Tugboat",Q100="Barge"),0,IF(Q100="Other vessel",Alukset_fx!$Q$54,IF(Q100="Container ship",Alukset_fx!$Q$37,IF(OR(Q100="RoPax",Q100="RoRo",Q100="Vehicle carrier"),Alukset_fx!$Q$55,0))))))))</f>
        <v>0</v>
      </c>
      <c r="Z100" t="str">
        <f t="shared" si="17"/>
        <v>MDO/MGO</v>
      </c>
      <c r="AA100" t="str">
        <f t="shared" si="18"/>
        <v>MSD</v>
      </c>
      <c r="AB100" t="str">
        <f t="shared" si="19"/>
        <v>MDO/MGO</v>
      </c>
      <c r="AC100" t="str">
        <f t="shared" si="20"/>
        <v>MSD</v>
      </c>
      <c r="AD100" t="str">
        <f t="shared" si="21"/>
        <v>MDO/MGO</v>
      </c>
      <c r="AE100" t="str">
        <f t="shared" si="22"/>
        <v>ST</v>
      </c>
      <c r="AG100">
        <f>Alukset_Käynnit!O107</f>
        <v>0</v>
      </c>
      <c r="AH100" s="207">
        <f>IF(AA100="SSD",((U100*Alukset_fx!$B$24)*Alukset_Käynnit_Lask!W100*(Alukset_fx!$K$49)/1000),IF(AA100="MSD",((U100*Alukset_fx!$B$24)*Alukset_Käynnit_Lask!W100*(Alukset_fx!$K$52)/1000),IF(AA100="HSD",((U100*Alukset_fx!$B$24)*Alukset_Käynnit_Lask!W100*(Alukset_fx!$K$55)/1000),0)))</f>
        <v>0</v>
      </c>
      <c r="AI100" s="207">
        <f>IF(AC100="MSD",((V100*Alukset_fx!$B$25)*Alukset_Käynnit_Lask!W100*(Alukset_fx!$L$52)/1000),IF(AC100="HSD",((V100*Alukset_fx!$B$25)*Alukset_Käynnit_Lask!W100*(Alukset_fx!$L$55)/1000),0))</f>
        <v>0</v>
      </c>
      <c r="AJ100" s="207">
        <f>X100*W100*Alukset_fx!$K$61/1000</f>
        <v>0</v>
      </c>
      <c r="AK100">
        <v>0</v>
      </c>
      <c r="AL100" s="207">
        <f>IF(AG100="Käytetty",0,IF(AC100="MSD",((V100*Alukset_fx!$O$25)*Alukset_Käynnit_Lask!O100*(Alukset_fx!$L$52)/1000),IF(AC100="HSD",((V100*Alukset_fx!$O$25)*Alukset_Käynnit_Lask!O100*(Alukset_fx!$L$55)/1000),0)))</f>
        <v>0</v>
      </c>
      <c r="AM100" s="207">
        <f>IF(AG100="Käytetty",0,Y100*O100*Alukset_fx!$K$61/1000)</f>
        <v>0</v>
      </c>
      <c r="AN100" s="213">
        <f t="shared" si="23"/>
        <v>0</v>
      </c>
    </row>
    <row r="101" spans="1:40" x14ac:dyDescent="0.25">
      <c r="A101" s="203">
        <f>Alukset_Käynnit!A108</f>
        <v>0</v>
      </c>
      <c r="B101" s="203">
        <f>Alukset_Käynnit!B108</f>
        <v>0</v>
      </c>
      <c r="C101" s="262">
        <f>Alukset_Käynnit!C108</f>
        <v>0</v>
      </c>
      <c r="D101" s="266">
        <f>Alukset_Käynnit!D108</f>
        <v>0</v>
      </c>
      <c r="E101" s="262">
        <f>Alukset_Käynnit!E108</f>
        <v>0</v>
      </c>
      <c r="F101" s="262">
        <f>Alukset_Käynnit!F108</f>
        <v>0</v>
      </c>
      <c r="G101" s="262">
        <f>Alukset_Käynnit!G108</f>
        <v>0</v>
      </c>
      <c r="H101" s="262">
        <f>Alukset_Käynnit!H108</f>
        <v>0</v>
      </c>
      <c r="I101" s="262">
        <f>Alukset_Käynnit!I108</f>
        <v>0</v>
      </c>
      <c r="J101" s="262">
        <f>Alukset_Käynnit!J108</f>
        <v>0</v>
      </c>
      <c r="K101" s="262">
        <f>Alukset_Käynnit!K108</f>
        <v>0</v>
      </c>
      <c r="L101" s="205">
        <f>Alukset_Käynnit!L108</f>
        <v>0</v>
      </c>
      <c r="N101" s="273">
        <f t="shared" si="13"/>
        <v>0</v>
      </c>
      <c r="O101" s="274">
        <f t="shared" si="24"/>
        <v>0</v>
      </c>
      <c r="P101" s="202"/>
      <c r="Q101" s="204">
        <f t="shared" si="14"/>
        <v>0</v>
      </c>
      <c r="R101" s="202">
        <f>IF(Q101="Other dry cargo",L101*Alukset_fx!$B$71,IF(OR(Q101="Dry bulk",Q101="Bulk carrier"),L101*Alukset_fx!$B$69,IF(Q101="Tugboat",L101*Alukset_fx!$B$76,IF(OR(Q101="Tanker",Q101="Gas tanker",Q101="Chemical tanker",Q101="Oil tanker"),L101*Alukset_fx!$B$68,IF(OR(Q101="RoRo",Q101="Vehicle carrier"),L101*Alukset_fx!$B$72,IF(Q101="RoPax",L101*Alukset_fx!$B$73,IF(Q101="Container ship",L101*Alukset_fx!$B$70,IF(Q101="Barge",0,L101*Alukset_fx!$B$75))))))))</f>
        <v>0</v>
      </c>
      <c r="S101" s="210">
        <f>IF(L101=0,IF(Q101="Other dry cargo",Alukset_fx!$H$73*(Alukset_Käynnit_Lask!K101^Alukset_fx!$I$73),IF(OR(Q101="Dry Bulk",Q101="Bulk carrier"),Alukset_fx!$H$71*(Alukset_Käynnit_Lask!K101^Alukset_fx!$I$71),IF(Q101="Tugboat",Alukset_fx!$H$78*(Alukset_Käynnit_Lask!K101^Alukset_fx!$I$78),IF(OR(Q101="Tanker",Q101="Gas tanker",Q101="Chemical tanker",Q101="Oil tanker"),Alukset_fx!$H$70*(Alukset_Käynnit_Lask!K101^Alukset_fx!$I$70),IF(Q101="Container ship",Alukset_fx!$H$72*(Alukset_Käynnit_Lask!K101^Alukset_fx!$I$72),IF(Q101="Barge",0,IF(Q101="RoPax",Alukset_fx!$H$75*(Alukset_Käynnit_Lask!K101^Alukset_fx!$I$75),IF(OR(Q101="RoRo",Q101="Vehicle carrier"),Alukset_fx!$H$74*(Alukset_Käynnit_Lask!K101^Alukset_fx!$I$74),Alukset_fx!$H$77*(Alukset_Käynnit_Lask!K101^Alukset_fx!$I$77))))))))),"-")</f>
        <v>0</v>
      </c>
      <c r="T101" s="208">
        <f>IF(R101=0,IF(Q101="Other dry cargo",S101*Alukset_fx!$B$71,IF(OR(Q101="Dry bulk",Q101="Bulk carrier"),S101*Alukset_fx!$B$69,IF(Q101="Tugboat",S101*Alukset_fx!$B$76,IF(OR(Q101="Tanker",Q101="Gas tanker",Q101="Chemical tanker",Q101="Oil tanker"),S101*Alukset_fx!$B$68,IF(OR(Q101="RoRo",Q101="Vehicle carrier"),S101*Alukset_fx!$B$72,IF(Q101="RoPax",S101*Alukset_fx!$B$73,IF(Q101="Container ship",S101*Alukset_fx!$B$70,S101*Alukset_fx!$B$75))))))),"-")</f>
        <v>0</v>
      </c>
      <c r="U101" s="208">
        <f t="shared" si="15"/>
        <v>0</v>
      </c>
      <c r="V101" s="208">
        <f t="shared" si="16"/>
        <v>0</v>
      </c>
      <c r="W101" s="202">
        <f>Alukset_Käynnit!N108</f>
        <v>0</v>
      </c>
      <c r="X101" s="211">
        <f>IF(Q101="Other dry cargo", Alukset_fx!$C$52, IF(OR(Q101="Dry bulk",Q101="Bulk carrier"),Alukset_fx!$C$35,IF(OR(Q101="Tanker",Q101="Gas tanker",Q101="Oil tanker"),Alukset_fx!$C$57,IF(Q101="Chemical tanker",Alukset_fx!$C$56,IF(OR(Q101="Tugboat",Q101="Barge"),0,IF(Q101="Other vessel",Alukset_fx!$C$54,IF(Q101="Container ship",Alukset_fx!$C$37,IF(OR(Q101="RoPax",Q101="RoRo",Q101="Vehicle carrier"),Alukset_fx!$C$55,0))))))))</f>
        <v>0</v>
      </c>
      <c r="Y101" s="211">
        <f>IF(Q101="Other dry cargo", Alukset_fx!$Q$52, IF(OR(Q101="Dry bulk",Q101="Bulk carrier"),Alukset_fx!$Q$35,IF(OR(Q101="Tanker",Q101="Gas tanker",Q101="Oil tanker"),Alukset_fx!$Q$57,IF(Q101="Chemical tanker",Alukset_fx!$Q$56,IF(OR(Q101="Tugboat",Q101="Barge"),0,IF(Q101="Other vessel",Alukset_fx!$Q$54,IF(Q101="Container ship",Alukset_fx!$Q$37,IF(OR(Q101="RoPax",Q101="RoRo",Q101="Vehicle carrier"),Alukset_fx!$Q$55,0))))))))</f>
        <v>0</v>
      </c>
      <c r="Z101" t="str">
        <f t="shared" si="17"/>
        <v>MDO/MGO</v>
      </c>
      <c r="AA101" t="str">
        <f t="shared" si="18"/>
        <v>MSD</v>
      </c>
      <c r="AB101" t="str">
        <f t="shared" si="19"/>
        <v>MDO/MGO</v>
      </c>
      <c r="AC101" t="str">
        <f t="shared" si="20"/>
        <v>MSD</v>
      </c>
      <c r="AD101" t="str">
        <f t="shared" si="21"/>
        <v>MDO/MGO</v>
      </c>
      <c r="AE101" t="str">
        <f t="shared" si="22"/>
        <v>ST</v>
      </c>
      <c r="AG101">
        <f>Alukset_Käynnit!O108</f>
        <v>0</v>
      </c>
      <c r="AH101" s="207">
        <f>IF(AA101="SSD",((U101*Alukset_fx!$B$24)*Alukset_Käynnit_Lask!W101*(Alukset_fx!$K$49)/1000),IF(AA101="MSD",((U101*Alukset_fx!$B$24)*Alukset_Käynnit_Lask!W101*(Alukset_fx!$K$52)/1000),IF(AA101="HSD",((U101*Alukset_fx!$B$24)*Alukset_Käynnit_Lask!W101*(Alukset_fx!$K$55)/1000),0)))</f>
        <v>0</v>
      </c>
      <c r="AI101" s="207">
        <f>IF(AC101="MSD",((V101*Alukset_fx!$B$25)*Alukset_Käynnit_Lask!W101*(Alukset_fx!$L$52)/1000),IF(AC101="HSD",((V101*Alukset_fx!$B$25)*Alukset_Käynnit_Lask!W101*(Alukset_fx!$L$55)/1000),0))</f>
        <v>0</v>
      </c>
      <c r="AJ101" s="207">
        <f>X101*W101*Alukset_fx!$K$61/1000</f>
        <v>0</v>
      </c>
      <c r="AK101">
        <v>0</v>
      </c>
      <c r="AL101" s="207">
        <f>IF(AG101="Käytetty",0,IF(AC101="MSD",((V101*Alukset_fx!$O$25)*Alukset_Käynnit_Lask!O101*(Alukset_fx!$L$52)/1000),IF(AC101="HSD",((V101*Alukset_fx!$O$25)*Alukset_Käynnit_Lask!O101*(Alukset_fx!$L$55)/1000),0)))</f>
        <v>0</v>
      </c>
      <c r="AM101" s="207">
        <f>IF(AG101="Käytetty",0,Y101*O101*Alukset_fx!$K$61/1000)</f>
        <v>0</v>
      </c>
      <c r="AN101" s="213">
        <f t="shared" si="23"/>
        <v>0</v>
      </c>
    </row>
    <row r="102" spans="1:40" x14ac:dyDescent="0.25">
      <c r="A102" s="203">
        <f>Alukset_Käynnit!A109</f>
        <v>0</v>
      </c>
      <c r="B102" s="203">
        <f>Alukset_Käynnit!B109</f>
        <v>0</v>
      </c>
      <c r="C102" s="262">
        <f>Alukset_Käynnit!C109</f>
        <v>0</v>
      </c>
      <c r="D102" s="266">
        <f>Alukset_Käynnit!D109</f>
        <v>0</v>
      </c>
      <c r="E102" s="262">
        <f>Alukset_Käynnit!E109</f>
        <v>0</v>
      </c>
      <c r="F102" s="262">
        <f>Alukset_Käynnit!F109</f>
        <v>0</v>
      </c>
      <c r="G102" s="262">
        <f>Alukset_Käynnit!G109</f>
        <v>0</v>
      </c>
      <c r="H102" s="262">
        <f>Alukset_Käynnit!H109</f>
        <v>0</v>
      </c>
      <c r="I102" s="262">
        <f>Alukset_Käynnit!I109</f>
        <v>0</v>
      </c>
      <c r="J102" s="262">
        <f>Alukset_Käynnit!J109</f>
        <v>0</v>
      </c>
      <c r="K102" s="262">
        <f>Alukset_Käynnit!K109</f>
        <v>0</v>
      </c>
      <c r="L102" s="205">
        <f>Alukset_Käynnit!L109</f>
        <v>0</v>
      </c>
      <c r="N102" s="275">
        <f t="shared" si="13"/>
        <v>0</v>
      </c>
      <c r="O102" s="276">
        <f t="shared" si="24"/>
        <v>0</v>
      </c>
      <c r="P102" s="202"/>
      <c r="Q102" s="204">
        <f t="shared" si="14"/>
        <v>0</v>
      </c>
      <c r="R102" s="202">
        <f>IF(Q102="Other dry cargo",L102*Alukset_fx!$B$71,IF(OR(Q102="Dry bulk",Q102="Bulk carrier"),L102*Alukset_fx!$B$69,IF(Q102="Tugboat",L102*Alukset_fx!$B$76,IF(OR(Q102="Tanker",Q102="Gas tanker",Q102="Chemical tanker",Q102="Oil tanker"),L102*Alukset_fx!$B$68,IF(OR(Q102="RoRo",Q102="Vehicle carrier"),L102*Alukset_fx!$B$72,IF(Q102="RoPax",L102*Alukset_fx!$B$73,IF(Q102="Container ship",L102*Alukset_fx!$B$70,IF(Q102="Barge",0,L102*Alukset_fx!$B$75))))))))</f>
        <v>0</v>
      </c>
      <c r="S102" s="210">
        <f>IF(L102=0,IF(Q102="Other dry cargo",Alukset_fx!$H$73*(Alukset_Käynnit_Lask!K102^Alukset_fx!$I$73),IF(OR(Q102="Dry Bulk",Q102="Bulk carrier"),Alukset_fx!$H$71*(Alukset_Käynnit_Lask!K102^Alukset_fx!$I$71),IF(Q102="Tugboat",Alukset_fx!$H$78*(Alukset_Käynnit_Lask!K102^Alukset_fx!$I$78),IF(OR(Q102="Tanker",Q102="Gas tanker",Q102="Chemical tanker",Q102="Oil tanker"),Alukset_fx!$H$70*(Alukset_Käynnit_Lask!K102^Alukset_fx!$I$70),IF(Q102="Container ship",Alukset_fx!$H$72*(Alukset_Käynnit_Lask!K102^Alukset_fx!$I$72),IF(Q102="Barge",0,IF(Q102="RoPax",Alukset_fx!$H$75*(Alukset_Käynnit_Lask!K102^Alukset_fx!$I$75),IF(OR(Q102="RoRo",Q102="Vehicle carrier"),Alukset_fx!$H$74*(Alukset_Käynnit_Lask!K102^Alukset_fx!$I$74),Alukset_fx!$H$77*(Alukset_Käynnit_Lask!K102^Alukset_fx!$I$77))))))))),"-")</f>
        <v>0</v>
      </c>
      <c r="T102" s="208">
        <f>IF(R102=0,IF(Q102="Other dry cargo",S102*Alukset_fx!$B$71,IF(OR(Q102="Dry bulk",Q102="Bulk carrier"),S102*Alukset_fx!$B$69,IF(Q102="Tugboat",S102*Alukset_fx!$B$76,IF(OR(Q102="Tanker",Q102="Gas tanker",Q102="Chemical tanker",Q102="Oil tanker"),S102*Alukset_fx!$B$68,IF(OR(Q102="RoRo",Q102="Vehicle carrier"),S102*Alukset_fx!$B$72,IF(Q102="RoPax",S102*Alukset_fx!$B$73,IF(Q102="Container ship",S102*Alukset_fx!$B$70,S102*Alukset_fx!$B$75))))))),"-")</f>
        <v>0</v>
      </c>
      <c r="U102" s="208">
        <f t="shared" si="15"/>
        <v>0</v>
      </c>
      <c r="V102" s="208">
        <f t="shared" si="16"/>
        <v>0</v>
      </c>
      <c r="W102" s="202">
        <f>Alukset_Käynnit!N109</f>
        <v>0</v>
      </c>
      <c r="X102" s="211">
        <f>IF(Q102="Other dry cargo", Alukset_fx!$C$52, IF(OR(Q102="Dry bulk",Q102="Bulk carrier"),Alukset_fx!$C$35,IF(OR(Q102="Tanker",Q102="Gas tanker",Q102="Oil tanker"),Alukset_fx!$C$57,IF(Q102="Chemical tanker",Alukset_fx!$C$56,IF(OR(Q102="Tugboat",Q102="Barge"),0,IF(Q102="Other vessel",Alukset_fx!$C$54,IF(Q102="Container ship",Alukset_fx!$C$37,IF(OR(Q102="RoPax",Q102="RoRo",Q102="Vehicle carrier"),Alukset_fx!$C$55,0))))))))</f>
        <v>0</v>
      </c>
      <c r="Y102" s="211">
        <f>IF(Q102="Other dry cargo", Alukset_fx!$Q$52, IF(OR(Q102="Dry bulk",Q102="Bulk carrier"),Alukset_fx!$Q$35,IF(OR(Q102="Tanker",Q102="Gas tanker",Q102="Oil tanker"),Alukset_fx!$Q$57,IF(Q102="Chemical tanker",Alukset_fx!$Q$56,IF(OR(Q102="Tugboat",Q102="Barge"),0,IF(Q102="Other vessel",Alukset_fx!$Q$54,IF(Q102="Container ship",Alukset_fx!$Q$37,IF(OR(Q102="RoPax",Q102="RoRo",Q102="Vehicle carrier"),Alukset_fx!$Q$55,0))))))))</f>
        <v>0</v>
      </c>
      <c r="Z102" t="str">
        <f t="shared" si="17"/>
        <v>MDO/MGO</v>
      </c>
      <c r="AA102" t="str">
        <f t="shared" si="18"/>
        <v>MSD</v>
      </c>
      <c r="AB102" t="str">
        <f t="shared" si="19"/>
        <v>MDO/MGO</v>
      </c>
      <c r="AC102" t="str">
        <f t="shared" si="20"/>
        <v>MSD</v>
      </c>
      <c r="AD102" t="str">
        <f t="shared" si="21"/>
        <v>MDO/MGO</v>
      </c>
      <c r="AE102" t="str">
        <f t="shared" si="22"/>
        <v>ST</v>
      </c>
      <c r="AG102">
        <f>Alukset_Käynnit!O109</f>
        <v>0</v>
      </c>
      <c r="AH102" s="207">
        <f>IF(AA102="SSD",((U102*Alukset_fx!$B$24)*Alukset_Käynnit_Lask!W102*(Alukset_fx!$K$49)/1000),IF(AA102="MSD",((U102*Alukset_fx!$B$24)*Alukset_Käynnit_Lask!W102*(Alukset_fx!$K$52)/1000),IF(AA102="HSD",((U102*Alukset_fx!$B$24)*Alukset_Käynnit_Lask!W102*(Alukset_fx!$K$55)/1000),0)))</f>
        <v>0</v>
      </c>
      <c r="AI102" s="207">
        <f>IF(AC102="MSD",((V102*Alukset_fx!$B$25)*Alukset_Käynnit_Lask!W102*(Alukset_fx!$L$52)/1000),IF(AC102="HSD",((V102*Alukset_fx!$B$25)*Alukset_Käynnit_Lask!W102*(Alukset_fx!$L$55)/1000),0))</f>
        <v>0</v>
      </c>
      <c r="AJ102" s="207">
        <f>X102*W102*Alukset_fx!$K$61/1000</f>
        <v>0</v>
      </c>
      <c r="AK102">
        <v>0</v>
      </c>
      <c r="AL102" s="207">
        <f>IF(AG102="Käytetty",0,IF(AC102="MSD",((V102*Alukset_fx!$O$25)*Alukset_Käynnit_Lask!O102*(Alukset_fx!$L$52)/1000),IF(AC102="HSD",((V102*Alukset_fx!$O$25)*Alukset_Käynnit_Lask!O102*(Alukset_fx!$L$55)/1000),0)))</f>
        <v>0</v>
      </c>
      <c r="AM102" s="207">
        <f>IF(AG102="Käytetty",0,Y102*O102*Alukset_fx!$K$61/1000)</f>
        <v>0</v>
      </c>
      <c r="AN102" s="213">
        <f t="shared" si="23"/>
        <v>0</v>
      </c>
    </row>
    <row r="103" spans="1:40" x14ac:dyDescent="0.25">
      <c r="A103" s="203">
        <f>Alukset_Käynnit!A110</f>
        <v>0</v>
      </c>
      <c r="B103" s="203">
        <f>Alukset_Käynnit!B110</f>
        <v>0</v>
      </c>
      <c r="C103" s="262">
        <f>Alukset_Käynnit!C110</f>
        <v>0</v>
      </c>
      <c r="D103" s="266">
        <f>Alukset_Käynnit!D110</f>
        <v>0</v>
      </c>
      <c r="E103" s="262">
        <f>Alukset_Käynnit!E110</f>
        <v>0</v>
      </c>
      <c r="F103" s="262">
        <f>Alukset_Käynnit!F110</f>
        <v>0</v>
      </c>
      <c r="G103" s="262">
        <f>Alukset_Käynnit!G110</f>
        <v>0</v>
      </c>
      <c r="H103" s="262">
        <f>Alukset_Käynnit!H110</f>
        <v>0</v>
      </c>
      <c r="I103" s="262">
        <f>Alukset_Käynnit!I110</f>
        <v>0</v>
      </c>
      <c r="J103" s="262">
        <f>Alukset_Käynnit!J110</f>
        <v>0</v>
      </c>
      <c r="K103" s="262">
        <f>Alukset_Käynnit!K110</f>
        <v>0</v>
      </c>
      <c r="L103" s="205">
        <f>Alukset_Käynnit!L110</f>
        <v>0</v>
      </c>
      <c r="N103" s="273">
        <f t="shared" si="13"/>
        <v>0</v>
      </c>
      <c r="O103" s="274">
        <f t="shared" si="24"/>
        <v>0</v>
      </c>
      <c r="P103" s="202"/>
      <c r="Q103" s="204">
        <f t="shared" si="14"/>
        <v>0</v>
      </c>
      <c r="R103" s="202">
        <f>IF(Q103="Other dry cargo",L103*Alukset_fx!$B$71,IF(OR(Q103="Dry bulk",Q103="Bulk carrier"),L103*Alukset_fx!$B$69,IF(Q103="Tugboat",L103*Alukset_fx!$B$76,IF(OR(Q103="Tanker",Q103="Gas tanker",Q103="Chemical tanker",Q103="Oil tanker"),L103*Alukset_fx!$B$68,IF(OR(Q103="RoRo",Q103="Vehicle carrier"),L103*Alukset_fx!$B$72,IF(Q103="RoPax",L103*Alukset_fx!$B$73,IF(Q103="Container ship",L103*Alukset_fx!$B$70,IF(Q103="Barge",0,L103*Alukset_fx!$B$75))))))))</f>
        <v>0</v>
      </c>
      <c r="S103" s="210">
        <f>IF(L103=0,IF(Q103="Other dry cargo",Alukset_fx!$H$73*(Alukset_Käynnit_Lask!K103^Alukset_fx!$I$73),IF(OR(Q103="Dry Bulk",Q103="Bulk carrier"),Alukset_fx!$H$71*(Alukset_Käynnit_Lask!K103^Alukset_fx!$I$71),IF(Q103="Tugboat",Alukset_fx!$H$78*(Alukset_Käynnit_Lask!K103^Alukset_fx!$I$78),IF(OR(Q103="Tanker",Q103="Gas tanker",Q103="Chemical tanker",Q103="Oil tanker"),Alukset_fx!$H$70*(Alukset_Käynnit_Lask!K103^Alukset_fx!$I$70),IF(Q103="Container ship",Alukset_fx!$H$72*(Alukset_Käynnit_Lask!K103^Alukset_fx!$I$72),IF(Q103="Barge",0,IF(Q103="RoPax",Alukset_fx!$H$75*(Alukset_Käynnit_Lask!K103^Alukset_fx!$I$75),IF(OR(Q103="RoRo",Q103="Vehicle carrier"),Alukset_fx!$H$74*(Alukset_Käynnit_Lask!K103^Alukset_fx!$I$74),Alukset_fx!$H$77*(Alukset_Käynnit_Lask!K103^Alukset_fx!$I$77))))))))),"-")</f>
        <v>0</v>
      </c>
      <c r="T103" s="208">
        <f>IF(R103=0,IF(Q103="Other dry cargo",S103*Alukset_fx!$B$71,IF(OR(Q103="Dry bulk",Q103="Bulk carrier"),S103*Alukset_fx!$B$69,IF(Q103="Tugboat",S103*Alukset_fx!$B$76,IF(OR(Q103="Tanker",Q103="Gas tanker",Q103="Chemical tanker",Q103="Oil tanker"),S103*Alukset_fx!$B$68,IF(OR(Q103="RoRo",Q103="Vehicle carrier"),S103*Alukset_fx!$B$72,IF(Q103="RoPax",S103*Alukset_fx!$B$73,IF(Q103="Container ship",S103*Alukset_fx!$B$70,S103*Alukset_fx!$B$75))))))),"-")</f>
        <v>0</v>
      </c>
      <c r="U103" s="208">
        <f t="shared" si="15"/>
        <v>0</v>
      </c>
      <c r="V103" s="208">
        <f t="shared" si="16"/>
        <v>0</v>
      </c>
      <c r="W103" s="202">
        <f>Alukset_Käynnit!N110</f>
        <v>0</v>
      </c>
      <c r="X103" s="211">
        <f>IF(Q103="Other dry cargo", Alukset_fx!$C$52, IF(OR(Q103="Dry bulk",Q103="Bulk carrier"),Alukset_fx!$C$35,IF(OR(Q103="Tanker",Q103="Gas tanker",Q103="Oil tanker"),Alukset_fx!$C$57,IF(Q103="Chemical tanker",Alukset_fx!$C$56,IF(OR(Q103="Tugboat",Q103="Barge"),0,IF(Q103="Other vessel",Alukset_fx!$C$54,IF(Q103="Container ship",Alukset_fx!$C$37,IF(OR(Q103="RoPax",Q103="RoRo",Q103="Vehicle carrier"),Alukset_fx!$C$55,0))))))))</f>
        <v>0</v>
      </c>
      <c r="Y103" s="211">
        <f>IF(Q103="Other dry cargo", Alukset_fx!$Q$52, IF(OR(Q103="Dry bulk",Q103="Bulk carrier"),Alukset_fx!$Q$35,IF(OR(Q103="Tanker",Q103="Gas tanker",Q103="Oil tanker"),Alukset_fx!$Q$57,IF(Q103="Chemical tanker",Alukset_fx!$Q$56,IF(OR(Q103="Tugboat",Q103="Barge"),0,IF(Q103="Other vessel",Alukset_fx!$Q$54,IF(Q103="Container ship",Alukset_fx!$Q$37,IF(OR(Q103="RoPax",Q103="RoRo",Q103="Vehicle carrier"),Alukset_fx!$Q$55,0))))))))</f>
        <v>0</v>
      </c>
      <c r="Z103" t="str">
        <f t="shared" si="17"/>
        <v>MDO/MGO</v>
      </c>
      <c r="AA103" t="str">
        <f t="shared" si="18"/>
        <v>MSD</v>
      </c>
      <c r="AB103" t="str">
        <f t="shared" si="19"/>
        <v>MDO/MGO</v>
      </c>
      <c r="AC103" t="str">
        <f t="shared" si="20"/>
        <v>MSD</v>
      </c>
      <c r="AD103" t="str">
        <f t="shared" si="21"/>
        <v>MDO/MGO</v>
      </c>
      <c r="AE103" t="str">
        <f t="shared" si="22"/>
        <v>ST</v>
      </c>
      <c r="AG103">
        <f>Alukset_Käynnit!O110</f>
        <v>0</v>
      </c>
      <c r="AH103" s="207">
        <f>IF(AA103="SSD",((U103*Alukset_fx!$B$24)*Alukset_Käynnit_Lask!W103*(Alukset_fx!$K$49)/1000),IF(AA103="MSD",((U103*Alukset_fx!$B$24)*Alukset_Käynnit_Lask!W103*(Alukset_fx!$K$52)/1000),IF(AA103="HSD",((U103*Alukset_fx!$B$24)*Alukset_Käynnit_Lask!W103*(Alukset_fx!$K$55)/1000),0)))</f>
        <v>0</v>
      </c>
      <c r="AI103" s="207">
        <f>IF(AC103="MSD",((V103*Alukset_fx!$B$25)*Alukset_Käynnit_Lask!W103*(Alukset_fx!$L$52)/1000),IF(AC103="HSD",((V103*Alukset_fx!$B$25)*Alukset_Käynnit_Lask!W103*(Alukset_fx!$L$55)/1000),0))</f>
        <v>0</v>
      </c>
      <c r="AJ103" s="207">
        <f>X103*W103*Alukset_fx!$K$61/1000</f>
        <v>0</v>
      </c>
      <c r="AK103">
        <v>0</v>
      </c>
      <c r="AL103" s="207">
        <f>IF(AG103="Käytetty",0,IF(AC103="MSD",((V103*Alukset_fx!$O$25)*Alukset_Käynnit_Lask!O103*(Alukset_fx!$L$52)/1000),IF(AC103="HSD",((V103*Alukset_fx!$O$25)*Alukset_Käynnit_Lask!O103*(Alukset_fx!$L$55)/1000),0)))</f>
        <v>0</v>
      </c>
      <c r="AM103" s="207">
        <f>IF(AG103="Käytetty",0,Y103*O103*Alukset_fx!$K$61/1000)</f>
        <v>0</v>
      </c>
      <c r="AN103" s="213">
        <f t="shared" si="23"/>
        <v>0</v>
      </c>
    </row>
    <row r="104" spans="1:40" x14ac:dyDescent="0.25">
      <c r="A104" s="203">
        <f>Alukset_Käynnit!A111</f>
        <v>0</v>
      </c>
      <c r="B104" s="203">
        <f>Alukset_Käynnit!B111</f>
        <v>0</v>
      </c>
      <c r="C104" s="262">
        <f>Alukset_Käynnit!C111</f>
        <v>0</v>
      </c>
      <c r="D104" s="266">
        <f>Alukset_Käynnit!D111</f>
        <v>0</v>
      </c>
      <c r="E104" s="262">
        <f>Alukset_Käynnit!E111</f>
        <v>0</v>
      </c>
      <c r="F104" s="262">
        <f>Alukset_Käynnit!F111</f>
        <v>0</v>
      </c>
      <c r="G104" s="262">
        <f>Alukset_Käynnit!G111</f>
        <v>0</v>
      </c>
      <c r="H104" s="262">
        <f>Alukset_Käynnit!H111</f>
        <v>0</v>
      </c>
      <c r="I104" s="262">
        <f>Alukset_Käynnit!I111</f>
        <v>0</v>
      </c>
      <c r="J104" s="262">
        <f>Alukset_Käynnit!J111</f>
        <v>0</v>
      </c>
      <c r="K104" s="262">
        <f>Alukset_Käynnit!K111</f>
        <v>0</v>
      </c>
      <c r="L104" s="205">
        <f>Alukset_Käynnit!L111</f>
        <v>0</v>
      </c>
      <c r="N104" s="273">
        <f t="shared" si="13"/>
        <v>0</v>
      </c>
      <c r="O104" s="274">
        <f t="shared" si="24"/>
        <v>0</v>
      </c>
      <c r="P104" s="202"/>
      <c r="Q104" s="204">
        <f t="shared" si="14"/>
        <v>0</v>
      </c>
      <c r="R104" s="202">
        <f>IF(Q104="Other dry cargo",L104*Alukset_fx!$B$71,IF(OR(Q104="Dry bulk",Q104="Bulk carrier"),L104*Alukset_fx!$B$69,IF(Q104="Tugboat",L104*Alukset_fx!$B$76,IF(OR(Q104="Tanker",Q104="Gas tanker",Q104="Chemical tanker",Q104="Oil tanker"),L104*Alukset_fx!$B$68,IF(OR(Q104="RoRo",Q104="Vehicle carrier"),L104*Alukset_fx!$B$72,IF(Q104="RoPax",L104*Alukset_fx!$B$73,IF(Q104="Container ship",L104*Alukset_fx!$B$70,IF(Q104="Barge",0,L104*Alukset_fx!$B$75))))))))</f>
        <v>0</v>
      </c>
      <c r="S104" s="210">
        <f>IF(L104=0,IF(Q104="Other dry cargo",Alukset_fx!$H$73*(Alukset_Käynnit_Lask!K104^Alukset_fx!$I$73),IF(OR(Q104="Dry Bulk",Q104="Bulk carrier"),Alukset_fx!$H$71*(Alukset_Käynnit_Lask!K104^Alukset_fx!$I$71),IF(Q104="Tugboat",Alukset_fx!$H$78*(Alukset_Käynnit_Lask!K104^Alukset_fx!$I$78),IF(OR(Q104="Tanker",Q104="Gas tanker",Q104="Chemical tanker",Q104="Oil tanker"),Alukset_fx!$H$70*(Alukset_Käynnit_Lask!K104^Alukset_fx!$I$70),IF(Q104="Container ship",Alukset_fx!$H$72*(Alukset_Käynnit_Lask!K104^Alukset_fx!$I$72),IF(Q104="Barge",0,IF(Q104="RoPax",Alukset_fx!$H$75*(Alukset_Käynnit_Lask!K104^Alukset_fx!$I$75),IF(OR(Q104="RoRo",Q104="Vehicle carrier"),Alukset_fx!$H$74*(Alukset_Käynnit_Lask!K104^Alukset_fx!$I$74),Alukset_fx!$H$77*(Alukset_Käynnit_Lask!K104^Alukset_fx!$I$77))))))))),"-")</f>
        <v>0</v>
      </c>
      <c r="T104" s="208">
        <f>IF(R104=0,IF(Q104="Other dry cargo",S104*Alukset_fx!$B$71,IF(OR(Q104="Dry bulk",Q104="Bulk carrier"),S104*Alukset_fx!$B$69,IF(Q104="Tugboat",S104*Alukset_fx!$B$76,IF(OR(Q104="Tanker",Q104="Gas tanker",Q104="Chemical tanker",Q104="Oil tanker"),S104*Alukset_fx!$B$68,IF(OR(Q104="RoRo",Q104="Vehicle carrier"),S104*Alukset_fx!$B$72,IF(Q104="RoPax",S104*Alukset_fx!$B$73,IF(Q104="Container ship",S104*Alukset_fx!$B$70,S104*Alukset_fx!$B$75))))))),"-")</f>
        <v>0</v>
      </c>
      <c r="U104" s="208">
        <f t="shared" si="15"/>
        <v>0</v>
      </c>
      <c r="V104" s="208">
        <f t="shared" si="16"/>
        <v>0</v>
      </c>
      <c r="W104" s="202">
        <f>Alukset_Käynnit!N111</f>
        <v>0</v>
      </c>
      <c r="X104" s="211">
        <f>IF(Q104="Other dry cargo", Alukset_fx!$C$52, IF(OR(Q104="Dry bulk",Q104="Bulk carrier"),Alukset_fx!$C$35,IF(OR(Q104="Tanker",Q104="Gas tanker",Q104="Oil tanker"),Alukset_fx!$C$57,IF(Q104="Chemical tanker",Alukset_fx!$C$56,IF(OR(Q104="Tugboat",Q104="Barge"),0,IF(Q104="Other vessel",Alukset_fx!$C$54,IF(Q104="Container ship",Alukset_fx!$C$37,IF(OR(Q104="RoPax",Q104="RoRo",Q104="Vehicle carrier"),Alukset_fx!$C$55,0))))))))</f>
        <v>0</v>
      </c>
      <c r="Y104" s="211">
        <f>IF(Q104="Other dry cargo", Alukset_fx!$Q$52, IF(OR(Q104="Dry bulk",Q104="Bulk carrier"),Alukset_fx!$Q$35,IF(OR(Q104="Tanker",Q104="Gas tanker",Q104="Oil tanker"),Alukset_fx!$Q$57,IF(Q104="Chemical tanker",Alukset_fx!$Q$56,IF(OR(Q104="Tugboat",Q104="Barge"),0,IF(Q104="Other vessel",Alukset_fx!$Q$54,IF(Q104="Container ship",Alukset_fx!$Q$37,IF(OR(Q104="RoPax",Q104="RoRo",Q104="Vehicle carrier"),Alukset_fx!$Q$55,0))))))))</f>
        <v>0</v>
      </c>
      <c r="Z104" t="str">
        <f t="shared" si="17"/>
        <v>MDO/MGO</v>
      </c>
      <c r="AA104" t="str">
        <f t="shared" si="18"/>
        <v>MSD</v>
      </c>
      <c r="AB104" t="str">
        <f t="shared" si="19"/>
        <v>MDO/MGO</v>
      </c>
      <c r="AC104" t="str">
        <f t="shared" si="20"/>
        <v>MSD</v>
      </c>
      <c r="AD104" t="str">
        <f t="shared" si="21"/>
        <v>MDO/MGO</v>
      </c>
      <c r="AE104" t="str">
        <f t="shared" si="22"/>
        <v>ST</v>
      </c>
      <c r="AG104">
        <f>Alukset_Käynnit!O111</f>
        <v>0</v>
      </c>
      <c r="AH104" s="207">
        <f>IF(AA104="SSD",((U104*Alukset_fx!$B$24)*Alukset_Käynnit_Lask!W104*(Alukset_fx!$K$49)/1000),IF(AA104="MSD",((U104*Alukset_fx!$B$24)*Alukset_Käynnit_Lask!W104*(Alukset_fx!$K$52)/1000),IF(AA104="HSD",((U104*Alukset_fx!$B$24)*Alukset_Käynnit_Lask!W104*(Alukset_fx!$K$55)/1000),0)))</f>
        <v>0</v>
      </c>
      <c r="AI104" s="207">
        <f>IF(AC104="MSD",((V104*Alukset_fx!$B$25)*Alukset_Käynnit_Lask!W104*(Alukset_fx!$L$52)/1000),IF(AC104="HSD",((V104*Alukset_fx!$B$25)*Alukset_Käynnit_Lask!W104*(Alukset_fx!$L$55)/1000),0))</f>
        <v>0</v>
      </c>
      <c r="AJ104" s="207">
        <f>X104*W104*Alukset_fx!$K$61/1000</f>
        <v>0</v>
      </c>
      <c r="AK104">
        <v>0</v>
      </c>
      <c r="AL104" s="207">
        <f>IF(AG104="Käytetty",0,IF(AC104="MSD",((V104*Alukset_fx!$O$25)*Alukset_Käynnit_Lask!O104*(Alukset_fx!$L$52)/1000),IF(AC104="HSD",((V104*Alukset_fx!$O$25)*Alukset_Käynnit_Lask!O104*(Alukset_fx!$L$55)/1000),0)))</f>
        <v>0</v>
      </c>
      <c r="AM104" s="207">
        <f>IF(AG104="Käytetty",0,Y104*O104*Alukset_fx!$K$61/1000)</f>
        <v>0</v>
      </c>
      <c r="AN104" s="213">
        <f t="shared" si="23"/>
        <v>0</v>
      </c>
    </row>
    <row r="105" spans="1:40" x14ac:dyDescent="0.25">
      <c r="A105" s="203">
        <f>Alukset_Käynnit!A112</f>
        <v>0</v>
      </c>
      <c r="B105" s="203">
        <f>Alukset_Käynnit!B112</f>
        <v>0</v>
      </c>
      <c r="C105" s="262">
        <f>Alukset_Käynnit!C112</f>
        <v>0</v>
      </c>
      <c r="D105" s="266">
        <f>Alukset_Käynnit!D112</f>
        <v>0</v>
      </c>
      <c r="E105" s="262">
        <f>Alukset_Käynnit!E112</f>
        <v>0</v>
      </c>
      <c r="F105" s="262">
        <f>Alukset_Käynnit!F112</f>
        <v>0</v>
      </c>
      <c r="G105" s="262">
        <f>Alukset_Käynnit!G112</f>
        <v>0</v>
      </c>
      <c r="H105" s="262">
        <f>Alukset_Käynnit!H112</f>
        <v>0</v>
      </c>
      <c r="I105" s="262">
        <f>Alukset_Käynnit!I112</f>
        <v>0</v>
      </c>
      <c r="J105" s="262">
        <f>Alukset_Käynnit!J112</f>
        <v>0</v>
      </c>
      <c r="K105" s="262">
        <f>Alukset_Käynnit!K112</f>
        <v>0</v>
      </c>
      <c r="L105" s="205">
        <f>Alukset_Käynnit!L112</f>
        <v>0</v>
      </c>
      <c r="N105" s="273">
        <f t="shared" si="13"/>
        <v>0</v>
      </c>
      <c r="O105" s="274">
        <f t="shared" si="24"/>
        <v>0</v>
      </c>
      <c r="P105" s="202"/>
      <c r="Q105" s="204">
        <f t="shared" si="14"/>
        <v>0</v>
      </c>
      <c r="R105" s="202">
        <f>IF(Q105="Other dry cargo",L105*Alukset_fx!$B$71,IF(OR(Q105="Dry bulk",Q105="Bulk carrier"),L105*Alukset_fx!$B$69,IF(Q105="Tugboat",L105*Alukset_fx!$B$76,IF(OR(Q105="Tanker",Q105="Gas tanker",Q105="Chemical tanker",Q105="Oil tanker"),L105*Alukset_fx!$B$68,IF(OR(Q105="RoRo",Q105="Vehicle carrier"),L105*Alukset_fx!$B$72,IF(Q105="RoPax",L105*Alukset_fx!$B$73,IF(Q105="Container ship",L105*Alukset_fx!$B$70,IF(Q105="Barge",0,L105*Alukset_fx!$B$75))))))))</f>
        <v>0</v>
      </c>
      <c r="S105" s="210">
        <f>IF(L105=0,IF(Q105="Other dry cargo",Alukset_fx!$H$73*(Alukset_Käynnit_Lask!K105^Alukset_fx!$I$73),IF(OR(Q105="Dry Bulk",Q105="Bulk carrier"),Alukset_fx!$H$71*(Alukset_Käynnit_Lask!K105^Alukset_fx!$I$71),IF(Q105="Tugboat",Alukset_fx!$H$78*(Alukset_Käynnit_Lask!K105^Alukset_fx!$I$78),IF(OR(Q105="Tanker",Q105="Gas tanker",Q105="Chemical tanker",Q105="Oil tanker"),Alukset_fx!$H$70*(Alukset_Käynnit_Lask!K105^Alukset_fx!$I$70),IF(Q105="Container ship",Alukset_fx!$H$72*(Alukset_Käynnit_Lask!K105^Alukset_fx!$I$72),IF(Q105="Barge",0,IF(Q105="RoPax",Alukset_fx!$H$75*(Alukset_Käynnit_Lask!K105^Alukset_fx!$I$75),IF(OR(Q105="RoRo",Q105="Vehicle carrier"),Alukset_fx!$H$74*(Alukset_Käynnit_Lask!K105^Alukset_fx!$I$74),Alukset_fx!$H$77*(Alukset_Käynnit_Lask!K105^Alukset_fx!$I$77))))))))),"-")</f>
        <v>0</v>
      </c>
      <c r="T105" s="208">
        <f>IF(R105=0,IF(Q105="Other dry cargo",S105*Alukset_fx!$B$71,IF(OR(Q105="Dry bulk",Q105="Bulk carrier"),S105*Alukset_fx!$B$69,IF(Q105="Tugboat",S105*Alukset_fx!$B$76,IF(OR(Q105="Tanker",Q105="Gas tanker",Q105="Chemical tanker",Q105="Oil tanker"),S105*Alukset_fx!$B$68,IF(OR(Q105="RoRo",Q105="Vehicle carrier"),S105*Alukset_fx!$B$72,IF(Q105="RoPax",S105*Alukset_fx!$B$73,IF(Q105="Container ship",S105*Alukset_fx!$B$70,S105*Alukset_fx!$B$75))))))),"-")</f>
        <v>0</v>
      </c>
      <c r="U105" s="208">
        <f t="shared" si="15"/>
        <v>0</v>
      </c>
      <c r="V105" s="208">
        <f t="shared" si="16"/>
        <v>0</v>
      </c>
      <c r="W105" s="202">
        <f>Alukset_Käynnit!N112</f>
        <v>0</v>
      </c>
      <c r="X105" s="211">
        <f>IF(Q105="Other dry cargo", Alukset_fx!$C$52, IF(OR(Q105="Dry bulk",Q105="Bulk carrier"),Alukset_fx!$C$35,IF(OR(Q105="Tanker",Q105="Gas tanker",Q105="Oil tanker"),Alukset_fx!$C$57,IF(Q105="Chemical tanker",Alukset_fx!$C$56,IF(OR(Q105="Tugboat",Q105="Barge"),0,IF(Q105="Other vessel",Alukset_fx!$C$54,IF(Q105="Container ship",Alukset_fx!$C$37,IF(OR(Q105="RoPax",Q105="RoRo",Q105="Vehicle carrier"),Alukset_fx!$C$55,0))))))))</f>
        <v>0</v>
      </c>
      <c r="Y105" s="211">
        <f>IF(Q105="Other dry cargo", Alukset_fx!$Q$52, IF(OR(Q105="Dry bulk",Q105="Bulk carrier"),Alukset_fx!$Q$35,IF(OR(Q105="Tanker",Q105="Gas tanker",Q105="Oil tanker"),Alukset_fx!$Q$57,IF(Q105="Chemical tanker",Alukset_fx!$Q$56,IF(OR(Q105="Tugboat",Q105="Barge"),0,IF(Q105="Other vessel",Alukset_fx!$Q$54,IF(Q105="Container ship",Alukset_fx!$Q$37,IF(OR(Q105="RoPax",Q105="RoRo",Q105="Vehicle carrier"),Alukset_fx!$Q$55,0))))))))</f>
        <v>0</v>
      </c>
      <c r="Z105" t="str">
        <f t="shared" si="17"/>
        <v>MDO/MGO</v>
      </c>
      <c r="AA105" t="str">
        <f t="shared" si="18"/>
        <v>MSD</v>
      </c>
      <c r="AB105" t="str">
        <f t="shared" si="19"/>
        <v>MDO/MGO</v>
      </c>
      <c r="AC105" t="str">
        <f t="shared" si="20"/>
        <v>MSD</v>
      </c>
      <c r="AD105" t="str">
        <f t="shared" si="21"/>
        <v>MDO/MGO</v>
      </c>
      <c r="AE105" t="str">
        <f t="shared" si="22"/>
        <v>ST</v>
      </c>
      <c r="AG105">
        <f>Alukset_Käynnit!O112</f>
        <v>0</v>
      </c>
      <c r="AH105" s="207">
        <f>IF(AA105="SSD",((U105*Alukset_fx!$B$24)*Alukset_Käynnit_Lask!W105*(Alukset_fx!$K$49)/1000),IF(AA105="MSD",((U105*Alukset_fx!$B$24)*Alukset_Käynnit_Lask!W105*(Alukset_fx!$K$52)/1000),IF(AA105="HSD",((U105*Alukset_fx!$B$24)*Alukset_Käynnit_Lask!W105*(Alukset_fx!$K$55)/1000),0)))</f>
        <v>0</v>
      </c>
      <c r="AI105" s="207">
        <f>IF(AC105="MSD",((V105*Alukset_fx!$B$25)*Alukset_Käynnit_Lask!W105*(Alukset_fx!$L$52)/1000),IF(AC105="HSD",((V105*Alukset_fx!$B$25)*Alukset_Käynnit_Lask!W105*(Alukset_fx!$L$55)/1000),0))</f>
        <v>0</v>
      </c>
      <c r="AJ105" s="207">
        <f>X105*W105*Alukset_fx!$K$61/1000</f>
        <v>0</v>
      </c>
      <c r="AK105">
        <v>0</v>
      </c>
      <c r="AL105" s="207">
        <f>IF(AG105="Käytetty",0,IF(AC105="MSD",((V105*Alukset_fx!$O$25)*Alukset_Käynnit_Lask!O105*(Alukset_fx!$L$52)/1000),IF(AC105="HSD",((V105*Alukset_fx!$O$25)*Alukset_Käynnit_Lask!O105*(Alukset_fx!$L$55)/1000),0)))</f>
        <v>0</v>
      </c>
      <c r="AM105" s="207">
        <f>IF(AG105="Käytetty",0,Y105*O105*Alukset_fx!$K$61/1000)</f>
        <v>0</v>
      </c>
      <c r="AN105" s="213">
        <f t="shared" si="23"/>
        <v>0</v>
      </c>
    </row>
    <row r="106" spans="1:40" x14ac:dyDescent="0.25">
      <c r="A106" s="203">
        <f>Alukset_Käynnit!A113</f>
        <v>0</v>
      </c>
      <c r="B106" s="203">
        <f>Alukset_Käynnit!B113</f>
        <v>0</v>
      </c>
      <c r="C106" s="262">
        <f>Alukset_Käynnit!C113</f>
        <v>0</v>
      </c>
      <c r="D106" s="266">
        <f>Alukset_Käynnit!D113</f>
        <v>0</v>
      </c>
      <c r="E106" s="262">
        <f>Alukset_Käynnit!E113</f>
        <v>0</v>
      </c>
      <c r="F106" s="262">
        <f>Alukset_Käynnit!F113</f>
        <v>0</v>
      </c>
      <c r="G106" s="262">
        <f>Alukset_Käynnit!G113</f>
        <v>0</v>
      </c>
      <c r="H106" s="262">
        <f>Alukset_Käynnit!H113</f>
        <v>0</v>
      </c>
      <c r="I106" s="262">
        <f>Alukset_Käynnit!I113</f>
        <v>0</v>
      </c>
      <c r="J106" s="262">
        <f>Alukset_Käynnit!J113</f>
        <v>0</v>
      </c>
      <c r="K106" s="262">
        <f>Alukset_Käynnit!K113</f>
        <v>0</v>
      </c>
      <c r="L106" s="205">
        <f>Alukset_Käynnit!L113</f>
        <v>0</v>
      </c>
      <c r="N106" s="275">
        <f t="shared" si="13"/>
        <v>0</v>
      </c>
      <c r="O106" s="276">
        <f t="shared" si="24"/>
        <v>0</v>
      </c>
      <c r="P106" s="202"/>
      <c r="Q106" s="204">
        <f t="shared" si="14"/>
        <v>0</v>
      </c>
      <c r="R106" s="202">
        <f>IF(Q106="Other dry cargo",L106*Alukset_fx!$B$71,IF(OR(Q106="Dry bulk",Q106="Bulk carrier"),L106*Alukset_fx!$B$69,IF(Q106="Tugboat",L106*Alukset_fx!$B$76,IF(OR(Q106="Tanker",Q106="Gas tanker",Q106="Chemical tanker",Q106="Oil tanker"),L106*Alukset_fx!$B$68,IF(OR(Q106="RoRo",Q106="Vehicle carrier"),L106*Alukset_fx!$B$72,IF(Q106="RoPax",L106*Alukset_fx!$B$73,IF(Q106="Container ship",L106*Alukset_fx!$B$70,IF(Q106="Barge",0,L106*Alukset_fx!$B$75))))))))</f>
        <v>0</v>
      </c>
      <c r="S106" s="210">
        <f>IF(L106=0,IF(Q106="Other dry cargo",Alukset_fx!$H$73*(Alukset_Käynnit_Lask!K106^Alukset_fx!$I$73),IF(OR(Q106="Dry Bulk",Q106="Bulk carrier"),Alukset_fx!$H$71*(Alukset_Käynnit_Lask!K106^Alukset_fx!$I$71),IF(Q106="Tugboat",Alukset_fx!$H$78*(Alukset_Käynnit_Lask!K106^Alukset_fx!$I$78),IF(OR(Q106="Tanker",Q106="Gas tanker",Q106="Chemical tanker",Q106="Oil tanker"),Alukset_fx!$H$70*(Alukset_Käynnit_Lask!K106^Alukset_fx!$I$70),IF(Q106="Container ship",Alukset_fx!$H$72*(Alukset_Käynnit_Lask!K106^Alukset_fx!$I$72),IF(Q106="Barge",0,IF(Q106="RoPax",Alukset_fx!$H$75*(Alukset_Käynnit_Lask!K106^Alukset_fx!$I$75),IF(OR(Q106="RoRo",Q106="Vehicle carrier"),Alukset_fx!$H$74*(Alukset_Käynnit_Lask!K106^Alukset_fx!$I$74),Alukset_fx!$H$77*(Alukset_Käynnit_Lask!K106^Alukset_fx!$I$77))))))))),"-")</f>
        <v>0</v>
      </c>
      <c r="T106" s="208">
        <f>IF(R106=0,IF(Q106="Other dry cargo",S106*Alukset_fx!$B$71,IF(OR(Q106="Dry bulk",Q106="Bulk carrier"),S106*Alukset_fx!$B$69,IF(Q106="Tugboat",S106*Alukset_fx!$B$76,IF(OR(Q106="Tanker",Q106="Gas tanker",Q106="Chemical tanker",Q106="Oil tanker"),S106*Alukset_fx!$B$68,IF(OR(Q106="RoRo",Q106="Vehicle carrier"),S106*Alukset_fx!$B$72,IF(Q106="RoPax",S106*Alukset_fx!$B$73,IF(Q106="Container ship",S106*Alukset_fx!$B$70,S106*Alukset_fx!$B$75))))))),"-")</f>
        <v>0</v>
      </c>
      <c r="U106" s="208">
        <f t="shared" si="15"/>
        <v>0</v>
      </c>
      <c r="V106" s="208">
        <f t="shared" si="16"/>
        <v>0</v>
      </c>
      <c r="W106" s="202">
        <f>Alukset_Käynnit!N113</f>
        <v>0</v>
      </c>
      <c r="X106" s="211">
        <f>IF(Q106="Other dry cargo", Alukset_fx!$C$52, IF(OR(Q106="Dry bulk",Q106="Bulk carrier"),Alukset_fx!$C$35,IF(OR(Q106="Tanker",Q106="Gas tanker",Q106="Oil tanker"),Alukset_fx!$C$57,IF(Q106="Chemical tanker",Alukset_fx!$C$56,IF(OR(Q106="Tugboat",Q106="Barge"),0,IF(Q106="Other vessel",Alukset_fx!$C$54,IF(Q106="Container ship",Alukset_fx!$C$37,IF(OR(Q106="RoPax",Q106="RoRo",Q106="Vehicle carrier"),Alukset_fx!$C$55,0))))))))</f>
        <v>0</v>
      </c>
      <c r="Y106" s="211">
        <f>IF(Q106="Other dry cargo", Alukset_fx!$Q$52, IF(OR(Q106="Dry bulk",Q106="Bulk carrier"),Alukset_fx!$Q$35,IF(OR(Q106="Tanker",Q106="Gas tanker",Q106="Oil tanker"),Alukset_fx!$Q$57,IF(Q106="Chemical tanker",Alukset_fx!$Q$56,IF(OR(Q106="Tugboat",Q106="Barge"),0,IF(Q106="Other vessel",Alukset_fx!$Q$54,IF(Q106="Container ship",Alukset_fx!$Q$37,IF(OR(Q106="RoPax",Q106="RoRo",Q106="Vehicle carrier"),Alukset_fx!$Q$55,0))))))))</f>
        <v>0</v>
      </c>
      <c r="Z106" t="str">
        <f t="shared" si="17"/>
        <v>MDO/MGO</v>
      </c>
      <c r="AA106" t="str">
        <f t="shared" si="18"/>
        <v>MSD</v>
      </c>
      <c r="AB106" t="str">
        <f t="shared" si="19"/>
        <v>MDO/MGO</v>
      </c>
      <c r="AC106" t="str">
        <f t="shared" si="20"/>
        <v>MSD</v>
      </c>
      <c r="AD106" t="str">
        <f t="shared" si="21"/>
        <v>MDO/MGO</v>
      </c>
      <c r="AE106" t="str">
        <f t="shared" si="22"/>
        <v>ST</v>
      </c>
      <c r="AG106">
        <f>Alukset_Käynnit!O113</f>
        <v>0</v>
      </c>
      <c r="AH106" s="207">
        <f>IF(AA106="SSD",((U106*Alukset_fx!$B$24)*Alukset_Käynnit_Lask!W106*(Alukset_fx!$K$49)/1000),IF(AA106="MSD",((U106*Alukset_fx!$B$24)*Alukset_Käynnit_Lask!W106*(Alukset_fx!$K$52)/1000),IF(AA106="HSD",((U106*Alukset_fx!$B$24)*Alukset_Käynnit_Lask!W106*(Alukset_fx!$K$55)/1000),0)))</f>
        <v>0</v>
      </c>
      <c r="AI106" s="207">
        <f>IF(AC106="MSD",((V106*Alukset_fx!$B$25)*Alukset_Käynnit_Lask!W106*(Alukset_fx!$L$52)/1000),IF(AC106="HSD",((V106*Alukset_fx!$B$25)*Alukset_Käynnit_Lask!W106*(Alukset_fx!$L$55)/1000),0))</f>
        <v>0</v>
      </c>
      <c r="AJ106" s="207">
        <f>X106*W106*Alukset_fx!$K$61/1000</f>
        <v>0</v>
      </c>
      <c r="AK106">
        <v>0</v>
      </c>
      <c r="AL106" s="207">
        <f>IF(AG106="Käytetty",0,IF(AC106="MSD",((V106*Alukset_fx!$O$25)*Alukset_Käynnit_Lask!O106*(Alukset_fx!$L$52)/1000),IF(AC106="HSD",((V106*Alukset_fx!$O$25)*Alukset_Käynnit_Lask!O106*(Alukset_fx!$L$55)/1000),0)))</f>
        <v>0</v>
      </c>
      <c r="AM106" s="207">
        <f>IF(AG106="Käytetty",0,Y106*O106*Alukset_fx!$K$61/1000)</f>
        <v>0</v>
      </c>
      <c r="AN106" s="213">
        <f t="shared" si="23"/>
        <v>0</v>
      </c>
    </row>
    <row r="107" spans="1:40" x14ac:dyDescent="0.25">
      <c r="A107" s="203">
        <f>Alukset_Käynnit!A114</f>
        <v>0</v>
      </c>
      <c r="B107" s="203">
        <f>Alukset_Käynnit!B114</f>
        <v>0</v>
      </c>
      <c r="C107" s="262">
        <f>Alukset_Käynnit!C114</f>
        <v>0</v>
      </c>
      <c r="D107" s="266">
        <f>Alukset_Käynnit!D114</f>
        <v>0</v>
      </c>
      <c r="E107" s="262">
        <f>Alukset_Käynnit!E114</f>
        <v>0</v>
      </c>
      <c r="F107" s="262">
        <f>Alukset_Käynnit!F114</f>
        <v>0</v>
      </c>
      <c r="G107" s="262">
        <f>Alukset_Käynnit!G114</f>
        <v>0</v>
      </c>
      <c r="H107" s="262">
        <f>Alukset_Käynnit!H114</f>
        <v>0</v>
      </c>
      <c r="I107" s="262">
        <f>Alukset_Käynnit!I114</f>
        <v>0</v>
      </c>
      <c r="J107" s="262">
        <f>Alukset_Käynnit!J114</f>
        <v>0</v>
      </c>
      <c r="K107" s="262">
        <f>Alukset_Käynnit!K114</f>
        <v>0</v>
      </c>
      <c r="L107" s="205">
        <f>Alukset_Käynnit!L114</f>
        <v>0</v>
      </c>
      <c r="N107" s="273">
        <f t="shared" si="13"/>
        <v>0</v>
      </c>
      <c r="O107" s="274">
        <f t="shared" si="24"/>
        <v>0</v>
      </c>
      <c r="P107" s="202"/>
      <c r="Q107" s="204">
        <f t="shared" si="14"/>
        <v>0</v>
      </c>
      <c r="R107" s="202">
        <f>IF(Q107="Other dry cargo",L107*Alukset_fx!$B$71,IF(OR(Q107="Dry bulk",Q107="Bulk carrier"),L107*Alukset_fx!$B$69,IF(Q107="Tugboat",L107*Alukset_fx!$B$76,IF(OR(Q107="Tanker",Q107="Gas tanker",Q107="Chemical tanker",Q107="Oil tanker"),L107*Alukset_fx!$B$68,IF(OR(Q107="RoRo",Q107="Vehicle carrier"),L107*Alukset_fx!$B$72,IF(Q107="RoPax",L107*Alukset_fx!$B$73,IF(Q107="Container ship",L107*Alukset_fx!$B$70,IF(Q107="Barge",0,L107*Alukset_fx!$B$75))))))))</f>
        <v>0</v>
      </c>
      <c r="S107" s="210">
        <f>IF(L107=0,IF(Q107="Other dry cargo",Alukset_fx!$H$73*(Alukset_Käynnit_Lask!K107^Alukset_fx!$I$73),IF(OR(Q107="Dry Bulk",Q107="Bulk carrier"),Alukset_fx!$H$71*(Alukset_Käynnit_Lask!K107^Alukset_fx!$I$71),IF(Q107="Tugboat",Alukset_fx!$H$78*(Alukset_Käynnit_Lask!K107^Alukset_fx!$I$78),IF(OR(Q107="Tanker",Q107="Gas tanker",Q107="Chemical tanker",Q107="Oil tanker"),Alukset_fx!$H$70*(Alukset_Käynnit_Lask!K107^Alukset_fx!$I$70),IF(Q107="Container ship",Alukset_fx!$H$72*(Alukset_Käynnit_Lask!K107^Alukset_fx!$I$72),IF(Q107="Barge",0,IF(Q107="RoPax",Alukset_fx!$H$75*(Alukset_Käynnit_Lask!K107^Alukset_fx!$I$75),IF(OR(Q107="RoRo",Q107="Vehicle carrier"),Alukset_fx!$H$74*(Alukset_Käynnit_Lask!K107^Alukset_fx!$I$74),Alukset_fx!$H$77*(Alukset_Käynnit_Lask!K107^Alukset_fx!$I$77))))))))),"-")</f>
        <v>0</v>
      </c>
      <c r="T107" s="208">
        <f>IF(R107=0,IF(Q107="Other dry cargo",S107*Alukset_fx!$B$71,IF(OR(Q107="Dry bulk",Q107="Bulk carrier"),S107*Alukset_fx!$B$69,IF(Q107="Tugboat",S107*Alukset_fx!$B$76,IF(OR(Q107="Tanker",Q107="Gas tanker",Q107="Chemical tanker",Q107="Oil tanker"),S107*Alukset_fx!$B$68,IF(OR(Q107="RoRo",Q107="Vehicle carrier"),S107*Alukset_fx!$B$72,IF(Q107="RoPax",S107*Alukset_fx!$B$73,IF(Q107="Container ship",S107*Alukset_fx!$B$70,S107*Alukset_fx!$B$75))))))),"-")</f>
        <v>0</v>
      </c>
      <c r="U107" s="208">
        <f t="shared" si="15"/>
        <v>0</v>
      </c>
      <c r="V107" s="208">
        <f t="shared" si="16"/>
        <v>0</v>
      </c>
      <c r="W107" s="202">
        <f>Alukset_Käynnit!N114</f>
        <v>0</v>
      </c>
      <c r="X107" s="211">
        <f>IF(Q107="Other dry cargo", Alukset_fx!$C$52, IF(OR(Q107="Dry bulk",Q107="Bulk carrier"),Alukset_fx!$C$35,IF(OR(Q107="Tanker",Q107="Gas tanker",Q107="Oil tanker"),Alukset_fx!$C$57,IF(Q107="Chemical tanker",Alukset_fx!$C$56,IF(OR(Q107="Tugboat",Q107="Barge"),0,IF(Q107="Other vessel",Alukset_fx!$C$54,IF(Q107="Container ship",Alukset_fx!$C$37,IF(OR(Q107="RoPax",Q107="RoRo",Q107="Vehicle carrier"),Alukset_fx!$C$55,0))))))))</f>
        <v>0</v>
      </c>
      <c r="Y107" s="211">
        <f>IF(Q107="Other dry cargo", Alukset_fx!$Q$52, IF(OR(Q107="Dry bulk",Q107="Bulk carrier"),Alukset_fx!$Q$35,IF(OR(Q107="Tanker",Q107="Gas tanker",Q107="Oil tanker"),Alukset_fx!$Q$57,IF(Q107="Chemical tanker",Alukset_fx!$Q$56,IF(OR(Q107="Tugboat",Q107="Barge"),0,IF(Q107="Other vessel",Alukset_fx!$Q$54,IF(Q107="Container ship",Alukset_fx!$Q$37,IF(OR(Q107="RoPax",Q107="RoRo",Q107="Vehicle carrier"),Alukset_fx!$Q$55,0))))))))</f>
        <v>0</v>
      </c>
      <c r="Z107" t="str">
        <f t="shared" si="17"/>
        <v>MDO/MGO</v>
      </c>
      <c r="AA107" t="str">
        <f t="shared" si="18"/>
        <v>MSD</v>
      </c>
      <c r="AB107" t="str">
        <f t="shared" si="19"/>
        <v>MDO/MGO</v>
      </c>
      <c r="AC107" t="str">
        <f t="shared" si="20"/>
        <v>MSD</v>
      </c>
      <c r="AD107" t="str">
        <f t="shared" si="21"/>
        <v>MDO/MGO</v>
      </c>
      <c r="AE107" t="str">
        <f t="shared" si="22"/>
        <v>ST</v>
      </c>
      <c r="AG107">
        <f>Alukset_Käynnit!O114</f>
        <v>0</v>
      </c>
      <c r="AH107" s="207">
        <f>IF(AA107="SSD",((U107*Alukset_fx!$B$24)*Alukset_Käynnit_Lask!W107*(Alukset_fx!$K$49)/1000),IF(AA107="MSD",((U107*Alukset_fx!$B$24)*Alukset_Käynnit_Lask!W107*(Alukset_fx!$K$52)/1000),IF(AA107="HSD",((U107*Alukset_fx!$B$24)*Alukset_Käynnit_Lask!W107*(Alukset_fx!$K$55)/1000),0)))</f>
        <v>0</v>
      </c>
      <c r="AI107" s="207">
        <f>IF(AC107="MSD",((V107*Alukset_fx!$B$25)*Alukset_Käynnit_Lask!W107*(Alukset_fx!$L$52)/1000),IF(AC107="HSD",((V107*Alukset_fx!$B$25)*Alukset_Käynnit_Lask!W107*(Alukset_fx!$L$55)/1000),0))</f>
        <v>0</v>
      </c>
      <c r="AJ107" s="207">
        <f>X107*W107*Alukset_fx!$K$61/1000</f>
        <v>0</v>
      </c>
      <c r="AK107">
        <v>0</v>
      </c>
      <c r="AL107" s="207">
        <f>IF(AG107="Käytetty",0,IF(AC107="MSD",((V107*Alukset_fx!$O$25)*Alukset_Käynnit_Lask!O107*(Alukset_fx!$L$52)/1000),IF(AC107="HSD",((V107*Alukset_fx!$O$25)*Alukset_Käynnit_Lask!O107*(Alukset_fx!$L$55)/1000),0)))</f>
        <v>0</v>
      </c>
      <c r="AM107" s="207">
        <f>IF(AG107="Käytetty",0,Y107*O107*Alukset_fx!$K$61/1000)</f>
        <v>0</v>
      </c>
      <c r="AN107" s="213">
        <f t="shared" si="23"/>
        <v>0</v>
      </c>
    </row>
    <row r="108" spans="1:40" x14ac:dyDescent="0.25">
      <c r="A108" s="203">
        <f>Alukset_Käynnit!A115</f>
        <v>0</v>
      </c>
      <c r="B108" s="203">
        <f>Alukset_Käynnit!B115</f>
        <v>0</v>
      </c>
      <c r="C108" s="262">
        <f>Alukset_Käynnit!C115</f>
        <v>0</v>
      </c>
      <c r="D108" s="266">
        <f>Alukset_Käynnit!D115</f>
        <v>0</v>
      </c>
      <c r="E108" s="262">
        <f>Alukset_Käynnit!E115</f>
        <v>0</v>
      </c>
      <c r="F108" s="262">
        <f>Alukset_Käynnit!F115</f>
        <v>0</v>
      </c>
      <c r="G108" s="262">
        <f>Alukset_Käynnit!G115</f>
        <v>0</v>
      </c>
      <c r="H108" s="262">
        <f>Alukset_Käynnit!H115</f>
        <v>0</v>
      </c>
      <c r="I108" s="262">
        <f>Alukset_Käynnit!I115</f>
        <v>0</v>
      </c>
      <c r="J108" s="262">
        <f>Alukset_Käynnit!J115</f>
        <v>0</v>
      </c>
      <c r="K108" s="262">
        <f>Alukset_Käynnit!K115</f>
        <v>0</v>
      </c>
      <c r="L108" s="205">
        <f>Alukset_Käynnit!L115</f>
        <v>0</v>
      </c>
      <c r="N108" s="273">
        <f t="shared" si="13"/>
        <v>0</v>
      </c>
      <c r="O108" s="274">
        <f t="shared" si="24"/>
        <v>0</v>
      </c>
      <c r="P108" s="202"/>
      <c r="Q108" s="204">
        <f t="shared" si="14"/>
        <v>0</v>
      </c>
      <c r="R108" s="202">
        <f>IF(Q108="Other dry cargo",L108*Alukset_fx!$B$71,IF(OR(Q108="Dry bulk",Q108="Bulk carrier"),L108*Alukset_fx!$B$69,IF(Q108="Tugboat",L108*Alukset_fx!$B$76,IF(OR(Q108="Tanker",Q108="Gas tanker",Q108="Chemical tanker",Q108="Oil tanker"),L108*Alukset_fx!$B$68,IF(OR(Q108="RoRo",Q108="Vehicle carrier"),L108*Alukset_fx!$B$72,IF(Q108="RoPax",L108*Alukset_fx!$B$73,IF(Q108="Container ship",L108*Alukset_fx!$B$70,IF(Q108="Barge",0,L108*Alukset_fx!$B$75))))))))</f>
        <v>0</v>
      </c>
      <c r="S108" s="210">
        <f>IF(L108=0,IF(Q108="Other dry cargo",Alukset_fx!$H$73*(Alukset_Käynnit_Lask!K108^Alukset_fx!$I$73),IF(OR(Q108="Dry Bulk",Q108="Bulk carrier"),Alukset_fx!$H$71*(Alukset_Käynnit_Lask!K108^Alukset_fx!$I$71),IF(Q108="Tugboat",Alukset_fx!$H$78*(Alukset_Käynnit_Lask!K108^Alukset_fx!$I$78),IF(OR(Q108="Tanker",Q108="Gas tanker",Q108="Chemical tanker",Q108="Oil tanker"),Alukset_fx!$H$70*(Alukset_Käynnit_Lask!K108^Alukset_fx!$I$70),IF(Q108="Container ship",Alukset_fx!$H$72*(Alukset_Käynnit_Lask!K108^Alukset_fx!$I$72),IF(Q108="Barge",0,IF(Q108="RoPax",Alukset_fx!$H$75*(Alukset_Käynnit_Lask!K108^Alukset_fx!$I$75),IF(OR(Q108="RoRo",Q108="Vehicle carrier"),Alukset_fx!$H$74*(Alukset_Käynnit_Lask!K108^Alukset_fx!$I$74),Alukset_fx!$H$77*(Alukset_Käynnit_Lask!K108^Alukset_fx!$I$77))))))))),"-")</f>
        <v>0</v>
      </c>
      <c r="T108" s="208">
        <f>IF(R108=0,IF(Q108="Other dry cargo",S108*Alukset_fx!$B$71,IF(OR(Q108="Dry bulk",Q108="Bulk carrier"),S108*Alukset_fx!$B$69,IF(Q108="Tugboat",S108*Alukset_fx!$B$76,IF(OR(Q108="Tanker",Q108="Gas tanker",Q108="Chemical tanker",Q108="Oil tanker"),S108*Alukset_fx!$B$68,IF(OR(Q108="RoRo",Q108="Vehicle carrier"),S108*Alukset_fx!$B$72,IF(Q108="RoPax",S108*Alukset_fx!$B$73,IF(Q108="Container ship",S108*Alukset_fx!$B$70,S108*Alukset_fx!$B$75))))))),"-")</f>
        <v>0</v>
      </c>
      <c r="U108" s="208">
        <f t="shared" si="15"/>
        <v>0</v>
      </c>
      <c r="V108" s="208">
        <f t="shared" si="16"/>
        <v>0</v>
      </c>
      <c r="W108" s="202">
        <f>Alukset_Käynnit!N115</f>
        <v>0</v>
      </c>
      <c r="X108" s="211">
        <f>IF(Q108="Other dry cargo", Alukset_fx!$C$52, IF(OR(Q108="Dry bulk",Q108="Bulk carrier"),Alukset_fx!$C$35,IF(OR(Q108="Tanker",Q108="Gas tanker",Q108="Oil tanker"),Alukset_fx!$C$57,IF(Q108="Chemical tanker",Alukset_fx!$C$56,IF(OR(Q108="Tugboat",Q108="Barge"),0,IF(Q108="Other vessel",Alukset_fx!$C$54,IF(Q108="Container ship",Alukset_fx!$C$37,IF(OR(Q108="RoPax",Q108="RoRo",Q108="Vehicle carrier"),Alukset_fx!$C$55,0))))))))</f>
        <v>0</v>
      </c>
      <c r="Y108" s="211">
        <f>IF(Q108="Other dry cargo", Alukset_fx!$Q$52, IF(OR(Q108="Dry bulk",Q108="Bulk carrier"),Alukset_fx!$Q$35,IF(OR(Q108="Tanker",Q108="Gas tanker",Q108="Oil tanker"),Alukset_fx!$Q$57,IF(Q108="Chemical tanker",Alukset_fx!$Q$56,IF(OR(Q108="Tugboat",Q108="Barge"),0,IF(Q108="Other vessel",Alukset_fx!$Q$54,IF(Q108="Container ship",Alukset_fx!$Q$37,IF(OR(Q108="RoPax",Q108="RoRo",Q108="Vehicle carrier"),Alukset_fx!$Q$55,0))))))))</f>
        <v>0</v>
      </c>
      <c r="Z108" t="str">
        <f t="shared" si="17"/>
        <v>MDO/MGO</v>
      </c>
      <c r="AA108" t="str">
        <f t="shared" si="18"/>
        <v>MSD</v>
      </c>
      <c r="AB108" t="str">
        <f t="shared" si="19"/>
        <v>MDO/MGO</v>
      </c>
      <c r="AC108" t="str">
        <f t="shared" si="20"/>
        <v>MSD</v>
      </c>
      <c r="AD108" t="str">
        <f t="shared" si="21"/>
        <v>MDO/MGO</v>
      </c>
      <c r="AE108" t="str">
        <f t="shared" si="22"/>
        <v>ST</v>
      </c>
      <c r="AG108">
        <f>Alukset_Käynnit!O115</f>
        <v>0</v>
      </c>
      <c r="AH108" s="207">
        <f>IF(AA108="SSD",((U108*Alukset_fx!$B$24)*Alukset_Käynnit_Lask!W108*(Alukset_fx!$K$49)/1000),IF(AA108="MSD",((U108*Alukset_fx!$B$24)*Alukset_Käynnit_Lask!W108*(Alukset_fx!$K$52)/1000),IF(AA108="HSD",((U108*Alukset_fx!$B$24)*Alukset_Käynnit_Lask!W108*(Alukset_fx!$K$55)/1000),0)))</f>
        <v>0</v>
      </c>
      <c r="AI108" s="207">
        <f>IF(AC108="MSD",((V108*Alukset_fx!$B$25)*Alukset_Käynnit_Lask!W108*(Alukset_fx!$L$52)/1000),IF(AC108="HSD",((V108*Alukset_fx!$B$25)*Alukset_Käynnit_Lask!W108*(Alukset_fx!$L$55)/1000),0))</f>
        <v>0</v>
      </c>
      <c r="AJ108" s="207">
        <f>X108*W108*Alukset_fx!$K$61/1000</f>
        <v>0</v>
      </c>
      <c r="AK108">
        <v>0</v>
      </c>
      <c r="AL108" s="207">
        <f>IF(AG108="Käytetty",0,IF(AC108="MSD",((V108*Alukset_fx!$O$25)*Alukset_Käynnit_Lask!O108*(Alukset_fx!$L$52)/1000),IF(AC108="HSD",((V108*Alukset_fx!$O$25)*Alukset_Käynnit_Lask!O108*(Alukset_fx!$L$55)/1000),0)))</f>
        <v>0</v>
      </c>
      <c r="AM108" s="207">
        <f>IF(AG108="Käytetty",0,Y108*O108*Alukset_fx!$K$61/1000)</f>
        <v>0</v>
      </c>
      <c r="AN108" s="213">
        <f t="shared" si="23"/>
        <v>0</v>
      </c>
    </row>
    <row r="109" spans="1:40" x14ac:dyDescent="0.25">
      <c r="A109" s="203">
        <f>Alukset_Käynnit!A116</f>
        <v>0</v>
      </c>
      <c r="B109" s="203">
        <f>Alukset_Käynnit!B116</f>
        <v>0</v>
      </c>
      <c r="C109" s="262">
        <f>Alukset_Käynnit!C116</f>
        <v>0</v>
      </c>
      <c r="D109" s="266">
        <f>Alukset_Käynnit!D116</f>
        <v>0</v>
      </c>
      <c r="E109" s="262">
        <f>Alukset_Käynnit!E116</f>
        <v>0</v>
      </c>
      <c r="F109" s="262">
        <f>Alukset_Käynnit!F116</f>
        <v>0</v>
      </c>
      <c r="G109" s="262">
        <f>Alukset_Käynnit!G116</f>
        <v>0</v>
      </c>
      <c r="H109" s="262">
        <f>Alukset_Käynnit!H116</f>
        <v>0</v>
      </c>
      <c r="I109" s="262">
        <f>Alukset_Käynnit!I116</f>
        <v>0</v>
      </c>
      <c r="J109" s="262">
        <f>Alukset_Käynnit!J116</f>
        <v>0</v>
      </c>
      <c r="K109" s="262">
        <f>Alukset_Käynnit!K116</f>
        <v>0</v>
      </c>
      <c r="L109" s="205">
        <f>Alukset_Käynnit!L116</f>
        <v>0</v>
      </c>
      <c r="N109" s="273">
        <f t="shared" ref="N109:N140" si="25">(B109-A109)*1440</f>
        <v>0</v>
      </c>
      <c r="O109" s="274">
        <f t="shared" si="24"/>
        <v>0</v>
      </c>
      <c r="P109" s="202"/>
      <c r="Q109" s="204">
        <f t="shared" si="14"/>
        <v>0</v>
      </c>
      <c r="R109" s="202">
        <f>IF(Q109="Other dry cargo",L109*Alukset_fx!$B$71,IF(OR(Q109="Dry bulk",Q109="Bulk carrier"),L109*Alukset_fx!$B$69,IF(Q109="Tugboat",L109*Alukset_fx!$B$76,IF(OR(Q109="Tanker",Q109="Gas tanker",Q109="Chemical tanker",Q109="Oil tanker"),L109*Alukset_fx!$B$68,IF(OR(Q109="RoRo",Q109="Vehicle carrier"),L109*Alukset_fx!$B$72,IF(Q109="RoPax",L109*Alukset_fx!$B$73,IF(Q109="Container ship",L109*Alukset_fx!$B$70,IF(Q109="Barge",0,L109*Alukset_fx!$B$75))))))))</f>
        <v>0</v>
      </c>
      <c r="S109" s="210">
        <f>IF(L109=0,IF(Q109="Other dry cargo",Alukset_fx!$H$73*(Alukset_Käynnit_Lask!K109^Alukset_fx!$I$73),IF(OR(Q109="Dry Bulk",Q109="Bulk carrier"),Alukset_fx!$H$71*(Alukset_Käynnit_Lask!K109^Alukset_fx!$I$71),IF(Q109="Tugboat",Alukset_fx!$H$78*(Alukset_Käynnit_Lask!K109^Alukset_fx!$I$78),IF(OR(Q109="Tanker",Q109="Gas tanker",Q109="Chemical tanker",Q109="Oil tanker"),Alukset_fx!$H$70*(Alukset_Käynnit_Lask!K109^Alukset_fx!$I$70),IF(Q109="Container ship",Alukset_fx!$H$72*(Alukset_Käynnit_Lask!K109^Alukset_fx!$I$72),IF(Q109="Barge",0,IF(Q109="RoPax",Alukset_fx!$H$75*(Alukset_Käynnit_Lask!K109^Alukset_fx!$I$75),IF(OR(Q109="RoRo",Q109="Vehicle carrier"),Alukset_fx!$H$74*(Alukset_Käynnit_Lask!K109^Alukset_fx!$I$74),Alukset_fx!$H$77*(Alukset_Käynnit_Lask!K109^Alukset_fx!$I$77))))))))),"-")</f>
        <v>0</v>
      </c>
      <c r="T109" s="208">
        <f>IF(R109=0,IF(Q109="Other dry cargo",S109*Alukset_fx!$B$71,IF(OR(Q109="Dry bulk",Q109="Bulk carrier"),S109*Alukset_fx!$B$69,IF(Q109="Tugboat",S109*Alukset_fx!$B$76,IF(OR(Q109="Tanker",Q109="Gas tanker",Q109="Chemical tanker",Q109="Oil tanker"),S109*Alukset_fx!$B$68,IF(OR(Q109="RoRo",Q109="Vehicle carrier"),S109*Alukset_fx!$B$72,IF(Q109="RoPax",S109*Alukset_fx!$B$73,IF(Q109="Container ship",S109*Alukset_fx!$B$70,S109*Alukset_fx!$B$75))))))),"-")</f>
        <v>0</v>
      </c>
      <c r="U109" s="208">
        <f t="shared" si="15"/>
        <v>0</v>
      </c>
      <c r="V109" s="208">
        <f t="shared" si="16"/>
        <v>0</v>
      </c>
      <c r="W109" s="202">
        <f>Alukset_Käynnit!N116</f>
        <v>0</v>
      </c>
      <c r="X109" s="211">
        <f>IF(Q109="Other dry cargo", Alukset_fx!$C$52, IF(OR(Q109="Dry bulk",Q109="Bulk carrier"),Alukset_fx!$C$35,IF(OR(Q109="Tanker",Q109="Gas tanker",Q109="Oil tanker"),Alukset_fx!$C$57,IF(Q109="Chemical tanker",Alukset_fx!$C$56,IF(OR(Q109="Tugboat",Q109="Barge"),0,IF(Q109="Other vessel",Alukset_fx!$C$54,IF(Q109="Container ship",Alukset_fx!$C$37,IF(OR(Q109="RoPax",Q109="RoRo",Q109="Vehicle carrier"),Alukset_fx!$C$55,0))))))))</f>
        <v>0</v>
      </c>
      <c r="Y109" s="211">
        <f>IF(Q109="Other dry cargo", Alukset_fx!$Q$52, IF(OR(Q109="Dry bulk",Q109="Bulk carrier"),Alukset_fx!$Q$35,IF(OR(Q109="Tanker",Q109="Gas tanker",Q109="Oil tanker"),Alukset_fx!$Q$57,IF(Q109="Chemical tanker",Alukset_fx!$Q$56,IF(OR(Q109="Tugboat",Q109="Barge"),0,IF(Q109="Other vessel",Alukset_fx!$Q$54,IF(Q109="Container ship",Alukset_fx!$Q$37,IF(OR(Q109="RoPax",Q109="RoRo",Q109="Vehicle carrier"),Alukset_fx!$Q$55,0))))))))</f>
        <v>0</v>
      </c>
      <c r="Z109" t="str">
        <f t="shared" si="17"/>
        <v>MDO/MGO</v>
      </c>
      <c r="AA109" t="str">
        <f t="shared" si="18"/>
        <v>MSD</v>
      </c>
      <c r="AB109" t="str">
        <f t="shared" si="19"/>
        <v>MDO/MGO</v>
      </c>
      <c r="AC109" t="str">
        <f t="shared" si="20"/>
        <v>MSD</v>
      </c>
      <c r="AD109" t="str">
        <f t="shared" si="21"/>
        <v>MDO/MGO</v>
      </c>
      <c r="AE109" t="str">
        <f t="shared" si="22"/>
        <v>ST</v>
      </c>
      <c r="AG109">
        <f>Alukset_Käynnit!O116</f>
        <v>0</v>
      </c>
      <c r="AH109" s="207">
        <f>IF(AA109="SSD",((U109*Alukset_fx!$B$24)*Alukset_Käynnit_Lask!W109*(Alukset_fx!$K$49)/1000),IF(AA109="MSD",((U109*Alukset_fx!$B$24)*Alukset_Käynnit_Lask!W109*(Alukset_fx!$K$52)/1000),IF(AA109="HSD",((U109*Alukset_fx!$B$24)*Alukset_Käynnit_Lask!W109*(Alukset_fx!$K$55)/1000),0)))</f>
        <v>0</v>
      </c>
      <c r="AI109" s="207">
        <f>IF(AC109="MSD",((V109*Alukset_fx!$B$25)*Alukset_Käynnit_Lask!W109*(Alukset_fx!$L$52)/1000),IF(AC109="HSD",((V109*Alukset_fx!$B$25)*Alukset_Käynnit_Lask!W109*(Alukset_fx!$L$55)/1000),0))</f>
        <v>0</v>
      </c>
      <c r="AJ109" s="207">
        <f>X109*W109*Alukset_fx!$K$61/1000</f>
        <v>0</v>
      </c>
      <c r="AK109">
        <v>0</v>
      </c>
      <c r="AL109" s="207">
        <f>IF(AG109="Käytetty",0,IF(AC109="MSD",((V109*Alukset_fx!$O$25)*Alukset_Käynnit_Lask!O109*(Alukset_fx!$L$52)/1000),IF(AC109="HSD",((V109*Alukset_fx!$O$25)*Alukset_Käynnit_Lask!O109*(Alukset_fx!$L$55)/1000),0)))</f>
        <v>0</v>
      </c>
      <c r="AM109" s="207">
        <f>IF(AG109="Käytetty",0,Y109*O109*Alukset_fx!$K$61/1000)</f>
        <v>0</v>
      </c>
      <c r="AN109" s="213">
        <f t="shared" si="23"/>
        <v>0</v>
      </c>
    </row>
    <row r="110" spans="1:40" x14ac:dyDescent="0.25">
      <c r="A110" s="203">
        <f>Alukset_Käynnit!A117</f>
        <v>0</v>
      </c>
      <c r="B110" s="203">
        <f>Alukset_Käynnit!B117</f>
        <v>0</v>
      </c>
      <c r="C110" s="262">
        <f>Alukset_Käynnit!C117</f>
        <v>0</v>
      </c>
      <c r="D110" s="266">
        <f>Alukset_Käynnit!D117</f>
        <v>0</v>
      </c>
      <c r="E110" s="262">
        <f>Alukset_Käynnit!E117</f>
        <v>0</v>
      </c>
      <c r="F110" s="262">
        <f>Alukset_Käynnit!F117</f>
        <v>0</v>
      </c>
      <c r="G110" s="262">
        <f>Alukset_Käynnit!G117</f>
        <v>0</v>
      </c>
      <c r="H110" s="262">
        <f>Alukset_Käynnit!H117</f>
        <v>0</v>
      </c>
      <c r="I110" s="262">
        <f>Alukset_Käynnit!I117</f>
        <v>0</v>
      </c>
      <c r="J110" s="262">
        <f>Alukset_Käynnit!J117</f>
        <v>0</v>
      </c>
      <c r="K110" s="262">
        <f>Alukset_Käynnit!K117</f>
        <v>0</v>
      </c>
      <c r="L110" s="205">
        <f>Alukset_Käynnit!L117</f>
        <v>0</v>
      </c>
      <c r="N110" s="273">
        <f t="shared" si="25"/>
        <v>0</v>
      </c>
      <c r="O110" s="274">
        <f t="shared" si="24"/>
        <v>0</v>
      </c>
      <c r="P110" s="202"/>
      <c r="Q110" s="204">
        <f t="shared" si="14"/>
        <v>0</v>
      </c>
      <c r="R110" s="202">
        <f>IF(Q110="Other dry cargo",L110*Alukset_fx!$B$71,IF(OR(Q110="Dry bulk",Q110="Bulk carrier"),L110*Alukset_fx!$B$69,IF(Q110="Tugboat",L110*Alukset_fx!$B$76,IF(OR(Q110="Tanker",Q110="Gas tanker",Q110="Chemical tanker",Q110="Oil tanker"),L110*Alukset_fx!$B$68,IF(OR(Q110="RoRo",Q110="Vehicle carrier"),L110*Alukset_fx!$B$72,IF(Q110="RoPax",L110*Alukset_fx!$B$73,IF(Q110="Container ship",L110*Alukset_fx!$B$70,IF(Q110="Barge",0,L110*Alukset_fx!$B$75))))))))</f>
        <v>0</v>
      </c>
      <c r="S110" s="210">
        <f>IF(L110=0,IF(Q110="Other dry cargo",Alukset_fx!$H$73*(Alukset_Käynnit_Lask!K110^Alukset_fx!$I$73),IF(OR(Q110="Dry Bulk",Q110="Bulk carrier"),Alukset_fx!$H$71*(Alukset_Käynnit_Lask!K110^Alukset_fx!$I$71),IF(Q110="Tugboat",Alukset_fx!$H$78*(Alukset_Käynnit_Lask!K110^Alukset_fx!$I$78),IF(OR(Q110="Tanker",Q110="Gas tanker",Q110="Chemical tanker",Q110="Oil tanker"),Alukset_fx!$H$70*(Alukset_Käynnit_Lask!K110^Alukset_fx!$I$70),IF(Q110="Container ship",Alukset_fx!$H$72*(Alukset_Käynnit_Lask!K110^Alukset_fx!$I$72),IF(Q110="Barge",0,IF(Q110="RoPax",Alukset_fx!$H$75*(Alukset_Käynnit_Lask!K110^Alukset_fx!$I$75),IF(OR(Q110="RoRo",Q110="Vehicle carrier"),Alukset_fx!$H$74*(Alukset_Käynnit_Lask!K110^Alukset_fx!$I$74),Alukset_fx!$H$77*(Alukset_Käynnit_Lask!K110^Alukset_fx!$I$77))))))))),"-")</f>
        <v>0</v>
      </c>
      <c r="T110" s="208">
        <f>IF(R110=0,IF(Q110="Other dry cargo",S110*Alukset_fx!$B$71,IF(OR(Q110="Dry bulk",Q110="Bulk carrier"),S110*Alukset_fx!$B$69,IF(Q110="Tugboat",S110*Alukset_fx!$B$76,IF(OR(Q110="Tanker",Q110="Gas tanker",Q110="Chemical tanker",Q110="Oil tanker"),S110*Alukset_fx!$B$68,IF(OR(Q110="RoRo",Q110="Vehicle carrier"),S110*Alukset_fx!$B$72,IF(Q110="RoPax",S110*Alukset_fx!$B$73,IF(Q110="Container ship",S110*Alukset_fx!$B$70,S110*Alukset_fx!$B$75))))))),"-")</f>
        <v>0</v>
      </c>
      <c r="U110" s="208">
        <f t="shared" si="15"/>
        <v>0</v>
      </c>
      <c r="V110" s="208">
        <f t="shared" si="16"/>
        <v>0</v>
      </c>
      <c r="W110" s="202">
        <f>Alukset_Käynnit!N117</f>
        <v>0</v>
      </c>
      <c r="X110" s="211">
        <f>IF(Q110="Other dry cargo", Alukset_fx!$C$52, IF(OR(Q110="Dry bulk",Q110="Bulk carrier"),Alukset_fx!$C$35,IF(OR(Q110="Tanker",Q110="Gas tanker",Q110="Oil tanker"),Alukset_fx!$C$57,IF(Q110="Chemical tanker",Alukset_fx!$C$56,IF(OR(Q110="Tugboat",Q110="Barge"),0,IF(Q110="Other vessel",Alukset_fx!$C$54,IF(Q110="Container ship",Alukset_fx!$C$37,IF(OR(Q110="RoPax",Q110="RoRo",Q110="Vehicle carrier"),Alukset_fx!$C$55,0))))))))</f>
        <v>0</v>
      </c>
      <c r="Y110" s="211">
        <f>IF(Q110="Other dry cargo", Alukset_fx!$Q$52, IF(OR(Q110="Dry bulk",Q110="Bulk carrier"),Alukset_fx!$Q$35,IF(OR(Q110="Tanker",Q110="Gas tanker",Q110="Oil tanker"),Alukset_fx!$Q$57,IF(Q110="Chemical tanker",Alukset_fx!$Q$56,IF(OR(Q110="Tugboat",Q110="Barge"),0,IF(Q110="Other vessel",Alukset_fx!$Q$54,IF(Q110="Container ship",Alukset_fx!$Q$37,IF(OR(Q110="RoPax",Q110="RoRo",Q110="Vehicle carrier"),Alukset_fx!$Q$55,0))))))))</f>
        <v>0</v>
      </c>
      <c r="Z110" t="str">
        <f t="shared" si="17"/>
        <v>MDO/MGO</v>
      </c>
      <c r="AA110" t="str">
        <f t="shared" si="18"/>
        <v>MSD</v>
      </c>
      <c r="AB110" t="str">
        <f t="shared" si="19"/>
        <v>MDO/MGO</v>
      </c>
      <c r="AC110" t="str">
        <f t="shared" si="20"/>
        <v>MSD</v>
      </c>
      <c r="AD110" t="str">
        <f t="shared" si="21"/>
        <v>MDO/MGO</v>
      </c>
      <c r="AE110" t="str">
        <f t="shared" si="22"/>
        <v>ST</v>
      </c>
      <c r="AG110">
        <f>Alukset_Käynnit!O117</f>
        <v>0</v>
      </c>
      <c r="AH110" s="207">
        <f>IF(AA110="SSD",((U110*Alukset_fx!$B$24)*Alukset_Käynnit_Lask!W110*(Alukset_fx!$K$49)/1000),IF(AA110="MSD",((U110*Alukset_fx!$B$24)*Alukset_Käynnit_Lask!W110*(Alukset_fx!$K$52)/1000),IF(AA110="HSD",((U110*Alukset_fx!$B$24)*Alukset_Käynnit_Lask!W110*(Alukset_fx!$K$55)/1000),0)))</f>
        <v>0</v>
      </c>
      <c r="AI110" s="207">
        <f>IF(AC110="MSD",((V110*Alukset_fx!$B$25)*Alukset_Käynnit_Lask!W110*(Alukset_fx!$L$52)/1000),IF(AC110="HSD",((V110*Alukset_fx!$B$25)*Alukset_Käynnit_Lask!W110*(Alukset_fx!$L$55)/1000),0))</f>
        <v>0</v>
      </c>
      <c r="AJ110" s="207">
        <f>X110*W110*Alukset_fx!$K$61/1000</f>
        <v>0</v>
      </c>
      <c r="AK110">
        <v>0</v>
      </c>
      <c r="AL110" s="207">
        <f>IF(AG110="Käytetty",0,IF(AC110="MSD",((V110*Alukset_fx!$O$25)*Alukset_Käynnit_Lask!O110*(Alukset_fx!$L$52)/1000),IF(AC110="HSD",((V110*Alukset_fx!$O$25)*Alukset_Käynnit_Lask!O110*(Alukset_fx!$L$55)/1000),0)))</f>
        <v>0</v>
      </c>
      <c r="AM110" s="207">
        <f>IF(AG110="Käytetty",0,Y110*O110*Alukset_fx!$K$61/1000)</f>
        <v>0</v>
      </c>
      <c r="AN110" s="213">
        <f t="shared" si="23"/>
        <v>0</v>
      </c>
    </row>
    <row r="111" spans="1:40" x14ac:dyDescent="0.25">
      <c r="A111" s="203">
        <f>Alukset_Käynnit!A118</f>
        <v>0</v>
      </c>
      <c r="B111" s="203">
        <f>Alukset_Käynnit!B118</f>
        <v>0</v>
      </c>
      <c r="C111" s="262">
        <f>Alukset_Käynnit!C118</f>
        <v>0</v>
      </c>
      <c r="D111" s="266">
        <f>Alukset_Käynnit!D118</f>
        <v>0</v>
      </c>
      <c r="E111" s="262">
        <f>Alukset_Käynnit!E118</f>
        <v>0</v>
      </c>
      <c r="F111" s="262">
        <f>Alukset_Käynnit!F118</f>
        <v>0</v>
      </c>
      <c r="G111" s="262">
        <f>Alukset_Käynnit!G118</f>
        <v>0</v>
      </c>
      <c r="H111" s="262">
        <f>Alukset_Käynnit!H118</f>
        <v>0</v>
      </c>
      <c r="I111" s="262">
        <f>Alukset_Käynnit!I118</f>
        <v>0</v>
      </c>
      <c r="J111" s="262">
        <f>Alukset_Käynnit!J118</f>
        <v>0</v>
      </c>
      <c r="K111" s="262">
        <f>Alukset_Käynnit!K118</f>
        <v>0</v>
      </c>
      <c r="L111" s="205">
        <f>Alukset_Käynnit!L118</f>
        <v>0</v>
      </c>
      <c r="N111" s="273">
        <f t="shared" si="25"/>
        <v>0</v>
      </c>
      <c r="O111" s="274">
        <f t="shared" si="24"/>
        <v>0</v>
      </c>
      <c r="P111" s="202"/>
      <c r="Q111" s="204">
        <f t="shared" si="14"/>
        <v>0</v>
      </c>
      <c r="R111" s="202">
        <f>IF(Q111="Other dry cargo",L111*Alukset_fx!$B$71,IF(OR(Q111="Dry bulk",Q111="Bulk carrier"),L111*Alukset_fx!$B$69,IF(Q111="Tugboat",L111*Alukset_fx!$B$76,IF(OR(Q111="Tanker",Q111="Gas tanker",Q111="Chemical tanker",Q111="Oil tanker"),L111*Alukset_fx!$B$68,IF(OR(Q111="RoRo",Q111="Vehicle carrier"),L111*Alukset_fx!$B$72,IF(Q111="RoPax",L111*Alukset_fx!$B$73,IF(Q111="Container ship",L111*Alukset_fx!$B$70,IF(Q111="Barge",0,L111*Alukset_fx!$B$75))))))))</f>
        <v>0</v>
      </c>
      <c r="S111" s="210">
        <f>IF(L111=0,IF(Q111="Other dry cargo",Alukset_fx!$H$73*(Alukset_Käynnit_Lask!K111^Alukset_fx!$I$73),IF(OR(Q111="Dry Bulk",Q111="Bulk carrier"),Alukset_fx!$H$71*(Alukset_Käynnit_Lask!K111^Alukset_fx!$I$71),IF(Q111="Tugboat",Alukset_fx!$H$78*(Alukset_Käynnit_Lask!K111^Alukset_fx!$I$78),IF(OR(Q111="Tanker",Q111="Gas tanker",Q111="Chemical tanker",Q111="Oil tanker"),Alukset_fx!$H$70*(Alukset_Käynnit_Lask!K111^Alukset_fx!$I$70),IF(Q111="Container ship",Alukset_fx!$H$72*(Alukset_Käynnit_Lask!K111^Alukset_fx!$I$72),IF(Q111="Barge",0,IF(Q111="RoPax",Alukset_fx!$H$75*(Alukset_Käynnit_Lask!K111^Alukset_fx!$I$75),IF(OR(Q111="RoRo",Q111="Vehicle carrier"),Alukset_fx!$H$74*(Alukset_Käynnit_Lask!K111^Alukset_fx!$I$74),Alukset_fx!$H$77*(Alukset_Käynnit_Lask!K111^Alukset_fx!$I$77))))))))),"-")</f>
        <v>0</v>
      </c>
      <c r="T111" s="208">
        <f>IF(R111=0,IF(Q111="Other dry cargo",S111*Alukset_fx!$B$71,IF(OR(Q111="Dry bulk",Q111="Bulk carrier"),S111*Alukset_fx!$B$69,IF(Q111="Tugboat",S111*Alukset_fx!$B$76,IF(OR(Q111="Tanker",Q111="Gas tanker",Q111="Chemical tanker",Q111="Oil tanker"),S111*Alukset_fx!$B$68,IF(OR(Q111="RoRo",Q111="Vehicle carrier"),S111*Alukset_fx!$B$72,IF(Q111="RoPax",S111*Alukset_fx!$B$73,IF(Q111="Container ship",S111*Alukset_fx!$B$70,S111*Alukset_fx!$B$75))))))),"-")</f>
        <v>0</v>
      </c>
      <c r="U111" s="208">
        <f t="shared" si="15"/>
        <v>0</v>
      </c>
      <c r="V111" s="208">
        <f t="shared" si="16"/>
        <v>0</v>
      </c>
      <c r="W111" s="202">
        <f>Alukset_Käynnit!N118</f>
        <v>0</v>
      </c>
      <c r="X111" s="211">
        <f>IF(Q111="Other dry cargo", Alukset_fx!$C$52, IF(OR(Q111="Dry bulk",Q111="Bulk carrier"),Alukset_fx!$C$35,IF(OR(Q111="Tanker",Q111="Gas tanker",Q111="Oil tanker"),Alukset_fx!$C$57,IF(Q111="Chemical tanker",Alukset_fx!$C$56,IF(OR(Q111="Tugboat",Q111="Barge"),0,IF(Q111="Other vessel",Alukset_fx!$C$54,IF(Q111="Container ship",Alukset_fx!$C$37,IF(OR(Q111="RoPax",Q111="RoRo",Q111="Vehicle carrier"),Alukset_fx!$C$55,0))))))))</f>
        <v>0</v>
      </c>
      <c r="Y111" s="211">
        <f>IF(Q111="Other dry cargo", Alukset_fx!$Q$52, IF(OR(Q111="Dry bulk",Q111="Bulk carrier"),Alukset_fx!$Q$35,IF(OR(Q111="Tanker",Q111="Gas tanker",Q111="Oil tanker"),Alukset_fx!$Q$57,IF(Q111="Chemical tanker",Alukset_fx!$Q$56,IF(OR(Q111="Tugboat",Q111="Barge"),0,IF(Q111="Other vessel",Alukset_fx!$Q$54,IF(Q111="Container ship",Alukset_fx!$Q$37,IF(OR(Q111="RoPax",Q111="RoRo",Q111="Vehicle carrier"),Alukset_fx!$Q$55,0))))))))</f>
        <v>0</v>
      </c>
      <c r="Z111" t="str">
        <f t="shared" si="17"/>
        <v>MDO/MGO</v>
      </c>
      <c r="AA111" t="str">
        <f t="shared" si="18"/>
        <v>MSD</v>
      </c>
      <c r="AB111" t="str">
        <f t="shared" si="19"/>
        <v>MDO/MGO</v>
      </c>
      <c r="AC111" t="str">
        <f t="shared" si="20"/>
        <v>MSD</v>
      </c>
      <c r="AD111" t="str">
        <f t="shared" si="21"/>
        <v>MDO/MGO</v>
      </c>
      <c r="AE111" t="str">
        <f t="shared" si="22"/>
        <v>ST</v>
      </c>
      <c r="AG111">
        <f>Alukset_Käynnit!O118</f>
        <v>0</v>
      </c>
      <c r="AH111" s="207">
        <f>IF(AA111="SSD",((U111*Alukset_fx!$B$24)*Alukset_Käynnit_Lask!W111*(Alukset_fx!$K$49)/1000),IF(AA111="MSD",((U111*Alukset_fx!$B$24)*Alukset_Käynnit_Lask!W111*(Alukset_fx!$K$52)/1000),IF(AA111="HSD",((U111*Alukset_fx!$B$24)*Alukset_Käynnit_Lask!W111*(Alukset_fx!$K$55)/1000),0)))</f>
        <v>0</v>
      </c>
      <c r="AI111" s="207">
        <f>IF(AC111="MSD",((V111*Alukset_fx!$B$25)*Alukset_Käynnit_Lask!W111*(Alukset_fx!$L$52)/1000),IF(AC111="HSD",((V111*Alukset_fx!$B$25)*Alukset_Käynnit_Lask!W111*(Alukset_fx!$L$55)/1000),0))</f>
        <v>0</v>
      </c>
      <c r="AJ111" s="207">
        <f>X111*W111*Alukset_fx!$K$61/1000</f>
        <v>0</v>
      </c>
      <c r="AK111">
        <v>0</v>
      </c>
      <c r="AL111" s="207">
        <f>IF(AG111="Käytetty",0,IF(AC111="MSD",((V111*Alukset_fx!$O$25)*Alukset_Käynnit_Lask!O111*(Alukset_fx!$L$52)/1000),IF(AC111="HSD",((V111*Alukset_fx!$O$25)*Alukset_Käynnit_Lask!O111*(Alukset_fx!$L$55)/1000),0)))</f>
        <v>0</v>
      </c>
      <c r="AM111" s="207">
        <f>IF(AG111="Käytetty",0,Y111*O111*Alukset_fx!$K$61/1000)</f>
        <v>0</v>
      </c>
      <c r="AN111" s="213">
        <f t="shared" si="23"/>
        <v>0</v>
      </c>
    </row>
    <row r="112" spans="1:40" x14ac:dyDescent="0.25">
      <c r="A112" s="203">
        <f>Alukset_Käynnit!A119</f>
        <v>0</v>
      </c>
      <c r="B112" s="203">
        <f>Alukset_Käynnit!B119</f>
        <v>0</v>
      </c>
      <c r="C112" s="262">
        <f>Alukset_Käynnit!C119</f>
        <v>0</v>
      </c>
      <c r="D112" s="266">
        <f>Alukset_Käynnit!D119</f>
        <v>0</v>
      </c>
      <c r="E112" s="262">
        <f>Alukset_Käynnit!E119</f>
        <v>0</v>
      </c>
      <c r="F112" s="262">
        <f>Alukset_Käynnit!F119</f>
        <v>0</v>
      </c>
      <c r="G112" s="262">
        <f>Alukset_Käynnit!G119</f>
        <v>0</v>
      </c>
      <c r="H112" s="262">
        <f>Alukset_Käynnit!H119</f>
        <v>0</v>
      </c>
      <c r="I112" s="262">
        <f>Alukset_Käynnit!I119</f>
        <v>0</v>
      </c>
      <c r="J112" s="262">
        <f>Alukset_Käynnit!J119</f>
        <v>0</v>
      </c>
      <c r="K112" s="262">
        <f>Alukset_Käynnit!K119</f>
        <v>0</v>
      </c>
      <c r="L112" s="205">
        <f>Alukset_Käynnit!L119</f>
        <v>0</v>
      </c>
      <c r="N112" s="273">
        <f t="shared" si="25"/>
        <v>0</v>
      </c>
      <c r="O112" s="274">
        <f t="shared" si="24"/>
        <v>0</v>
      </c>
      <c r="P112" s="202"/>
      <c r="Q112" s="204">
        <f t="shared" si="14"/>
        <v>0</v>
      </c>
      <c r="R112" s="202">
        <f>IF(Q112="Other dry cargo",L112*Alukset_fx!$B$71,IF(OR(Q112="Dry bulk",Q112="Bulk carrier"),L112*Alukset_fx!$B$69,IF(Q112="Tugboat",L112*Alukset_fx!$B$76,IF(OR(Q112="Tanker",Q112="Gas tanker",Q112="Chemical tanker",Q112="Oil tanker"),L112*Alukset_fx!$B$68,IF(OR(Q112="RoRo",Q112="Vehicle carrier"),L112*Alukset_fx!$B$72,IF(Q112="RoPax",L112*Alukset_fx!$B$73,IF(Q112="Container ship",L112*Alukset_fx!$B$70,IF(Q112="Barge",0,L112*Alukset_fx!$B$75))))))))</f>
        <v>0</v>
      </c>
      <c r="S112" s="210">
        <f>IF(L112=0,IF(Q112="Other dry cargo",Alukset_fx!$H$73*(Alukset_Käynnit_Lask!K112^Alukset_fx!$I$73),IF(OR(Q112="Dry Bulk",Q112="Bulk carrier"),Alukset_fx!$H$71*(Alukset_Käynnit_Lask!K112^Alukset_fx!$I$71),IF(Q112="Tugboat",Alukset_fx!$H$78*(Alukset_Käynnit_Lask!K112^Alukset_fx!$I$78),IF(OR(Q112="Tanker",Q112="Gas tanker",Q112="Chemical tanker",Q112="Oil tanker"),Alukset_fx!$H$70*(Alukset_Käynnit_Lask!K112^Alukset_fx!$I$70),IF(Q112="Container ship",Alukset_fx!$H$72*(Alukset_Käynnit_Lask!K112^Alukset_fx!$I$72),IF(Q112="Barge",0,IF(Q112="RoPax",Alukset_fx!$H$75*(Alukset_Käynnit_Lask!K112^Alukset_fx!$I$75),IF(OR(Q112="RoRo",Q112="Vehicle carrier"),Alukset_fx!$H$74*(Alukset_Käynnit_Lask!K112^Alukset_fx!$I$74),Alukset_fx!$H$77*(Alukset_Käynnit_Lask!K112^Alukset_fx!$I$77))))))))),"-")</f>
        <v>0</v>
      </c>
      <c r="T112" s="208">
        <f>IF(R112=0,IF(Q112="Other dry cargo",S112*Alukset_fx!$B$71,IF(OR(Q112="Dry bulk",Q112="Bulk carrier"),S112*Alukset_fx!$B$69,IF(Q112="Tugboat",S112*Alukset_fx!$B$76,IF(OR(Q112="Tanker",Q112="Gas tanker",Q112="Chemical tanker",Q112="Oil tanker"),S112*Alukset_fx!$B$68,IF(OR(Q112="RoRo",Q112="Vehicle carrier"),S112*Alukset_fx!$B$72,IF(Q112="RoPax",S112*Alukset_fx!$B$73,IF(Q112="Container ship",S112*Alukset_fx!$B$70,S112*Alukset_fx!$B$75))))))),"-")</f>
        <v>0</v>
      </c>
      <c r="U112" s="208">
        <f t="shared" si="15"/>
        <v>0</v>
      </c>
      <c r="V112" s="208">
        <f t="shared" si="16"/>
        <v>0</v>
      </c>
      <c r="W112" s="202">
        <f>Alukset_Käynnit!N119</f>
        <v>0</v>
      </c>
      <c r="X112" s="211">
        <f>IF(Q112="Other dry cargo", Alukset_fx!$C$52, IF(OR(Q112="Dry bulk",Q112="Bulk carrier"),Alukset_fx!$C$35,IF(OR(Q112="Tanker",Q112="Gas tanker",Q112="Oil tanker"),Alukset_fx!$C$57,IF(Q112="Chemical tanker",Alukset_fx!$C$56,IF(OR(Q112="Tugboat",Q112="Barge"),0,IF(Q112="Other vessel",Alukset_fx!$C$54,IF(Q112="Container ship",Alukset_fx!$C$37,IF(OR(Q112="RoPax",Q112="RoRo",Q112="Vehicle carrier"),Alukset_fx!$C$55,0))))))))</f>
        <v>0</v>
      </c>
      <c r="Y112" s="211">
        <f>IF(Q112="Other dry cargo", Alukset_fx!$Q$52, IF(OR(Q112="Dry bulk",Q112="Bulk carrier"),Alukset_fx!$Q$35,IF(OR(Q112="Tanker",Q112="Gas tanker",Q112="Oil tanker"),Alukset_fx!$Q$57,IF(Q112="Chemical tanker",Alukset_fx!$Q$56,IF(OR(Q112="Tugboat",Q112="Barge"),0,IF(Q112="Other vessel",Alukset_fx!$Q$54,IF(Q112="Container ship",Alukset_fx!$Q$37,IF(OR(Q112="RoPax",Q112="RoRo",Q112="Vehicle carrier"),Alukset_fx!$Q$55,0))))))))</f>
        <v>0</v>
      </c>
      <c r="Z112" t="str">
        <f t="shared" si="17"/>
        <v>MDO/MGO</v>
      </c>
      <c r="AA112" t="str">
        <f t="shared" si="18"/>
        <v>MSD</v>
      </c>
      <c r="AB112" t="str">
        <f t="shared" si="19"/>
        <v>MDO/MGO</v>
      </c>
      <c r="AC112" t="str">
        <f t="shared" si="20"/>
        <v>MSD</v>
      </c>
      <c r="AD112" t="str">
        <f t="shared" si="21"/>
        <v>MDO/MGO</v>
      </c>
      <c r="AE112" t="str">
        <f t="shared" si="22"/>
        <v>ST</v>
      </c>
      <c r="AG112">
        <f>Alukset_Käynnit!O119</f>
        <v>0</v>
      </c>
      <c r="AH112" s="207">
        <f>IF(AA112="SSD",((U112*Alukset_fx!$B$24)*Alukset_Käynnit_Lask!W112*(Alukset_fx!$K$49)/1000),IF(AA112="MSD",((U112*Alukset_fx!$B$24)*Alukset_Käynnit_Lask!W112*(Alukset_fx!$K$52)/1000),IF(AA112="HSD",((U112*Alukset_fx!$B$24)*Alukset_Käynnit_Lask!W112*(Alukset_fx!$K$55)/1000),0)))</f>
        <v>0</v>
      </c>
      <c r="AI112" s="207">
        <f>IF(AC112="MSD",((V112*Alukset_fx!$B$25)*Alukset_Käynnit_Lask!W112*(Alukset_fx!$L$52)/1000),IF(AC112="HSD",((V112*Alukset_fx!$B$25)*Alukset_Käynnit_Lask!W112*(Alukset_fx!$L$55)/1000),0))</f>
        <v>0</v>
      </c>
      <c r="AJ112" s="207">
        <f>X112*W112*Alukset_fx!$K$61/1000</f>
        <v>0</v>
      </c>
      <c r="AK112">
        <v>0</v>
      </c>
      <c r="AL112" s="207">
        <f>IF(AG112="Käytetty",0,IF(AC112="MSD",((V112*Alukset_fx!$O$25)*Alukset_Käynnit_Lask!O112*(Alukset_fx!$L$52)/1000),IF(AC112="HSD",((V112*Alukset_fx!$O$25)*Alukset_Käynnit_Lask!O112*(Alukset_fx!$L$55)/1000),0)))</f>
        <v>0</v>
      </c>
      <c r="AM112" s="207">
        <f>IF(AG112="Käytetty",0,Y112*O112*Alukset_fx!$K$61/1000)</f>
        <v>0</v>
      </c>
      <c r="AN112" s="213">
        <f t="shared" si="23"/>
        <v>0</v>
      </c>
    </row>
    <row r="113" spans="1:40" x14ac:dyDescent="0.25">
      <c r="A113" s="203">
        <f>Alukset_Käynnit!A120</f>
        <v>0</v>
      </c>
      <c r="B113" s="203">
        <f>Alukset_Käynnit!B120</f>
        <v>0</v>
      </c>
      <c r="C113" s="262">
        <f>Alukset_Käynnit!C120</f>
        <v>0</v>
      </c>
      <c r="D113" s="266">
        <f>Alukset_Käynnit!D120</f>
        <v>0</v>
      </c>
      <c r="E113" s="262">
        <f>Alukset_Käynnit!E120</f>
        <v>0</v>
      </c>
      <c r="F113" s="262">
        <f>Alukset_Käynnit!F120</f>
        <v>0</v>
      </c>
      <c r="G113" s="262">
        <f>Alukset_Käynnit!G120</f>
        <v>0</v>
      </c>
      <c r="H113" s="262">
        <f>Alukset_Käynnit!H120</f>
        <v>0</v>
      </c>
      <c r="I113" s="262">
        <f>Alukset_Käynnit!I120</f>
        <v>0</v>
      </c>
      <c r="J113" s="262">
        <f>Alukset_Käynnit!J120</f>
        <v>0</v>
      </c>
      <c r="K113" s="262">
        <f>Alukset_Käynnit!K120</f>
        <v>0</v>
      </c>
      <c r="L113" s="205">
        <f>Alukset_Käynnit!L120</f>
        <v>0</v>
      </c>
      <c r="N113" s="275">
        <f t="shared" si="25"/>
        <v>0</v>
      </c>
      <c r="O113" s="276">
        <f t="shared" si="24"/>
        <v>0</v>
      </c>
      <c r="P113" s="202"/>
      <c r="Q113" s="204">
        <f t="shared" si="14"/>
        <v>0</v>
      </c>
      <c r="R113" s="202">
        <f>IF(Q113="Other dry cargo",L113*Alukset_fx!$B$71,IF(OR(Q113="Dry bulk",Q113="Bulk carrier"),L113*Alukset_fx!$B$69,IF(Q113="Tugboat",L113*Alukset_fx!$B$76,IF(OR(Q113="Tanker",Q113="Gas tanker",Q113="Chemical tanker",Q113="Oil tanker"),L113*Alukset_fx!$B$68,IF(OR(Q113="RoRo",Q113="Vehicle carrier"),L113*Alukset_fx!$B$72,IF(Q113="RoPax",L113*Alukset_fx!$B$73,IF(Q113="Container ship",L113*Alukset_fx!$B$70,IF(Q113="Barge",0,L113*Alukset_fx!$B$75))))))))</f>
        <v>0</v>
      </c>
      <c r="S113" s="210">
        <f>IF(L113=0,IF(Q113="Other dry cargo",Alukset_fx!$H$73*(Alukset_Käynnit_Lask!K113^Alukset_fx!$I$73),IF(OR(Q113="Dry Bulk",Q113="Bulk carrier"),Alukset_fx!$H$71*(Alukset_Käynnit_Lask!K113^Alukset_fx!$I$71),IF(Q113="Tugboat",Alukset_fx!$H$78*(Alukset_Käynnit_Lask!K113^Alukset_fx!$I$78),IF(OR(Q113="Tanker",Q113="Gas tanker",Q113="Chemical tanker",Q113="Oil tanker"),Alukset_fx!$H$70*(Alukset_Käynnit_Lask!K113^Alukset_fx!$I$70),IF(Q113="Container ship",Alukset_fx!$H$72*(Alukset_Käynnit_Lask!K113^Alukset_fx!$I$72),IF(Q113="Barge",0,IF(Q113="RoPax",Alukset_fx!$H$75*(Alukset_Käynnit_Lask!K113^Alukset_fx!$I$75),IF(OR(Q113="RoRo",Q113="Vehicle carrier"),Alukset_fx!$H$74*(Alukset_Käynnit_Lask!K113^Alukset_fx!$I$74),Alukset_fx!$H$77*(Alukset_Käynnit_Lask!K113^Alukset_fx!$I$77))))))))),"-")</f>
        <v>0</v>
      </c>
      <c r="T113" s="208">
        <f>IF(R113=0,IF(Q113="Other dry cargo",S113*Alukset_fx!$B$71,IF(OR(Q113="Dry bulk",Q113="Bulk carrier"),S113*Alukset_fx!$B$69,IF(Q113="Tugboat",S113*Alukset_fx!$B$76,IF(OR(Q113="Tanker",Q113="Gas tanker",Q113="Chemical tanker",Q113="Oil tanker"),S113*Alukset_fx!$B$68,IF(OR(Q113="RoRo",Q113="Vehicle carrier"),S113*Alukset_fx!$B$72,IF(Q113="RoPax",S113*Alukset_fx!$B$73,IF(Q113="Container ship",S113*Alukset_fx!$B$70,S113*Alukset_fx!$B$75))))))),"-")</f>
        <v>0</v>
      </c>
      <c r="U113" s="208">
        <f t="shared" si="15"/>
        <v>0</v>
      </c>
      <c r="V113" s="208">
        <f t="shared" si="16"/>
        <v>0</v>
      </c>
      <c r="W113" s="202">
        <f>Alukset_Käynnit!N120</f>
        <v>0</v>
      </c>
      <c r="X113" s="211">
        <f>IF(Q113="Other dry cargo", Alukset_fx!$C$52, IF(OR(Q113="Dry bulk",Q113="Bulk carrier"),Alukset_fx!$C$35,IF(OR(Q113="Tanker",Q113="Gas tanker",Q113="Oil tanker"),Alukset_fx!$C$57,IF(Q113="Chemical tanker",Alukset_fx!$C$56,IF(OR(Q113="Tugboat",Q113="Barge"),0,IF(Q113="Other vessel",Alukset_fx!$C$54,IF(Q113="Container ship",Alukset_fx!$C$37,IF(OR(Q113="RoPax",Q113="RoRo",Q113="Vehicle carrier"),Alukset_fx!$C$55,0))))))))</f>
        <v>0</v>
      </c>
      <c r="Y113" s="211">
        <f>IF(Q113="Other dry cargo", Alukset_fx!$Q$52, IF(OR(Q113="Dry bulk",Q113="Bulk carrier"),Alukset_fx!$Q$35,IF(OR(Q113="Tanker",Q113="Gas tanker",Q113="Oil tanker"),Alukset_fx!$Q$57,IF(Q113="Chemical tanker",Alukset_fx!$Q$56,IF(OR(Q113="Tugboat",Q113="Barge"),0,IF(Q113="Other vessel",Alukset_fx!$Q$54,IF(Q113="Container ship",Alukset_fx!$Q$37,IF(OR(Q113="RoPax",Q113="RoRo",Q113="Vehicle carrier"),Alukset_fx!$Q$55,0))))))))</f>
        <v>0</v>
      </c>
      <c r="Z113" t="str">
        <f t="shared" si="17"/>
        <v>MDO/MGO</v>
      </c>
      <c r="AA113" t="str">
        <f t="shared" si="18"/>
        <v>MSD</v>
      </c>
      <c r="AB113" t="str">
        <f t="shared" si="19"/>
        <v>MDO/MGO</v>
      </c>
      <c r="AC113" t="str">
        <f t="shared" si="20"/>
        <v>MSD</v>
      </c>
      <c r="AD113" t="str">
        <f t="shared" si="21"/>
        <v>MDO/MGO</v>
      </c>
      <c r="AE113" t="str">
        <f t="shared" si="22"/>
        <v>ST</v>
      </c>
      <c r="AG113">
        <f>Alukset_Käynnit!O120</f>
        <v>0</v>
      </c>
      <c r="AH113" s="207">
        <f>IF(AA113="SSD",((U113*Alukset_fx!$B$24)*Alukset_Käynnit_Lask!W113*(Alukset_fx!$K$49)/1000),IF(AA113="MSD",((U113*Alukset_fx!$B$24)*Alukset_Käynnit_Lask!W113*(Alukset_fx!$K$52)/1000),IF(AA113="HSD",((U113*Alukset_fx!$B$24)*Alukset_Käynnit_Lask!W113*(Alukset_fx!$K$55)/1000),0)))</f>
        <v>0</v>
      </c>
      <c r="AI113" s="207">
        <f>IF(AC113="MSD",((V113*Alukset_fx!$B$25)*Alukset_Käynnit_Lask!W113*(Alukset_fx!$L$52)/1000),IF(AC113="HSD",((V113*Alukset_fx!$B$25)*Alukset_Käynnit_Lask!W113*(Alukset_fx!$L$55)/1000),0))</f>
        <v>0</v>
      </c>
      <c r="AJ113" s="207">
        <f>X113*W113*Alukset_fx!$K$61/1000</f>
        <v>0</v>
      </c>
      <c r="AK113">
        <v>0</v>
      </c>
      <c r="AL113" s="207">
        <f>IF(AG113="Käytetty",0,IF(AC113="MSD",((V113*Alukset_fx!$O$25)*Alukset_Käynnit_Lask!O113*(Alukset_fx!$L$52)/1000),IF(AC113="HSD",((V113*Alukset_fx!$O$25)*Alukset_Käynnit_Lask!O113*(Alukset_fx!$L$55)/1000),0)))</f>
        <v>0</v>
      </c>
      <c r="AM113" s="207">
        <f>IF(AG113="Käytetty",0,Y113*O113*Alukset_fx!$K$61/1000)</f>
        <v>0</v>
      </c>
      <c r="AN113" s="213">
        <f t="shared" si="23"/>
        <v>0</v>
      </c>
    </row>
    <row r="114" spans="1:40" x14ac:dyDescent="0.25">
      <c r="A114" s="203">
        <f>Alukset_Käynnit!A121</f>
        <v>0</v>
      </c>
      <c r="B114" s="203">
        <f>Alukset_Käynnit!B121</f>
        <v>0</v>
      </c>
      <c r="C114" s="262">
        <f>Alukset_Käynnit!C121</f>
        <v>0</v>
      </c>
      <c r="D114" s="266">
        <f>Alukset_Käynnit!D121</f>
        <v>0</v>
      </c>
      <c r="E114" s="262">
        <f>Alukset_Käynnit!E121</f>
        <v>0</v>
      </c>
      <c r="F114" s="262">
        <f>Alukset_Käynnit!F121</f>
        <v>0</v>
      </c>
      <c r="G114" s="262">
        <f>Alukset_Käynnit!G121</f>
        <v>0</v>
      </c>
      <c r="H114" s="262">
        <f>Alukset_Käynnit!H121</f>
        <v>0</v>
      </c>
      <c r="I114" s="262">
        <f>Alukset_Käynnit!I121</f>
        <v>0</v>
      </c>
      <c r="J114" s="262">
        <f>Alukset_Käynnit!J121</f>
        <v>0</v>
      </c>
      <c r="K114" s="262">
        <f>Alukset_Käynnit!K121</f>
        <v>0</v>
      </c>
      <c r="L114" s="205">
        <f>Alukset_Käynnit!L121</f>
        <v>0</v>
      </c>
      <c r="N114" s="273">
        <f t="shared" si="25"/>
        <v>0</v>
      </c>
      <c r="O114" s="274">
        <f t="shared" si="24"/>
        <v>0</v>
      </c>
      <c r="P114" s="202"/>
      <c r="Q114" s="204">
        <f t="shared" si="14"/>
        <v>0</v>
      </c>
      <c r="R114" s="202">
        <f>IF(Q114="Other dry cargo",L114*Alukset_fx!$B$71,IF(OR(Q114="Dry bulk",Q114="Bulk carrier"),L114*Alukset_fx!$B$69,IF(Q114="Tugboat",L114*Alukset_fx!$B$76,IF(OR(Q114="Tanker",Q114="Gas tanker",Q114="Chemical tanker",Q114="Oil tanker"),L114*Alukset_fx!$B$68,IF(OR(Q114="RoRo",Q114="Vehicle carrier"),L114*Alukset_fx!$B$72,IF(Q114="RoPax",L114*Alukset_fx!$B$73,IF(Q114="Container ship",L114*Alukset_fx!$B$70,IF(Q114="Barge",0,L114*Alukset_fx!$B$75))))))))</f>
        <v>0</v>
      </c>
      <c r="S114" s="210">
        <f>IF(L114=0,IF(Q114="Other dry cargo",Alukset_fx!$H$73*(Alukset_Käynnit_Lask!K114^Alukset_fx!$I$73),IF(OR(Q114="Dry Bulk",Q114="Bulk carrier"),Alukset_fx!$H$71*(Alukset_Käynnit_Lask!K114^Alukset_fx!$I$71),IF(Q114="Tugboat",Alukset_fx!$H$78*(Alukset_Käynnit_Lask!K114^Alukset_fx!$I$78),IF(OR(Q114="Tanker",Q114="Gas tanker",Q114="Chemical tanker",Q114="Oil tanker"),Alukset_fx!$H$70*(Alukset_Käynnit_Lask!K114^Alukset_fx!$I$70),IF(Q114="Container ship",Alukset_fx!$H$72*(Alukset_Käynnit_Lask!K114^Alukset_fx!$I$72),IF(Q114="Barge",0,IF(Q114="RoPax",Alukset_fx!$H$75*(Alukset_Käynnit_Lask!K114^Alukset_fx!$I$75),IF(OR(Q114="RoRo",Q114="Vehicle carrier"),Alukset_fx!$H$74*(Alukset_Käynnit_Lask!K114^Alukset_fx!$I$74),Alukset_fx!$H$77*(Alukset_Käynnit_Lask!K114^Alukset_fx!$I$77))))))))),"-")</f>
        <v>0</v>
      </c>
      <c r="T114" s="208">
        <f>IF(R114=0,IF(Q114="Other dry cargo",S114*Alukset_fx!$B$71,IF(OR(Q114="Dry bulk",Q114="Bulk carrier"),S114*Alukset_fx!$B$69,IF(Q114="Tugboat",S114*Alukset_fx!$B$76,IF(OR(Q114="Tanker",Q114="Gas tanker",Q114="Chemical tanker",Q114="Oil tanker"),S114*Alukset_fx!$B$68,IF(OR(Q114="RoRo",Q114="Vehicle carrier"),S114*Alukset_fx!$B$72,IF(Q114="RoPax",S114*Alukset_fx!$B$73,IF(Q114="Container ship",S114*Alukset_fx!$B$70,S114*Alukset_fx!$B$75))))))),"-")</f>
        <v>0</v>
      </c>
      <c r="U114" s="208">
        <f t="shared" si="15"/>
        <v>0</v>
      </c>
      <c r="V114" s="208">
        <f t="shared" si="16"/>
        <v>0</v>
      </c>
      <c r="W114" s="202">
        <f>Alukset_Käynnit!N121</f>
        <v>0</v>
      </c>
      <c r="X114" s="211">
        <f>IF(Q114="Other dry cargo", Alukset_fx!$C$52, IF(OR(Q114="Dry bulk",Q114="Bulk carrier"),Alukset_fx!$C$35,IF(OR(Q114="Tanker",Q114="Gas tanker",Q114="Oil tanker"),Alukset_fx!$C$57,IF(Q114="Chemical tanker",Alukset_fx!$C$56,IF(OR(Q114="Tugboat",Q114="Barge"),0,IF(Q114="Other vessel",Alukset_fx!$C$54,IF(Q114="Container ship",Alukset_fx!$C$37,IF(OR(Q114="RoPax",Q114="RoRo",Q114="Vehicle carrier"),Alukset_fx!$C$55,0))))))))</f>
        <v>0</v>
      </c>
      <c r="Y114" s="211">
        <f>IF(Q114="Other dry cargo", Alukset_fx!$Q$52, IF(OR(Q114="Dry bulk",Q114="Bulk carrier"),Alukset_fx!$Q$35,IF(OR(Q114="Tanker",Q114="Gas tanker",Q114="Oil tanker"),Alukset_fx!$Q$57,IF(Q114="Chemical tanker",Alukset_fx!$Q$56,IF(OR(Q114="Tugboat",Q114="Barge"),0,IF(Q114="Other vessel",Alukset_fx!$Q$54,IF(Q114="Container ship",Alukset_fx!$Q$37,IF(OR(Q114="RoPax",Q114="RoRo",Q114="Vehicle carrier"),Alukset_fx!$Q$55,0))))))))</f>
        <v>0</v>
      </c>
      <c r="Z114" t="str">
        <f t="shared" si="17"/>
        <v>MDO/MGO</v>
      </c>
      <c r="AA114" t="str">
        <f t="shared" si="18"/>
        <v>MSD</v>
      </c>
      <c r="AB114" t="str">
        <f t="shared" si="19"/>
        <v>MDO/MGO</v>
      </c>
      <c r="AC114" t="str">
        <f t="shared" si="20"/>
        <v>MSD</v>
      </c>
      <c r="AD114" t="str">
        <f t="shared" si="21"/>
        <v>MDO/MGO</v>
      </c>
      <c r="AE114" t="str">
        <f t="shared" si="22"/>
        <v>ST</v>
      </c>
      <c r="AG114">
        <f>Alukset_Käynnit!O121</f>
        <v>0</v>
      </c>
      <c r="AH114" s="207">
        <f>IF(AA114="SSD",((U114*Alukset_fx!$B$24)*Alukset_Käynnit_Lask!W114*(Alukset_fx!$K$49)/1000),IF(AA114="MSD",((U114*Alukset_fx!$B$24)*Alukset_Käynnit_Lask!W114*(Alukset_fx!$K$52)/1000),IF(AA114="HSD",((U114*Alukset_fx!$B$24)*Alukset_Käynnit_Lask!W114*(Alukset_fx!$K$55)/1000),0)))</f>
        <v>0</v>
      </c>
      <c r="AI114" s="207">
        <f>IF(AC114="MSD",((V114*Alukset_fx!$B$25)*Alukset_Käynnit_Lask!W114*(Alukset_fx!$L$52)/1000),IF(AC114="HSD",((V114*Alukset_fx!$B$25)*Alukset_Käynnit_Lask!W114*(Alukset_fx!$L$55)/1000),0))</f>
        <v>0</v>
      </c>
      <c r="AJ114" s="207">
        <f>X114*W114*Alukset_fx!$K$61/1000</f>
        <v>0</v>
      </c>
      <c r="AK114">
        <v>0</v>
      </c>
      <c r="AL114" s="207">
        <f>IF(AG114="Käytetty",0,IF(AC114="MSD",((V114*Alukset_fx!$O$25)*Alukset_Käynnit_Lask!O114*(Alukset_fx!$L$52)/1000),IF(AC114="HSD",((V114*Alukset_fx!$O$25)*Alukset_Käynnit_Lask!O114*(Alukset_fx!$L$55)/1000),0)))</f>
        <v>0</v>
      </c>
      <c r="AM114" s="207">
        <f>IF(AG114="Käytetty",0,Y114*O114*Alukset_fx!$K$61/1000)</f>
        <v>0</v>
      </c>
      <c r="AN114" s="213">
        <f t="shared" si="23"/>
        <v>0</v>
      </c>
    </row>
    <row r="115" spans="1:40" x14ac:dyDescent="0.25">
      <c r="A115" s="203">
        <f>Alukset_Käynnit!A122</f>
        <v>0</v>
      </c>
      <c r="B115" s="203">
        <f>Alukset_Käynnit!B122</f>
        <v>0</v>
      </c>
      <c r="C115" s="262">
        <f>Alukset_Käynnit!C122</f>
        <v>0</v>
      </c>
      <c r="D115" s="266">
        <f>Alukset_Käynnit!D122</f>
        <v>0</v>
      </c>
      <c r="E115" s="262">
        <f>Alukset_Käynnit!E122</f>
        <v>0</v>
      </c>
      <c r="F115" s="262">
        <f>Alukset_Käynnit!F122</f>
        <v>0</v>
      </c>
      <c r="G115" s="262">
        <f>Alukset_Käynnit!G122</f>
        <v>0</v>
      </c>
      <c r="H115" s="262">
        <f>Alukset_Käynnit!H122</f>
        <v>0</v>
      </c>
      <c r="I115" s="262">
        <f>Alukset_Käynnit!I122</f>
        <v>0</v>
      </c>
      <c r="J115" s="262">
        <f>Alukset_Käynnit!J122</f>
        <v>0</v>
      </c>
      <c r="K115" s="262">
        <f>Alukset_Käynnit!K122</f>
        <v>0</v>
      </c>
      <c r="L115" s="205">
        <f>Alukset_Käynnit!L122</f>
        <v>0</v>
      </c>
      <c r="N115" s="275">
        <f t="shared" si="25"/>
        <v>0</v>
      </c>
      <c r="O115" s="276">
        <f t="shared" si="24"/>
        <v>0</v>
      </c>
      <c r="P115" s="202"/>
      <c r="Q115" s="204">
        <f t="shared" si="14"/>
        <v>0</v>
      </c>
      <c r="R115" s="202">
        <f>IF(Q115="Other dry cargo",L115*Alukset_fx!$B$71,IF(OR(Q115="Dry bulk",Q115="Bulk carrier"),L115*Alukset_fx!$B$69,IF(Q115="Tugboat",L115*Alukset_fx!$B$76,IF(OR(Q115="Tanker",Q115="Gas tanker",Q115="Chemical tanker",Q115="Oil tanker"),L115*Alukset_fx!$B$68,IF(OR(Q115="RoRo",Q115="Vehicle carrier"),L115*Alukset_fx!$B$72,IF(Q115="RoPax",L115*Alukset_fx!$B$73,IF(Q115="Container ship",L115*Alukset_fx!$B$70,IF(Q115="Barge",0,L115*Alukset_fx!$B$75))))))))</f>
        <v>0</v>
      </c>
      <c r="S115" s="210">
        <f>IF(L115=0,IF(Q115="Other dry cargo",Alukset_fx!$H$73*(Alukset_Käynnit_Lask!K115^Alukset_fx!$I$73),IF(OR(Q115="Dry Bulk",Q115="Bulk carrier"),Alukset_fx!$H$71*(Alukset_Käynnit_Lask!K115^Alukset_fx!$I$71),IF(Q115="Tugboat",Alukset_fx!$H$78*(Alukset_Käynnit_Lask!K115^Alukset_fx!$I$78),IF(OR(Q115="Tanker",Q115="Gas tanker",Q115="Chemical tanker",Q115="Oil tanker"),Alukset_fx!$H$70*(Alukset_Käynnit_Lask!K115^Alukset_fx!$I$70),IF(Q115="Container ship",Alukset_fx!$H$72*(Alukset_Käynnit_Lask!K115^Alukset_fx!$I$72),IF(Q115="Barge",0,IF(Q115="RoPax",Alukset_fx!$H$75*(Alukset_Käynnit_Lask!K115^Alukset_fx!$I$75),IF(OR(Q115="RoRo",Q115="Vehicle carrier"),Alukset_fx!$H$74*(Alukset_Käynnit_Lask!K115^Alukset_fx!$I$74),Alukset_fx!$H$77*(Alukset_Käynnit_Lask!K115^Alukset_fx!$I$77))))))))),"-")</f>
        <v>0</v>
      </c>
      <c r="T115" s="208">
        <f>IF(R115=0,IF(Q115="Other dry cargo",S115*Alukset_fx!$B$71,IF(OR(Q115="Dry bulk",Q115="Bulk carrier"),S115*Alukset_fx!$B$69,IF(Q115="Tugboat",S115*Alukset_fx!$B$76,IF(OR(Q115="Tanker",Q115="Gas tanker",Q115="Chemical tanker",Q115="Oil tanker"),S115*Alukset_fx!$B$68,IF(OR(Q115="RoRo",Q115="Vehicle carrier"),S115*Alukset_fx!$B$72,IF(Q115="RoPax",S115*Alukset_fx!$B$73,IF(Q115="Container ship",S115*Alukset_fx!$B$70,S115*Alukset_fx!$B$75))))))),"-")</f>
        <v>0</v>
      </c>
      <c r="U115" s="208">
        <f t="shared" si="15"/>
        <v>0</v>
      </c>
      <c r="V115" s="208">
        <f t="shared" si="16"/>
        <v>0</v>
      </c>
      <c r="W115" s="202">
        <f>Alukset_Käynnit!N122</f>
        <v>0</v>
      </c>
      <c r="X115" s="211">
        <f>IF(Q115="Other dry cargo", Alukset_fx!$C$52, IF(OR(Q115="Dry bulk",Q115="Bulk carrier"),Alukset_fx!$C$35,IF(OR(Q115="Tanker",Q115="Gas tanker",Q115="Oil tanker"),Alukset_fx!$C$57,IF(Q115="Chemical tanker",Alukset_fx!$C$56,IF(OR(Q115="Tugboat",Q115="Barge"),0,IF(Q115="Other vessel",Alukset_fx!$C$54,IF(Q115="Container ship",Alukset_fx!$C$37,IF(OR(Q115="RoPax",Q115="RoRo",Q115="Vehicle carrier"),Alukset_fx!$C$55,0))))))))</f>
        <v>0</v>
      </c>
      <c r="Y115" s="211">
        <f>IF(Q115="Other dry cargo", Alukset_fx!$Q$52, IF(OR(Q115="Dry bulk",Q115="Bulk carrier"),Alukset_fx!$Q$35,IF(OR(Q115="Tanker",Q115="Gas tanker",Q115="Oil tanker"),Alukset_fx!$Q$57,IF(Q115="Chemical tanker",Alukset_fx!$Q$56,IF(OR(Q115="Tugboat",Q115="Barge"),0,IF(Q115="Other vessel",Alukset_fx!$Q$54,IF(Q115="Container ship",Alukset_fx!$Q$37,IF(OR(Q115="RoPax",Q115="RoRo",Q115="Vehicle carrier"),Alukset_fx!$Q$55,0))))))))</f>
        <v>0</v>
      </c>
      <c r="Z115" t="str">
        <f t="shared" si="17"/>
        <v>MDO/MGO</v>
      </c>
      <c r="AA115" t="str">
        <f t="shared" si="18"/>
        <v>MSD</v>
      </c>
      <c r="AB115" t="str">
        <f t="shared" si="19"/>
        <v>MDO/MGO</v>
      </c>
      <c r="AC115" t="str">
        <f t="shared" si="20"/>
        <v>MSD</v>
      </c>
      <c r="AD115" t="str">
        <f t="shared" si="21"/>
        <v>MDO/MGO</v>
      </c>
      <c r="AE115" t="str">
        <f t="shared" si="22"/>
        <v>ST</v>
      </c>
      <c r="AG115">
        <f>Alukset_Käynnit!O122</f>
        <v>0</v>
      </c>
      <c r="AH115" s="207">
        <f>IF(AA115="SSD",((U115*Alukset_fx!$B$24)*Alukset_Käynnit_Lask!W115*(Alukset_fx!$K$49)/1000),IF(AA115="MSD",((U115*Alukset_fx!$B$24)*Alukset_Käynnit_Lask!W115*(Alukset_fx!$K$52)/1000),IF(AA115="HSD",((U115*Alukset_fx!$B$24)*Alukset_Käynnit_Lask!W115*(Alukset_fx!$K$55)/1000),0)))</f>
        <v>0</v>
      </c>
      <c r="AI115" s="207">
        <f>IF(AC115="MSD",((V115*Alukset_fx!$B$25)*Alukset_Käynnit_Lask!W115*(Alukset_fx!$L$52)/1000),IF(AC115="HSD",((V115*Alukset_fx!$B$25)*Alukset_Käynnit_Lask!W115*(Alukset_fx!$L$55)/1000),0))</f>
        <v>0</v>
      </c>
      <c r="AJ115" s="207">
        <f>X115*W115*Alukset_fx!$K$61/1000</f>
        <v>0</v>
      </c>
      <c r="AK115">
        <v>0</v>
      </c>
      <c r="AL115" s="207">
        <f>IF(AG115="Käytetty",0,IF(AC115="MSD",((V115*Alukset_fx!$O$25)*Alukset_Käynnit_Lask!O115*(Alukset_fx!$L$52)/1000),IF(AC115="HSD",((V115*Alukset_fx!$O$25)*Alukset_Käynnit_Lask!O115*(Alukset_fx!$L$55)/1000),0)))</f>
        <v>0</v>
      </c>
      <c r="AM115" s="207">
        <f>IF(AG115="Käytetty",0,Y115*O115*Alukset_fx!$K$61/1000)</f>
        <v>0</v>
      </c>
      <c r="AN115" s="213">
        <f t="shared" si="23"/>
        <v>0</v>
      </c>
    </row>
    <row r="116" spans="1:40" x14ac:dyDescent="0.25">
      <c r="A116" s="203">
        <f>Alukset_Käynnit!A123</f>
        <v>0</v>
      </c>
      <c r="B116" s="203">
        <f>Alukset_Käynnit!B123</f>
        <v>0</v>
      </c>
      <c r="C116" s="262">
        <f>Alukset_Käynnit!C123</f>
        <v>0</v>
      </c>
      <c r="D116" s="266">
        <f>Alukset_Käynnit!D123</f>
        <v>0</v>
      </c>
      <c r="E116" s="262">
        <f>Alukset_Käynnit!E123</f>
        <v>0</v>
      </c>
      <c r="F116" s="262">
        <f>Alukset_Käynnit!F123</f>
        <v>0</v>
      </c>
      <c r="G116" s="262">
        <f>Alukset_Käynnit!G123</f>
        <v>0</v>
      </c>
      <c r="H116" s="262">
        <f>Alukset_Käynnit!H123</f>
        <v>0</v>
      </c>
      <c r="I116" s="262">
        <f>Alukset_Käynnit!I123</f>
        <v>0</v>
      </c>
      <c r="J116" s="262">
        <f>Alukset_Käynnit!J123</f>
        <v>0</v>
      </c>
      <c r="K116" s="262">
        <f>Alukset_Käynnit!K123</f>
        <v>0</v>
      </c>
      <c r="L116" s="205">
        <f>Alukset_Käynnit!L123</f>
        <v>0</v>
      </c>
      <c r="N116" s="275">
        <f t="shared" si="25"/>
        <v>0</v>
      </c>
      <c r="O116" s="276">
        <f t="shared" si="24"/>
        <v>0</v>
      </c>
      <c r="P116" s="202"/>
      <c r="Q116" s="204">
        <f t="shared" si="14"/>
        <v>0</v>
      </c>
      <c r="R116" s="202">
        <f>IF(Q116="Other dry cargo",L116*Alukset_fx!$B$71,IF(OR(Q116="Dry bulk",Q116="Bulk carrier"),L116*Alukset_fx!$B$69,IF(Q116="Tugboat",L116*Alukset_fx!$B$76,IF(OR(Q116="Tanker",Q116="Gas tanker",Q116="Chemical tanker",Q116="Oil tanker"),L116*Alukset_fx!$B$68,IF(OR(Q116="RoRo",Q116="Vehicle carrier"),L116*Alukset_fx!$B$72,IF(Q116="RoPax",L116*Alukset_fx!$B$73,IF(Q116="Container ship",L116*Alukset_fx!$B$70,IF(Q116="Barge",0,L116*Alukset_fx!$B$75))))))))</f>
        <v>0</v>
      </c>
      <c r="S116" s="210">
        <f>IF(L116=0,IF(Q116="Other dry cargo",Alukset_fx!$H$73*(Alukset_Käynnit_Lask!K116^Alukset_fx!$I$73),IF(OR(Q116="Dry Bulk",Q116="Bulk carrier"),Alukset_fx!$H$71*(Alukset_Käynnit_Lask!K116^Alukset_fx!$I$71),IF(Q116="Tugboat",Alukset_fx!$H$78*(Alukset_Käynnit_Lask!K116^Alukset_fx!$I$78),IF(OR(Q116="Tanker",Q116="Gas tanker",Q116="Chemical tanker",Q116="Oil tanker"),Alukset_fx!$H$70*(Alukset_Käynnit_Lask!K116^Alukset_fx!$I$70),IF(Q116="Container ship",Alukset_fx!$H$72*(Alukset_Käynnit_Lask!K116^Alukset_fx!$I$72),IF(Q116="Barge",0,IF(Q116="RoPax",Alukset_fx!$H$75*(Alukset_Käynnit_Lask!K116^Alukset_fx!$I$75),IF(OR(Q116="RoRo",Q116="Vehicle carrier"),Alukset_fx!$H$74*(Alukset_Käynnit_Lask!K116^Alukset_fx!$I$74),Alukset_fx!$H$77*(Alukset_Käynnit_Lask!K116^Alukset_fx!$I$77))))))))),"-")</f>
        <v>0</v>
      </c>
      <c r="T116" s="208">
        <f>IF(R116=0,IF(Q116="Other dry cargo",S116*Alukset_fx!$B$71,IF(OR(Q116="Dry bulk",Q116="Bulk carrier"),S116*Alukset_fx!$B$69,IF(Q116="Tugboat",S116*Alukset_fx!$B$76,IF(OR(Q116="Tanker",Q116="Gas tanker",Q116="Chemical tanker",Q116="Oil tanker"),S116*Alukset_fx!$B$68,IF(OR(Q116="RoRo",Q116="Vehicle carrier"),S116*Alukset_fx!$B$72,IF(Q116="RoPax",S116*Alukset_fx!$B$73,IF(Q116="Container ship",S116*Alukset_fx!$B$70,S116*Alukset_fx!$B$75))))))),"-")</f>
        <v>0</v>
      </c>
      <c r="U116" s="208">
        <f t="shared" si="15"/>
        <v>0</v>
      </c>
      <c r="V116" s="208">
        <f t="shared" si="16"/>
        <v>0</v>
      </c>
      <c r="W116" s="202">
        <f>Alukset_Käynnit!N123</f>
        <v>0</v>
      </c>
      <c r="X116" s="211">
        <f>IF(Q116="Other dry cargo", Alukset_fx!$C$52, IF(OR(Q116="Dry bulk",Q116="Bulk carrier"),Alukset_fx!$C$35,IF(OR(Q116="Tanker",Q116="Gas tanker",Q116="Oil tanker"),Alukset_fx!$C$57,IF(Q116="Chemical tanker",Alukset_fx!$C$56,IF(OR(Q116="Tugboat",Q116="Barge"),0,IF(Q116="Other vessel",Alukset_fx!$C$54,IF(Q116="Container ship",Alukset_fx!$C$37,IF(OR(Q116="RoPax",Q116="RoRo",Q116="Vehicle carrier"),Alukset_fx!$C$55,0))))))))</f>
        <v>0</v>
      </c>
      <c r="Y116" s="211">
        <f>IF(Q116="Other dry cargo", Alukset_fx!$Q$52, IF(OR(Q116="Dry bulk",Q116="Bulk carrier"),Alukset_fx!$Q$35,IF(OR(Q116="Tanker",Q116="Gas tanker",Q116="Oil tanker"),Alukset_fx!$Q$57,IF(Q116="Chemical tanker",Alukset_fx!$Q$56,IF(OR(Q116="Tugboat",Q116="Barge"),0,IF(Q116="Other vessel",Alukset_fx!$Q$54,IF(Q116="Container ship",Alukset_fx!$Q$37,IF(OR(Q116="RoPax",Q116="RoRo",Q116="Vehicle carrier"),Alukset_fx!$Q$55,0))))))))</f>
        <v>0</v>
      </c>
      <c r="Z116" t="str">
        <f t="shared" si="17"/>
        <v>MDO/MGO</v>
      </c>
      <c r="AA116" t="str">
        <f t="shared" si="18"/>
        <v>MSD</v>
      </c>
      <c r="AB116" t="str">
        <f t="shared" si="19"/>
        <v>MDO/MGO</v>
      </c>
      <c r="AC116" t="str">
        <f t="shared" si="20"/>
        <v>MSD</v>
      </c>
      <c r="AD116" t="str">
        <f t="shared" si="21"/>
        <v>MDO/MGO</v>
      </c>
      <c r="AE116" t="str">
        <f t="shared" si="22"/>
        <v>ST</v>
      </c>
      <c r="AG116">
        <f>Alukset_Käynnit!O123</f>
        <v>0</v>
      </c>
      <c r="AH116" s="207">
        <f>IF(AA116="SSD",((U116*Alukset_fx!$B$24)*Alukset_Käynnit_Lask!W116*(Alukset_fx!$K$49)/1000),IF(AA116="MSD",((U116*Alukset_fx!$B$24)*Alukset_Käynnit_Lask!W116*(Alukset_fx!$K$52)/1000),IF(AA116="HSD",((U116*Alukset_fx!$B$24)*Alukset_Käynnit_Lask!W116*(Alukset_fx!$K$55)/1000),0)))</f>
        <v>0</v>
      </c>
      <c r="AI116" s="207">
        <f>IF(AC116="MSD",((V116*Alukset_fx!$B$25)*Alukset_Käynnit_Lask!W116*(Alukset_fx!$L$52)/1000),IF(AC116="HSD",((V116*Alukset_fx!$B$25)*Alukset_Käynnit_Lask!W116*(Alukset_fx!$L$55)/1000),0))</f>
        <v>0</v>
      </c>
      <c r="AJ116" s="207">
        <f>X116*W116*Alukset_fx!$K$61/1000</f>
        <v>0</v>
      </c>
      <c r="AK116">
        <v>0</v>
      </c>
      <c r="AL116" s="207">
        <f>IF(AG116="Käytetty",0,IF(AC116="MSD",((V116*Alukset_fx!$O$25)*Alukset_Käynnit_Lask!O116*(Alukset_fx!$L$52)/1000),IF(AC116="HSD",((V116*Alukset_fx!$O$25)*Alukset_Käynnit_Lask!O116*(Alukset_fx!$L$55)/1000),0)))</f>
        <v>0</v>
      </c>
      <c r="AM116" s="207">
        <f>IF(AG116="Käytetty",0,Y116*O116*Alukset_fx!$K$61/1000)</f>
        <v>0</v>
      </c>
      <c r="AN116" s="213">
        <f t="shared" si="23"/>
        <v>0</v>
      </c>
    </row>
    <row r="117" spans="1:40" x14ac:dyDescent="0.25">
      <c r="A117" s="203">
        <f>Alukset_Käynnit!A124</f>
        <v>0</v>
      </c>
      <c r="B117" s="203">
        <f>Alukset_Käynnit!B124</f>
        <v>0</v>
      </c>
      <c r="C117" s="262">
        <f>Alukset_Käynnit!C124</f>
        <v>0</v>
      </c>
      <c r="D117" s="266">
        <f>Alukset_Käynnit!D124</f>
        <v>0</v>
      </c>
      <c r="E117" s="262">
        <f>Alukset_Käynnit!E124</f>
        <v>0</v>
      </c>
      <c r="F117" s="262">
        <f>Alukset_Käynnit!F124</f>
        <v>0</v>
      </c>
      <c r="G117" s="262">
        <f>Alukset_Käynnit!G124</f>
        <v>0</v>
      </c>
      <c r="H117" s="262">
        <f>Alukset_Käynnit!H124</f>
        <v>0</v>
      </c>
      <c r="I117" s="262">
        <f>Alukset_Käynnit!I124</f>
        <v>0</v>
      </c>
      <c r="J117" s="262">
        <f>Alukset_Käynnit!J124</f>
        <v>0</v>
      </c>
      <c r="K117" s="262">
        <f>Alukset_Käynnit!K124</f>
        <v>0</v>
      </c>
      <c r="L117" s="205">
        <f>Alukset_Käynnit!L124</f>
        <v>0</v>
      </c>
      <c r="N117" s="275">
        <f t="shared" si="25"/>
        <v>0</v>
      </c>
      <c r="O117" s="276">
        <f t="shared" si="24"/>
        <v>0</v>
      </c>
      <c r="P117" s="202"/>
      <c r="Q117" s="204">
        <f t="shared" si="14"/>
        <v>0</v>
      </c>
      <c r="R117" s="202">
        <f>IF(Q117="Other dry cargo",L117*Alukset_fx!$B$71,IF(OR(Q117="Dry bulk",Q117="Bulk carrier"),L117*Alukset_fx!$B$69,IF(Q117="Tugboat",L117*Alukset_fx!$B$76,IF(OR(Q117="Tanker",Q117="Gas tanker",Q117="Chemical tanker",Q117="Oil tanker"),L117*Alukset_fx!$B$68,IF(OR(Q117="RoRo",Q117="Vehicle carrier"),L117*Alukset_fx!$B$72,IF(Q117="RoPax",L117*Alukset_fx!$B$73,IF(Q117="Container ship",L117*Alukset_fx!$B$70,IF(Q117="Barge",0,L117*Alukset_fx!$B$75))))))))</f>
        <v>0</v>
      </c>
      <c r="S117" s="210">
        <f>IF(L117=0,IF(Q117="Other dry cargo",Alukset_fx!$H$73*(Alukset_Käynnit_Lask!K117^Alukset_fx!$I$73),IF(OR(Q117="Dry Bulk",Q117="Bulk carrier"),Alukset_fx!$H$71*(Alukset_Käynnit_Lask!K117^Alukset_fx!$I$71),IF(Q117="Tugboat",Alukset_fx!$H$78*(Alukset_Käynnit_Lask!K117^Alukset_fx!$I$78),IF(OR(Q117="Tanker",Q117="Gas tanker",Q117="Chemical tanker",Q117="Oil tanker"),Alukset_fx!$H$70*(Alukset_Käynnit_Lask!K117^Alukset_fx!$I$70),IF(Q117="Container ship",Alukset_fx!$H$72*(Alukset_Käynnit_Lask!K117^Alukset_fx!$I$72),IF(Q117="Barge",0,IF(Q117="RoPax",Alukset_fx!$H$75*(Alukset_Käynnit_Lask!K117^Alukset_fx!$I$75),IF(OR(Q117="RoRo",Q117="Vehicle carrier"),Alukset_fx!$H$74*(Alukset_Käynnit_Lask!K117^Alukset_fx!$I$74),Alukset_fx!$H$77*(Alukset_Käynnit_Lask!K117^Alukset_fx!$I$77))))))))),"-")</f>
        <v>0</v>
      </c>
      <c r="T117" s="208">
        <f>IF(R117=0,IF(Q117="Other dry cargo",S117*Alukset_fx!$B$71,IF(OR(Q117="Dry bulk",Q117="Bulk carrier"),S117*Alukset_fx!$B$69,IF(Q117="Tugboat",S117*Alukset_fx!$B$76,IF(OR(Q117="Tanker",Q117="Gas tanker",Q117="Chemical tanker",Q117="Oil tanker"),S117*Alukset_fx!$B$68,IF(OR(Q117="RoRo",Q117="Vehicle carrier"),S117*Alukset_fx!$B$72,IF(Q117="RoPax",S117*Alukset_fx!$B$73,IF(Q117="Container ship",S117*Alukset_fx!$B$70,S117*Alukset_fx!$B$75))))))),"-")</f>
        <v>0</v>
      </c>
      <c r="U117" s="208">
        <f t="shared" si="15"/>
        <v>0</v>
      </c>
      <c r="V117" s="208">
        <f t="shared" si="16"/>
        <v>0</v>
      </c>
      <c r="W117" s="202">
        <f>Alukset_Käynnit!N124</f>
        <v>0</v>
      </c>
      <c r="X117" s="211">
        <f>IF(Q117="Other dry cargo", Alukset_fx!$C$52, IF(OR(Q117="Dry bulk",Q117="Bulk carrier"),Alukset_fx!$C$35,IF(OR(Q117="Tanker",Q117="Gas tanker",Q117="Oil tanker"),Alukset_fx!$C$57,IF(Q117="Chemical tanker",Alukset_fx!$C$56,IF(OR(Q117="Tugboat",Q117="Barge"),0,IF(Q117="Other vessel",Alukset_fx!$C$54,IF(Q117="Container ship",Alukset_fx!$C$37,IF(OR(Q117="RoPax",Q117="RoRo",Q117="Vehicle carrier"),Alukset_fx!$C$55,0))))))))</f>
        <v>0</v>
      </c>
      <c r="Y117" s="211">
        <f>IF(Q117="Other dry cargo", Alukset_fx!$Q$52, IF(OR(Q117="Dry bulk",Q117="Bulk carrier"),Alukset_fx!$Q$35,IF(OR(Q117="Tanker",Q117="Gas tanker",Q117="Oil tanker"),Alukset_fx!$Q$57,IF(Q117="Chemical tanker",Alukset_fx!$Q$56,IF(OR(Q117="Tugboat",Q117="Barge"),0,IF(Q117="Other vessel",Alukset_fx!$Q$54,IF(Q117="Container ship",Alukset_fx!$Q$37,IF(OR(Q117="RoPax",Q117="RoRo",Q117="Vehicle carrier"),Alukset_fx!$Q$55,0))))))))</f>
        <v>0</v>
      </c>
      <c r="Z117" t="str">
        <f t="shared" si="17"/>
        <v>MDO/MGO</v>
      </c>
      <c r="AA117" t="str">
        <f t="shared" si="18"/>
        <v>MSD</v>
      </c>
      <c r="AB117" t="str">
        <f t="shared" si="19"/>
        <v>MDO/MGO</v>
      </c>
      <c r="AC117" t="str">
        <f t="shared" si="20"/>
        <v>MSD</v>
      </c>
      <c r="AD117" t="str">
        <f t="shared" si="21"/>
        <v>MDO/MGO</v>
      </c>
      <c r="AE117" t="str">
        <f t="shared" si="22"/>
        <v>ST</v>
      </c>
      <c r="AG117">
        <f>Alukset_Käynnit!O124</f>
        <v>0</v>
      </c>
      <c r="AH117" s="207">
        <f>IF(AA117="SSD",((U117*Alukset_fx!$B$24)*Alukset_Käynnit_Lask!W117*(Alukset_fx!$K$49)/1000),IF(AA117="MSD",((U117*Alukset_fx!$B$24)*Alukset_Käynnit_Lask!W117*(Alukset_fx!$K$52)/1000),IF(AA117="HSD",((U117*Alukset_fx!$B$24)*Alukset_Käynnit_Lask!W117*(Alukset_fx!$K$55)/1000),0)))</f>
        <v>0</v>
      </c>
      <c r="AI117" s="207">
        <f>IF(AC117="MSD",((V117*Alukset_fx!$B$25)*Alukset_Käynnit_Lask!W117*(Alukset_fx!$L$52)/1000),IF(AC117="HSD",((V117*Alukset_fx!$B$25)*Alukset_Käynnit_Lask!W117*(Alukset_fx!$L$55)/1000),0))</f>
        <v>0</v>
      </c>
      <c r="AJ117" s="207">
        <f>X117*W117*Alukset_fx!$K$61/1000</f>
        <v>0</v>
      </c>
      <c r="AK117">
        <v>0</v>
      </c>
      <c r="AL117" s="207">
        <f>IF(AG117="Käytetty",0,IF(AC117="MSD",((V117*Alukset_fx!$O$25)*Alukset_Käynnit_Lask!O117*(Alukset_fx!$L$52)/1000),IF(AC117="HSD",((V117*Alukset_fx!$O$25)*Alukset_Käynnit_Lask!O117*(Alukset_fx!$L$55)/1000),0)))</f>
        <v>0</v>
      </c>
      <c r="AM117" s="207">
        <f>IF(AG117="Käytetty",0,Y117*O117*Alukset_fx!$K$61/1000)</f>
        <v>0</v>
      </c>
      <c r="AN117" s="213">
        <f t="shared" si="23"/>
        <v>0</v>
      </c>
    </row>
    <row r="118" spans="1:40" x14ac:dyDescent="0.25">
      <c r="A118" s="203">
        <f>Alukset_Käynnit!A125</f>
        <v>0</v>
      </c>
      <c r="B118" s="203">
        <f>Alukset_Käynnit!B125</f>
        <v>0</v>
      </c>
      <c r="C118" s="262">
        <f>Alukset_Käynnit!C125</f>
        <v>0</v>
      </c>
      <c r="D118" s="266">
        <f>Alukset_Käynnit!D125</f>
        <v>0</v>
      </c>
      <c r="E118" s="262">
        <f>Alukset_Käynnit!E125</f>
        <v>0</v>
      </c>
      <c r="F118" s="262">
        <f>Alukset_Käynnit!F125</f>
        <v>0</v>
      </c>
      <c r="G118" s="262">
        <f>Alukset_Käynnit!G125</f>
        <v>0</v>
      </c>
      <c r="H118" s="262">
        <f>Alukset_Käynnit!H125</f>
        <v>0</v>
      </c>
      <c r="I118" s="262">
        <f>Alukset_Käynnit!I125</f>
        <v>0</v>
      </c>
      <c r="J118" s="262">
        <f>Alukset_Käynnit!J125</f>
        <v>0</v>
      </c>
      <c r="K118" s="262">
        <f>Alukset_Käynnit!K125</f>
        <v>0</v>
      </c>
      <c r="L118" s="205">
        <f>Alukset_Käynnit!L125</f>
        <v>0</v>
      </c>
      <c r="N118" s="275">
        <f t="shared" si="25"/>
        <v>0</v>
      </c>
      <c r="O118" s="276">
        <f t="shared" si="24"/>
        <v>0</v>
      </c>
      <c r="P118" s="202"/>
      <c r="Q118" s="204">
        <f t="shared" si="14"/>
        <v>0</v>
      </c>
      <c r="R118" s="202">
        <f>IF(Q118="Other dry cargo",L118*Alukset_fx!$B$71,IF(OR(Q118="Dry bulk",Q118="Bulk carrier"),L118*Alukset_fx!$B$69,IF(Q118="Tugboat",L118*Alukset_fx!$B$76,IF(OR(Q118="Tanker",Q118="Gas tanker",Q118="Chemical tanker",Q118="Oil tanker"),L118*Alukset_fx!$B$68,IF(OR(Q118="RoRo",Q118="Vehicle carrier"),L118*Alukset_fx!$B$72,IF(Q118="RoPax",L118*Alukset_fx!$B$73,IF(Q118="Container ship",L118*Alukset_fx!$B$70,IF(Q118="Barge",0,L118*Alukset_fx!$B$75))))))))</f>
        <v>0</v>
      </c>
      <c r="S118" s="210">
        <f>IF(L118=0,IF(Q118="Other dry cargo",Alukset_fx!$H$73*(Alukset_Käynnit_Lask!K118^Alukset_fx!$I$73),IF(OR(Q118="Dry Bulk",Q118="Bulk carrier"),Alukset_fx!$H$71*(Alukset_Käynnit_Lask!K118^Alukset_fx!$I$71),IF(Q118="Tugboat",Alukset_fx!$H$78*(Alukset_Käynnit_Lask!K118^Alukset_fx!$I$78),IF(OR(Q118="Tanker",Q118="Gas tanker",Q118="Chemical tanker",Q118="Oil tanker"),Alukset_fx!$H$70*(Alukset_Käynnit_Lask!K118^Alukset_fx!$I$70),IF(Q118="Container ship",Alukset_fx!$H$72*(Alukset_Käynnit_Lask!K118^Alukset_fx!$I$72),IF(Q118="Barge",0,IF(Q118="RoPax",Alukset_fx!$H$75*(Alukset_Käynnit_Lask!K118^Alukset_fx!$I$75),IF(OR(Q118="RoRo",Q118="Vehicle carrier"),Alukset_fx!$H$74*(Alukset_Käynnit_Lask!K118^Alukset_fx!$I$74),Alukset_fx!$H$77*(Alukset_Käynnit_Lask!K118^Alukset_fx!$I$77))))))))),"-")</f>
        <v>0</v>
      </c>
      <c r="T118" s="208">
        <f>IF(R118=0,IF(Q118="Other dry cargo",S118*Alukset_fx!$B$71,IF(OR(Q118="Dry bulk",Q118="Bulk carrier"),S118*Alukset_fx!$B$69,IF(Q118="Tugboat",S118*Alukset_fx!$B$76,IF(OR(Q118="Tanker",Q118="Gas tanker",Q118="Chemical tanker",Q118="Oil tanker"),S118*Alukset_fx!$B$68,IF(OR(Q118="RoRo",Q118="Vehicle carrier"),S118*Alukset_fx!$B$72,IF(Q118="RoPax",S118*Alukset_fx!$B$73,IF(Q118="Container ship",S118*Alukset_fx!$B$70,S118*Alukset_fx!$B$75))))))),"-")</f>
        <v>0</v>
      </c>
      <c r="U118" s="208">
        <f t="shared" si="15"/>
        <v>0</v>
      </c>
      <c r="V118" s="208">
        <f t="shared" si="16"/>
        <v>0</v>
      </c>
      <c r="W118" s="202">
        <f>Alukset_Käynnit!N125</f>
        <v>0</v>
      </c>
      <c r="X118" s="211">
        <f>IF(Q118="Other dry cargo", Alukset_fx!$C$52, IF(OR(Q118="Dry bulk",Q118="Bulk carrier"),Alukset_fx!$C$35,IF(OR(Q118="Tanker",Q118="Gas tanker",Q118="Oil tanker"),Alukset_fx!$C$57,IF(Q118="Chemical tanker",Alukset_fx!$C$56,IF(OR(Q118="Tugboat",Q118="Barge"),0,IF(Q118="Other vessel",Alukset_fx!$C$54,IF(Q118="Container ship",Alukset_fx!$C$37,IF(OR(Q118="RoPax",Q118="RoRo",Q118="Vehicle carrier"),Alukset_fx!$C$55,0))))))))</f>
        <v>0</v>
      </c>
      <c r="Y118" s="211">
        <f>IF(Q118="Other dry cargo", Alukset_fx!$Q$52, IF(OR(Q118="Dry bulk",Q118="Bulk carrier"),Alukset_fx!$Q$35,IF(OR(Q118="Tanker",Q118="Gas tanker",Q118="Oil tanker"),Alukset_fx!$Q$57,IF(Q118="Chemical tanker",Alukset_fx!$Q$56,IF(OR(Q118="Tugboat",Q118="Barge"),0,IF(Q118="Other vessel",Alukset_fx!$Q$54,IF(Q118="Container ship",Alukset_fx!$Q$37,IF(OR(Q118="RoPax",Q118="RoRo",Q118="Vehicle carrier"),Alukset_fx!$Q$55,0))))))))</f>
        <v>0</v>
      </c>
      <c r="Z118" t="str">
        <f t="shared" si="17"/>
        <v>MDO/MGO</v>
      </c>
      <c r="AA118" t="str">
        <f t="shared" si="18"/>
        <v>MSD</v>
      </c>
      <c r="AB118" t="str">
        <f t="shared" si="19"/>
        <v>MDO/MGO</v>
      </c>
      <c r="AC118" t="str">
        <f t="shared" si="20"/>
        <v>MSD</v>
      </c>
      <c r="AD118" t="str">
        <f t="shared" si="21"/>
        <v>MDO/MGO</v>
      </c>
      <c r="AE118" t="str">
        <f t="shared" si="22"/>
        <v>ST</v>
      </c>
      <c r="AG118">
        <f>Alukset_Käynnit!O125</f>
        <v>0</v>
      </c>
      <c r="AH118" s="207">
        <f>IF(AA118="SSD",((U118*Alukset_fx!$B$24)*Alukset_Käynnit_Lask!W118*(Alukset_fx!$K$49)/1000),IF(AA118="MSD",((U118*Alukset_fx!$B$24)*Alukset_Käynnit_Lask!W118*(Alukset_fx!$K$52)/1000),IF(AA118="HSD",((U118*Alukset_fx!$B$24)*Alukset_Käynnit_Lask!W118*(Alukset_fx!$K$55)/1000),0)))</f>
        <v>0</v>
      </c>
      <c r="AI118" s="207">
        <f>IF(AC118="MSD",((V118*Alukset_fx!$B$25)*Alukset_Käynnit_Lask!W118*(Alukset_fx!$L$52)/1000),IF(AC118="HSD",((V118*Alukset_fx!$B$25)*Alukset_Käynnit_Lask!W118*(Alukset_fx!$L$55)/1000),0))</f>
        <v>0</v>
      </c>
      <c r="AJ118" s="207">
        <f>X118*W118*Alukset_fx!$K$61/1000</f>
        <v>0</v>
      </c>
      <c r="AK118">
        <v>0</v>
      </c>
      <c r="AL118" s="207">
        <f>IF(AG118="Käytetty",0,IF(AC118="MSD",((V118*Alukset_fx!$O$25)*Alukset_Käynnit_Lask!O118*(Alukset_fx!$L$52)/1000),IF(AC118="HSD",((V118*Alukset_fx!$O$25)*Alukset_Käynnit_Lask!O118*(Alukset_fx!$L$55)/1000),0)))</f>
        <v>0</v>
      </c>
      <c r="AM118" s="207">
        <f>IF(AG118="Käytetty",0,Y118*O118*Alukset_fx!$K$61/1000)</f>
        <v>0</v>
      </c>
      <c r="AN118" s="213">
        <f t="shared" si="23"/>
        <v>0</v>
      </c>
    </row>
    <row r="119" spans="1:40" x14ac:dyDescent="0.25">
      <c r="A119" s="203">
        <f>Alukset_Käynnit!A126</f>
        <v>0</v>
      </c>
      <c r="B119" s="203">
        <f>Alukset_Käynnit!B126</f>
        <v>0</v>
      </c>
      <c r="C119" s="262">
        <f>Alukset_Käynnit!C126</f>
        <v>0</v>
      </c>
      <c r="D119" s="266">
        <f>Alukset_Käynnit!D126</f>
        <v>0</v>
      </c>
      <c r="E119" s="262">
        <f>Alukset_Käynnit!E126</f>
        <v>0</v>
      </c>
      <c r="F119" s="262">
        <f>Alukset_Käynnit!F126</f>
        <v>0</v>
      </c>
      <c r="G119" s="262">
        <f>Alukset_Käynnit!G126</f>
        <v>0</v>
      </c>
      <c r="H119" s="262">
        <f>Alukset_Käynnit!H126</f>
        <v>0</v>
      </c>
      <c r="I119" s="262">
        <f>Alukset_Käynnit!I126</f>
        <v>0</v>
      </c>
      <c r="J119" s="262">
        <f>Alukset_Käynnit!J126</f>
        <v>0</v>
      </c>
      <c r="K119" s="262">
        <f>Alukset_Käynnit!K126</f>
        <v>0</v>
      </c>
      <c r="L119" s="205">
        <f>Alukset_Käynnit!L126</f>
        <v>0</v>
      </c>
      <c r="N119" s="273">
        <f t="shared" si="25"/>
        <v>0</v>
      </c>
      <c r="O119" s="274">
        <f t="shared" si="24"/>
        <v>0</v>
      </c>
      <c r="P119" s="202"/>
      <c r="Q119" s="204">
        <f t="shared" si="14"/>
        <v>0</v>
      </c>
      <c r="R119" s="202">
        <f>IF(Q119="Other dry cargo",L119*Alukset_fx!$B$71,IF(OR(Q119="Dry bulk",Q119="Bulk carrier"),L119*Alukset_fx!$B$69,IF(Q119="Tugboat",L119*Alukset_fx!$B$76,IF(OR(Q119="Tanker",Q119="Gas tanker",Q119="Chemical tanker",Q119="Oil tanker"),L119*Alukset_fx!$B$68,IF(OR(Q119="RoRo",Q119="Vehicle carrier"),L119*Alukset_fx!$B$72,IF(Q119="RoPax",L119*Alukset_fx!$B$73,IF(Q119="Container ship",L119*Alukset_fx!$B$70,IF(Q119="Barge",0,L119*Alukset_fx!$B$75))))))))</f>
        <v>0</v>
      </c>
      <c r="S119" s="210">
        <f>IF(L119=0,IF(Q119="Other dry cargo",Alukset_fx!$H$73*(Alukset_Käynnit_Lask!K119^Alukset_fx!$I$73),IF(OR(Q119="Dry Bulk",Q119="Bulk carrier"),Alukset_fx!$H$71*(Alukset_Käynnit_Lask!K119^Alukset_fx!$I$71),IF(Q119="Tugboat",Alukset_fx!$H$78*(Alukset_Käynnit_Lask!K119^Alukset_fx!$I$78),IF(OR(Q119="Tanker",Q119="Gas tanker",Q119="Chemical tanker",Q119="Oil tanker"),Alukset_fx!$H$70*(Alukset_Käynnit_Lask!K119^Alukset_fx!$I$70),IF(Q119="Container ship",Alukset_fx!$H$72*(Alukset_Käynnit_Lask!K119^Alukset_fx!$I$72),IF(Q119="Barge",0,IF(Q119="RoPax",Alukset_fx!$H$75*(Alukset_Käynnit_Lask!K119^Alukset_fx!$I$75),IF(OR(Q119="RoRo",Q119="Vehicle carrier"),Alukset_fx!$H$74*(Alukset_Käynnit_Lask!K119^Alukset_fx!$I$74),Alukset_fx!$H$77*(Alukset_Käynnit_Lask!K119^Alukset_fx!$I$77))))))))),"-")</f>
        <v>0</v>
      </c>
      <c r="T119" s="208">
        <f>IF(R119=0,IF(Q119="Other dry cargo",S119*Alukset_fx!$B$71,IF(OR(Q119="Dry bulk",Q119="Bulk carrier"),S119*Alukset_fx!$B$69,IF(Q119="Tugboat",S119*Alukset_fx!$B$76,IF(OR(Q119="Tanker",Q119="Gas tanker",Q119="Chemical tanker",Q119="Oil tanker"),S119*Alukset_fx!$B$68,IF(OR(Q119="RoRo",Q119="Vehicle carrier"),S119*Alukset_fx!$B$72,IF(Q119="RoPax",S119*Alukset_fx!$B$73,IF(Q119="Container ship",S119*Alukset_fx!$B$70,S119*Alukset_fx!$B$75))))))),"-")</f>
        <v>0</v>
      </c>
      <c r="U119" s="208">
        <f t="shared" si="15"/>
        <v>0</v>
      </c>
      <c r="V119" s="208">
        <f t="shared" si="16"/>
        <v>0</v>
      </c>
      <c r="W119" s="202">
        <f>Alukset_Käynnit!N126</f>
        <v>0</v>
      </c>
      <c r="X119" s="211">
        <f>IF(Q119="Other dry cargo", Alukset_fx!$C$52, IF(OR(Q119="Dry bulk",Q119="Bulk carrier"),Alukset_fx!$C$35,IF(OR(Q119="Tanker",Q119="Gas tanker",Q119="Oil tanker"),Alukset_fx!$C$57,IF(Q119="Chemical tanker",Alukset_fx!$C$56,IF(OR(Q119="Tugboat",Q119="Barge"),0,IF(Q119="Other vessel",Alukset_fx!$C$54,IF(Q119="Container ship",Alukset_fx!$C$37,IF(OR(Q119="RoPax",Q119="RoRo",Q119="Vehicle carrier"),Alukset_fx!$C$55,0))))))))</f>
        <v>0</v>
      </c>
      <c r="Y119" s="211">
        <f>IF(Q119="Other dry cargo", Alukset_fx!$Q$52, IF(OR(Q119="Dry bulk",Q119="Bulk carrier"),Alukset_fx!$Q$35,IF(OR(Q119="Tanker",Q119="Gas tanker",Q119="Oil tanker"),Alukset_fx!$Q$57,IF(Q119="Chemical tanker",Alukset_fx!$Q$56,IF(OR(Q119="Tugboat",Q119="Barge"),0,IF(Q119="Other vessel",Alukset_fx!$Q$54,IF(Q119="Container ship",Alukset_fx!$Q$37,IF(OR(Q119="RoPax",Q119="RoRo",Q119="Vehicle carrier"),Alukset_fx!$Q$55,0))))))))</f>
        <v>0</v>
      </c>
      <c r="Z119" t="str">
        <f t="shared" si="17"/>
        <v>MDO/MGO</v>
      </c>
      <c r="AA119" t="str">
        <f t="shared" si="18"/>
        <v>MSD</v>
      </c>
      <c r="AB119" t="str">
        <f t="shared" si="19"/>
        <v>MDO/MGO</v>
      </c>
      <c r="AC119" t="str">
        <f t="shared" si="20"/>
        <v>MSD</v>
      </c>
      <c r="AD119" t="str">
        <f t="shared" si="21"/>
        <v>MDO/MGO</v>
      </c>
      <c r="AE119" t="str">
        <f t="shared" si="22"/>
        <v>ST</v>
      </c>
      <c r="AG119">
        <f>Alukset_Käynnit!O126</f>
        <v>0</v>
      </c>
      <c r="AH119" s="207">
        <f>IF(AA119="SSD",((U119*Alukset_fx!$B$24)*Alukset_Käynnit_Lask!W119*(Alukset_fx!$K$49)/1000),IF(AA119="MSD",((U119*Alukset_fx!$B$24)*Alukset_Käynnit_Lask!W119*(Alukset_fx!$K$52)/1000),IF(AA119="HSD",((U119*Alukset_fx!$B$24)*Alukset_Käynnit_Lask!W119*(Alukset_fx!$K$55)/1000),0)))</f>
        <v>0</v>
      </c>
      <c r="AI119" s="207">
        <f>IF(AC119="MSD",((V119*Alukset_fx!$B$25)*Alukset_Käynnit_Lask!W119*(Alukset_fx!$L$52)/1000),IF(AC119="HSD",((V119*Alukset_fx!$B$25)*Alukset_Käynnit_Lask!W119*(Alukset_fx!$L$55)/1000),0))</f>
        <v>0</v>
      </c>
      <c r="AJ119" s="207">
        <f>X119*W119*Alukset_fx!$K$61/1000</f>
        <v>0</v>
      </c>
      <c r="AK119">
        <v>0</v>
      </c>
      <c r="AL119" s="207">
        <f>IF(AG119="Käytetty",0,IF(AC119="MSD",((V119*Alukset_fx!$O$25)*Alukset_Käynnit_Lask!O119*(Alukset_fx!$L$52)/1000),IF(AC119="HSD",((V119*Alukset_fx!$O$25)*Alukset_Käynnit_Lask!O119*(Alukset_fx!$L$55)/1000),0)))</f>
        <v>0</v>
      </c>
      <c r="AM119" s="207">
        <f>IF(AG119="Käytetty",0,Y119*O119*Alukset_fx!$K$61/1000)</f>
        <v>0</v>
      </c>
      <c r="AN119" s="213">
        <f t="shared" si="23"/>
        <v>0</v>
      </c>
    </row>
    <row r="120" spans="1:40" x14ac:dyDescent="0.25">
      <c r="A120" s="203">
        <f>Alukset_Käynnit!A127</f>
        <v>0</v>
      </c>
      <c r="B120" s="203">
        <f>Alukset_Käynnit!B127</f>
        <v>0</v>
      </c>
      <c r="C120" s="262">
        <f>Alukset_Käynnit!C127</f>
        <v>0</v>
      </c>
      <c r="D120" s="266">
        <f>Alukset_Käynnit!D127</f>
        <v>0</v>
      </c>
      <c r="E120" s="262">
        <f>Alukset_Käynnit!E127</f>
        <v>0</v>
      </c>
      <c r="F120" s="262">
        <f>Alukset_Käynnit!F127</f>
        <v>0</v>
      </c>
      <c r="G120" s="262">
        <f>Alukset_Käynnit!G127</f>
        <v>0</v>
      </c>
      <c r="H120" s="262">
        <f>Alukset_Käynnit!H127</f>
        <v>0</v>
      </c>
      <c r="I120" s="262">
        <f>Alukset_Käynnit!I127</f>
        <v>0</v>
      </c>
      <c r="J120" s="262">
        <f>Alukset_Käynnit!J127</f>
        <v>0</v>
      </c>
      <c r="K120" s="262">
        <f>Alukset_Käynnit!K127</f>
        <v>0</v>
      </c>
      <c r="L120" s="205">
        <f>Alukset_Käynnit!L127</f>
        <v>0</v>
      </c>
      <c r="N120" s="275">
        <f t="shared" si="25"/>
        <v>0</v>
      </c>
      <c r="O120" s="276">
        <f t="shared" si="24"/>
        <v>0</v>
      </c>
      <c r="P120" s="202"/>
      <c r="Q120" s="204">
        <f t="shared" si="14"/>
        <v>0</v>
      </c>
      <c r="R120" s="202">
        <f>IF(Q120="Other dry cargo",L120*Alukset_fx!$B$71,IF(OR(Q120="Dry bulk",Q120="Bulk carrier"),L120*Alukset_fx!$B$69,IF(Q120="Tugboat",L120*Alukset_fx!$B$76,IF(OR(Q120="Tanker",Q120="Gas tanker",Q120="Chemical tanker",Q120="Oil tanker"),L120*Alukset_fx!$B$68,IF(OR(Q120="RoRo",Q120="Vehicle carrier"),L120*Alukset_fx!$B$72,IF(Q120="RoPax",L120*Alukset_fx!$B$73,IF(Q120="Container ship",L120*Alukset_fx!$B$70,IF(Q120="Barge",0,L120*Alukset_fx!$B$75))))))))</f>
        <v>0</v>
      </c>
      <c r="S120" s="210">
        <f>IF(L120=0,IF(Q120="Other dry cargo",Alukset_fx!$H$73*(Alukset_Käynnit_Lask!K120^Alukset_fx!$I$73),IF(OR(Q120="Dry Bulk",Q120="Bulk carrier"),Alukset_fx!$H$71*(Alukset_Käynnit_Lask!K120^Alukset_fx!$I$71),IF(Q120="Tugboat",Alukset_fx!$H$78*(Alukset_Käynnit_Lask!K120^Alukset_fx!$I$78),IF(OR(Q120="Tanker",Q120="Gas tanker",Q120="Chemical tanker",Q120="Oil tanker"),Alukset_fx!$H$70*(Alukset_Käynnit_Lask!K120^Alukset_fx!$I$70),IF(Q120="Container ship",Alukset_fx!$H$72*(Alukset_Käynnit_Lask!K120^Alukset_fx!$I$72),IF(Q120="Barge",0,IF(Q120="RoPax",Alukset_fx!$H$75*(Alukset_Käynnit_Lask!K120^Alukset_fx!$I$75),IF(OR(Q120="RoRo",Q120="Vehicle carrier"),Alukset_fx!$H$74*(Alukset_Käynnit_Lask!K120^Alukset_fx!$I$74),Alukset_fx!$H$77*(Alukset_Käynnit_Lask!K120^Alukset_fx!$I$77))))))))),"-")</f>
        <v>0</v>
      </c>
      <c r="T120" s="208">
        <f>IF(R120=0,IF(Q120="Other dry cargo",S120*Alukset_fx!$B$71,IF(OR(Q120="Dry bulk",Q120="Bulk carrier"),S120*Alukset_fx!$B$69,IF(Q120="Tugboat",S120*Alukset_fx!$B$76,IF(OR(Q120="Tanker",Q120="Gas tanker",Q120="Chemical tanker",Q120="Oil tanker"),S120*Alukset_fx!$B$68,IF(OR(Q120="RoRo",Q120="Vehicle carrier"),S120*Alukset_fx!$B$72,IF(Q120="RoPax",S120*Alukset_fx!$B$73,IF(Q120="Container ship",S120*Alukset_fx!$B$70,S120*Alukset_fx!$B$75))))))),"-")</f>
        <v>0</v>
      </c>
      <c r="U120" s="208">
        <f t="shared" si="15"/>
        <v>0</v>
      </c>
      <c r="V120" s="208">
        <f t="shared" si="16"/>
        <v>0</v>
      </c>
      <c r="W120" s="202">
        <f>Alukset_Käynnit!N127</f>
        <v>0</v>
      </c>
      <c r="X120" s="211">
        <f>IF(Q120="Other dry cargo", Alukset_fx!$C$52, IF(OR(Q120="Dry bulk",Q120="Bulk carrier"),Alukset_fx!$C$35,IF(OR(Q120="Tanker",Q120="Gas tanker",Q120="Oil tanker"),Alukset_fx!$C$57,IF(Q120="Chemical tanker",Alukset_fx!$C$56,IF(OR(Q120="Tugboat",Q120="Barge"),0,IF(Q120="Other vessel",Alukset_fx!$C$54,IF(Q120="Container ship",Alukset_fx!$C$37,IF(OR(Q120="RoPax",Q120="RoRo",Q120="Vehicle carrier"),Alukset_fx!$C$55,0))))))))</f>
        <v>0</v>
      </c>
      <c r="Y120" s="211">
        <f>IF(Q120="Other dry cargo", Alukset_fx!$Q$52, IF(OR(Q120="Dry bulk",Q120="Bulk carrier"),Alukset_fx!$Q$35,IF(OR(Q120="Tanker",Q120="Gas tanker",Q120="Oil tanker"),Alukset_fx!$Q$57,IF(Q120="Chemical tanker",Alukset_fx!$Q$56,IF(OR(Q120="Tugboat",Q120="Barge"),0,IF(Q120="Other vessel",Alukset_fx!$Q$54,IF(Q120="Container ship",Alukset_fx!$Q$37,IF(OR(Q120="RoPax",Q120="RoRo",Q120="Vehicle carrier"),Alukset_fx!$Q$55,0))))))))</f>
        <v>0</v>
      </c>
      <c r="Z120" t="str">
        <f t="shared" si="17"/>
        <v>MDO/MGO</v>
      </c>
      <c r="AA120" t="str">
        <f t="shared" si="18"/>
        <v>MSD</v>
      </c>
      <c r="AB120" t="str">
        <f t="shared" si="19"/>
        <v>MDO/MGO</v>
      </c>
      <c r="AC120" t="str">
        <f t="shared" si="20"/>
        <v>MSD</v>
      </c>
      <c r="AD120" t="str">
        <f t="shared" si="21"/>
        <v>MDO/MGO</v>
      </c>
      <c r="AE120" t="str">
        <f t="shared" si="22"/>
        <v>ST</v>
      </c>
      <c r="AG120">
        <f>Alukset_Käynnit!O127</f>
        <v>0</v>
      </c>
      <c r="AH120" s="207">
        <f>IF(AA120="SSD",((U120*Alukset_fx!$B$24)*Alukset_Käynnit_Lask!W120*(Alukset_fx!$K$49)/1000),IF(AA120="MSD",((U120*Alukset_fx!$B$24)*Alukset_Käynnit_Lask!W120*(Alukset_fx!$K$52)/1000),IF(AA120="HSD",((U120*Alukset_fx!$B$24)*Alukset_Käynnit_Lask!W120*(Alukset_fx!$K$55)/1000),0)))</f>
        <v>0</v>
      </c>
      <c r="AI120" s="207">
        <f>IF(AC120="MSD",((V120*Alukset_fx!$B$25)*Alukset_Käynnit_Lask!W120*(Alukset_fx!$L$52)/1000),IF(AC120="HSD",((V120*Alukset_fx!$B$25)*Alukset_Käynnit_Lask!W120*(Alukset_fx!$L$55)/1000),0))</f>
        <v>0</v>
      </c>
      <c r="AJ120" s="207">
        <f>X120*W120*Alukset_fx!$K$61/1000</f>
        <v>0</v>
      </c>
      <c r="AK120">
        <v>0</v>
      </c>
      <c r="AL120" s="207">
        <f>IF(AG120="Käytetty",0,IF(AC120="MSD",((V120*Alukset_fx!$O$25)*Alukset_Käynnit_Lask!O120*(Alukset_fx!$L$52)/1000),IF(AC120="HSD",((V120*Alukset_fx!$O$25)*Alukset_Käynnit_Lask!O120*(Alukset_fx!$L$55)/1000),0)))</f>
        <v>0</v>
      </c>
      <c r="AM120" s="207">
        <f>IF(AG120="Käytetty",0,Y120*O120*Alukset_fx!$K$61/1000)</f>
        <v>0</v>
      </c>
      <c r="AN120" s="213">
        <f t="shared" si="23"/>
        <v>0</v>
      </c>
    </row>
    <row r="121" spans="1:40" x14ac:dyDescent="0.25">
      <c r="A121" s="203">
        <f>Alukset_Käynnit!A128</f>
        <v>0</v>
      </c>
      <c r="B121" s="203">
        <f>Alukset_Käynnit!B128</f>
        <v>0</v>
      </c>
      <c r="C121" s="262">
        <f>Alukset_Käynnit!C128</f>
        <v>0</v>
      </c>
      <c r="D121" s="266">
        <f>Alukset_Käynnit!D128</f>
        <v>0</v>
      </c>
      <c r="E121" s="262">
        <f>Alukset_Käynnit!E128</f>
        <v>0</v>
      </c>
      <c r="F121" s="262">
        <f>Alukset_Käynnit!F128</f>
        <v>0</v>
      </c>
      <c r="G121" s="262">
        <f>Alukset_Käynnit!G128</f>
        <v>0</v>
      </c>
      <c r="H121" s="262">
        <f>Alukset_Käynnit!H128</f>
        <v>0</v>
      </c>
      <c r="I121" s="262">
        <f>Alukset_Käynnit!I128</f>
        <v>0</v>
      </c>
      <c r="J121" s="262">
        <f>Alukset_Käynnit!J128</f>
        <v>0</v>
      </c>
      <c r="K121" s="262">
        <f>Alukset_Käynnit!K128</f>
        <v>0</v>
      </c>
      <c r="L121" s="205">
        <f>Alukset_Käynnit!L128</f>
        <v>0</v>
      </c>
      <c r="N121" s="273">
        <f t="shared" si="25"/>
        <v>0</v>
      </c>
      <c r="O121" s="274">
        <f t="shared" si="24"/>
        <v>0</v>
      </c>
      <c r="P121" s="202"/>
      <c r="Q121" s="204">
        <f t="shared" si="14"/>
        <v>0</v>
      </c>
      <c r="R121" s="202">
        <f>IF(Q121="Other dry cargo",L121*Alukset_fx!$B$71,IF(OR(Q121="Dry bulk",Q121="Bulk carrier"),L121*Alukset_fx!$B$69,IF(Q121="Tugboat",L121*Alukset_fx!$B$76,IF(OR(Q121="Tanker",Q121="Gas tanker",Q121="Chemical tanker",Q121="Oil tanker"),L121*Alukset_fx!$B$68,IF(OR(Q121="RoRo",Q121="Vehicle carrier"),L121*Alukset_fx!$B$72,IF(Q121="RoPax",L121*Alukset_fx!$B$73,IF(Q121="Container ship",L121*Alukset_fx!$B$70,IF(Q121="Barge",0,L121*Alukset_fx!$B$75))))))))</f>
        <v>0</v>
      </c>
      <c r="S121" s="210">
        <f>IF(L121=0,IF(Q121="Other dry cargo",Alukset_fx!$H$73*(Alukset_Käynnit_Lask!K121^Alukset_fx!$I$73),IF(OR(Q121="Dry Bulk",Q121="Bulk carrier"),Alukset_fx!$H$71*(Alukset_Käynnit_Lask!K121^Alukset_fx!$I$71),IF(Q121="Tugboat",Alukset_fx!$H$78*(Alukset_Käynnit_Lask!K121^Alukset_fx!$I$78),IF(OR(Q121="Tanker",Q121="Gas tanker",Q121="Chemical tanker",Q121="Oil tanker"),Alukset_fx!$H$70*(Alukset_Käynnit_Lask!K121^Alukset_fx!$I$70),IF(Q121="Container ship",Alukset_fx!$H$72*(Alukset_Käynnit_Lask!K121^Alukset_fx!$I$72),IF(Q121="Barge",0,IF(Q121="RoPax",Alukset_fx!$H$75*(Alukset_Käynnit_Lask!K121^Alukset_fx!$I$75),IF(OR(Q121="RoRo",Q121="Vehicle carrier"),Alukset_fx!$H$74*(Alukset_Käynnit_Lask!K121^Alukset_fx!$I$74),Alukset_fx!$H$77*(Alukset_Käynnit_Lask!K121^Alukset_fx!$I$77))))))))),"-")</f>
        <v>0</v>
      </c>
      <c r="T121" s="208">
        <f>IF(R121=0,IF(Q121="Other dry cargo",S121*Alukset_fx!$B$71,IF(OR(Q121="Dry bulk",Q121="Bulk carrier"),S121*Alukset_fx!$B$69,IF(Q121="Tugboat",S121*Alukset_fx!$B$76,IF(OR(Q121="Tanker",Q121="Gas tanker",Q121="Chemical tanker",Q121="Oil tanker"),S121*Alukset_fx!$B$68,IF(OR(Q121="RoRo",Q121="Vehicle carrier"),S121*Alukset_fx!$B$72,IF(Q121="RoPax",S121*Alukset_fx!$B$73,IF(Q121="Container ship",S121*Alukset_fx!$B$70,S121*Alukset_fx!$B$75))))))),"-")</f>
        <v>0</v>
      </c>
      <c r="U121" s="208">
        <f t="shared" si="15"/>
        <v>0</v>
      </c>
      <c r="V121" s="208">
        <f t="shared" si="16"/>
        <v>0</v>
      </c>
      <c r="W121" s="202">
        <f>Alukset_Käynnit!N128</f>
        <v>0</v>
      </c>
      <c r="X121" s="211">
        <f>IF(Q121="Other dry cargo", Alukset_fx!$C$52, IF(OR(Q121="Dry bulk",Q121="Bulk carrier"),Alukset_fx!$C$35,IF(OR(Q121="Tanker",Q121="Gas tanker",Q121="Oil tanker"),Alukset_fx!$C$57,IF(Q121="Chemical tanker",Alukset_fx!$C$56,IF(OR(Q121="Tugboat",Q121="Barge"),0,IF(Q121="Other vessel",Alukset_fx!$C$54,IF(Q121="Container ship",Alukset_fx!$C$37,IF(OR(Q121="RoPax",Q121="RoRo",Q121="Vehicle carrier"),Alukset_fx!$C$55,0))))))))</f>
        <v>0</v>
      </c>
      <c r="Y121" s="211">
        <f>IF(Q121="Other dry cargo", Alukset_fx!$Q$52, IF(OR(Q121="Dry bulk",Q121="Bulk carrier"),Alukset_fx!$Q$35,IF(OR(Q121="Tanker",Q121="Gas tanker",Q121="Oil tanker"),Alukset_fx!$Q$57,IF(Q121="Chemical tanker",Alukset_fx!$Q$56,IF(OR(Q121="Tugboat",Q121="Barge"),0,IF(Q121="Other vessel",Alukset_fx!$Q$54,IF(Q121="Container ship",Alukset_fx!$Q$37,IF(OR(Q121="RoPax",Q121="RoRo",Q121="Vehicle carrier"),Alukset_fx!$Q$55,0))))))))</f>
        <v>0</v>
      </c>
      <c r="Z121" t="str">
        <f t="shared" si="17"/>
        <v>MDO/MGO</v>
      </c>
      <c r="AA121" t="str">
        <f t="shared" si="18"/>
        <v>MSD</v>
      </c>
      <c r="AB121" t="str">
        <f t="shared" si="19"/>
        <v>MDO/MGO</v>
      </c>
      <c r="AC121" t="str">
        <f t="shared" si="20"/>
        <v>MSD</v>
      </c>
      <c r="AD121" t="str">
        <f t="shared" si="21"/>
        <v>MDO/MGO</v>
      </c>
      <c r="AE121" t="str">
        <f t="shared" si="22"/>
        <v>ST</v>
      </c>
      <c r="AG121">
        <f>Alukset_Käynnit!O128</f>
        <v>0</v>
      </c>
      <c r="AH121" s="207">
        <f>IF(AA121="SSD",((U121*Alukset_fx!$B$24)*Alukset_Käynnit_Lask!W121*(Alukset_fx!$K$49)/1000),IF(AA121="MSD",((U121*Alukset_fx!$B$24)*Alukset_Käynnit_Lask!W121*(Alukset_fx!$K$52)/1000),IF(AA121="HSD",((U121*Alukset_fx!$B$24)*Alukset_Käynnit_Lask!W121*(Alukset_fx!$K$55)/1000),0)))</f>
        <v>0</v>
      </c>
      <c r="AI121" s="207">
        <f>IF(AC121="MSD",((V121*Alukset_fx!$B$25)*Alukset_Käynnit_Lask!W121*(Alukset_fx!$L$52)/1000),IF(AC121="HSD",((V121*Alukset_fx!$B$25)*Alukset_Käynnit_Lask!W121*(Alukset_fx!$L$55)/1000),0))</f>
        <v>0</v>
      </c>
      <c r="AJ121" s="207">
        <f>X121*W121*Alukset_fx!$K$61/1000</f>
        <v>0</v>
      </c>
      <c r="AK121">
        <v>0</v>
      </c>
      <c r="AL121" s="207">
        <f>IF(AG121="Käytetty",0,IF(AC121="MSD",((V121*Alukset_fx!$O$25)*Alukset_Käynnit_Lask!O121*(Alukset_fx!$L$52)/1000),IF(AC121="HSD",((V121*Alukset_fx!$O$25)*Alukset_Käynnit_Lask!O121*(Alukset_fx!$L$55)/1000),0)))</f>
        <v>0</v>
      </c>
      <c r="AM121" s="207">
        <f>IF(AG121="Käytetty",0,Y121*O121*Alukset_fx!$K$61/1000)</f>
        <v>0</v>
      </c>
      <c r="AN121" s="213">
        <f t="shared" si="23"/>
        <v>0</v>
      </c>
    </row>
    <row r="122" spans="1:40" x14ac:dyDescent="0.25">
      <c r="A122" s="203">
        <f>Alukset_Käynnit!A129</f>
        <v>0</v>
      </c>
      <c r="B122" s="203">
        <f>Alukset_Käynnit!B129</f>
        <v>0</v>
      </c>
      <c r="C122" s="262">
        <f>Alukset_Käynnit!C129</f>
        <v>0</v>
      </c>
      <c r="D122" s="266">
        <f>Alukset_Käynnit!D129</f>
        <v>0</v>
      </c>
      <c r="E122" s="262">
        <f>Alukset_Käynnit!E129</f>
        <v>0</v>
      </c>
      <c r="F122" s="262">
        <f>Alukset_Käynnit!F129</f>
        <v>0</v>
      </c>
      <c r="G122" s="262">
        <f>Alukset_Käynnit!G129</f>
        <v>0</v>
      </c>
      <c r="H122" s="262">
        <f>Alukset_Käynnit!H129</f>
        <v>0</v>
      </c>
      <c r="I122" s="262">
        <f>Alukset_Käynnit!I129</f>
        <v>0</v>
      </c>
      <c r="J122" s="262">
        <f>Alukset_Käynnit!J129</f>
        <v>0</v>
      </c>
      <c r="K122" s="262">
        <f>Alukset_Käynnit!K129</f>
        <v>0</v>
      </c>
      <c r="L122" s="205">
        <f>Alukset_Käynnit!L129</f>
        <v>0</v>
      </c>
      <c r="N122" s="273">
        <f t="shared" si="25"/>
        <v>0</v>
      </c>
      <c r="O122" s="274">
        <f t="shared" si="24"/>
        <v>0</v>
      </c>
      <c r="P122" s="202"/>
      <c r="Q122" s="204">
        <f t="shared" si="14"/>
        <v>0</v>
      </c>
      <c r="R122" s="202">
        <f>IF(Q122="Other dry cargo",L122*Alukset_fx!$B$71,IF(OR(Q122="Dry bulk",Q122="Bulk carrier"),L122*Alukset_fx!$B$69,IF(Q122="Tugboat",L122*Alukset_fx!$B$76,IF(OR(Q122="Tanker",Q122="Gas tanker",Q122="Chemical tanker",Q122="Oil tanker"),L122*Alukset_fx!$B$68,IF(OR(Q122="RoRo",Q122="Vehicle carrier"),L122*Alukset_fx!$B$72,IF(Q122="RoPax",L122*Alukset_fx!$B$73,IF(Q122="Container ship",L122*Alukset_fx!$B$70,IF(Q122="Barge",0,L122*Alukset_fx!$B$75))))))))</f>
        <v>0</v>
      </c>
      <c r="S122" s="210">
        <f>IF(L122=0,IF(Q122="Other dry cargo",Alukset_fx!$H$73*(Alukset_Käynnit_Lask!K122^Alukset_fx!$I$73),IF(OR(Q122="Dry Bulk",Q122="Bulk carrier"),Alukset_fx!$H$71*(Alukset_Käynnit_Lask!K122^Alukset_fx!$I$71),IF(Q122="Tugboat",Alukset_fx!$H$78*(Alukset_Käynnit_Lask!K122^Alukset_fx!$I$78),IF(OR(Q122="Tanker",Q122="Gas tanker",Q122="Chemical tanker",Q122="Oil tanker"),Alukset_fx!$H$70*(Alukset_Käynnit_Lask!K122^Alukset_fx!$I$70),IF(Q122="Container ship",Alukset_fx!$H$72*(Alukset_Käynnit_Lask!K122^Alukset_fx!$I$72),IF(Q122="Barge",0,IF(Q122="RoPax",Alukset_fx!$H$75*(Alukset_Käynnit_Lask!K122^Alukset_fx!$I$75),IF(OR(Q122="RoRo",Q122="Vehicle carrier"),Alukset_fx!$H$74*(Alukset_Käynnit_Lask!K122^Alukset_fx!$I$74),Alukset_fx!$H$77*(Alukset_Käynnit_Lask!K122^Alukset_fx!$I$77))))))))),"-")</f>
        <v>0</v>
      </c>
      <c r="T122" s="208">
        <f>IF(R122=0,IF(Q122="Other dry cargo",S122*Alukset_fx!$B$71,IF(OR(Q122="Dry bulk",Q122="Bulk carrier"),S122*Alukset_fx!$B$69,IF(Q122="Tugboat",S122*Alukset_fx!$B$76,IF(OR(Q122="Tanker",Q122="Gas tanker",Q122="Chemical tanker",Q122="Oil tanker"),S122*Alukset_fx!$B$68,IF(OR(Q122="RoRo",Q122="Vehicle carrier"),S122*Alukset_fx!$B$72,IF(Q122="RoPax",S122*Alukset_fx!$B$73,IF(Q122="Container ship",S122*Alukset_fx!$B$70,S122*Alukset_fx!$B$75))))))),"-")</f>
        <v>0</v>
      </c>
      <c r="U122" s="208">
        <f t="shared" si="15"/>
        <v>0</v>
      </c>
      <c r="V122" s="208">
        <f t="shared" si="16"/>
        <v>0</v>
      </c>
      <c r="W122" s="202">
        <f>Alukset_Käynnit!N129</f>
        <v>0</v>
      </c>
      <c r="X122" s="211">
        <f>IF(Q122="Other dry cargo", Alukset_fx!$C$52, IF(OR(Q122="Dry bulk",Q122="Bulk carrier"),Alukset_fx!$C$35,IF(OR(Q122="Tanker",Q122="Gas tanker",Q122="Oil tanker"),Alukset_fx!$C$57,IF(Q122="Chemical tanker",Alukset_fx!$C$56,IF(OR(Q122="Tugboat",Q122="Barge"),0,IF(Q122="Other vessel",Alukset_fx!$C$54,IF(Q122="Container ship",Alukset_fx!$C$37,IF(OR(Q122="RoPax",Q122="RoRo",Q122="Vehicle carrier"),Alukset_fx!$C$55,0))))))))</f>
        <v>0</v>
      </c>
      <c r="Y122" s="211">
        <f>IF(Q122="Other dry cargo", Alukset_fx!$Q$52, IF(OR(Q122="Dry bulk",Q122="Bulk carrier"),Alukset_fx!$Q$35,IF(OR(Q122="Tanker",Q122="Gas tanker",Q122="Oil tanker"),Alukset_fx!$Q$57,IF(Q122="Chemical tanker",Alukset_fx!$Q$56,IF(OR(Q122="Tugboat",Q122="Barge"),0,IF(Q122="Other vessel",Alukset_fx!$Q$54,IF(Q122="Container ship",Alukset_fx!$Q$37,IF(OR(Q122="RoPax",Q122="RoRo",Q122="Vehicle carrier"),Alukset_fx!$Q$55,0))))))))</f>
        <v>0</v>
      </c>
      <c r="Z122" t="str">
        <f t="shared" si="17"/>
        <v>MDO/MGO</v>
      </c>
      <c r="AA122" t="str">
        <f t="shared" si="18"/>
        <v>MSD</v>
      </c>
      <c r="AB122" t="str">
        <f t="shared" si="19"/>
        <v>MDO/MGO</v>
      </c>
      <c r="AC122" t="str">
        <f t="shared" si="20"/>
        <v>MSD</v>
      </c>
      <c r="AD122" t="str">
        <f t="shared" si="21"/>
        <v>MDO/MGO</v>
      </c>
      <c r="AE122" t="str">
        <f t="shared" si="22"/>
        <v>ST</v>
      </c>
      <c r="AG122">
        <f>Alukset_Käynnit!O129</f>
        <v>0</v>
      </c>
      <c r="AH122" s="207">
        <f>IF(AA122="SSD",((U122*Alukset_fx!$B$24)*Alukset_Käynnit_Lask!W122*(Alukset_fx!$K$49)/1000),IF(AA122="MSD",((U122*Alukset_fx!$B$24)*Alukset_Käynnit_Lask!W122*(Alukset_fx!$K$52)/1000),IF(AA122="HSD",((U122*Alukset_fx!$B$24)*Alukset_Käynnit_Lask!W122*(Alukset_fx!$K$55)/1000),0)))</f>
        <v>0</v>
      </c>
      <c r="AI122" s="207">
        <f>IF(AC122="MSD",((V122*Alukset_fx!$B$25)*Alukset_Käynnit_Lask!W122*(Alukset_fx!$L$52)/1000),IF(AC122="HSD",((V122*Alukset_fx!$B$25)*Alukset_Käynnit_Lask!W122*(Alukset_fx!$L$55)/1000),0))</f>
        <v>0</v>
      </c>
      <c r="AJ122" s="207">
        <f>X122*W122*Alukset_fx!$K$61/1000</f>
        <v>0</v>
      </c>
      <c r="AK122">
        <v>0</v>
      </c>
      <c r="AL122" s="207">
        <f>IF(AG122="Käytetty",0,IF(AC122="MSD",((V122*Alukset_fx!$O$25)*Alukset_Käynnit_Lask!O122*(Alukset_fx!$L$52)/1000),IF(AC122="HSD",((V122*Alukset_fx!$O$25)*Alukset_Käynnit_Lask!O122*(Alukset_fx!$L$55)/1000),0)))</f>
        <v>0</v>
      </c>
      <c r="AM122" s="207">
        <f>IF(AG122="Käytetty",0,Y122*O122*Alukset_fx!$K$61/1000)</f>
        <v>0</v>
      </c>
      <c r="AN122" s="213">
        <f t="shared" si="23"/>
        <v>0</v>
      </c>
    </row>
    <row r="123" spans="1:40" x14ac:dyDescent="0.25">
      <c r="A123" s="203">
        <f>Alukset_Käynnit!A130</f>
        <v>0</v>
      </c>
      <c r="B123" s="203">
        <f>Alukset_Käynnit!B130</f>
        <v>0</v>
      </c>
      <c r="C123" s="262">
        <f>Alukset_Käynnit!C130</f>
        <v>0</v>
      </c>
      <c r="D123" s="266">
        <f>Alukset_Käynnit!D130</f>
        <v>0</v>
      </c>
      <c r="E123" s="262">
        <f>Alukset_Käynnit!E130</f>
        <v>0</v>
      </c>
      <c r="F123" s="262">
        <f>Alukset_Käynnit!F130</f>
        <v>0</v>
      </c>
      <c r="G123" s="262">
        <f>Alukset_Käynnit!G130</f>
        <v>0</v>
      </c>
      <c r="H123" s="262">
        <f>Alukset_Käynnit!H130</f>
        <v>0</v>
      </c>
      <c r="I123" s="262">
        <f>Alukset_Käynnit!I130</f>
        <v>0</v>
      </c>
      <c r="J123" s="262">
        <f>Alukset_Käynnit!J130</f>
        <v>0</v>
      </c>
      <c r="K123" s="262">
        <f>Alukset_Käynnit!K130</f>
        <v>0</v>
      </c>
      <c r="L123" s="205">
        <f>Alukset_Käynnit!L130</f>
        <v>0</v>
      </c>
      <c r="N123" s="273">
        <f t="shared" si="25"/>
        <v>0</v>
      </c>
      <c r="O123" s="274">
        <f t="shared" si="24"/>
        <v>0</v>
      </c>
      <c r="P123" s="202"/>
      <c r="Q123" s="204">
        <f t="shared" si="14"/>
        <v>0</v>
      </c>
      <c r="R123" s="202">
        <f>IF(Q123="Other dry cargo",L123*Alukset_fx!$B$71,IF(OR(Q123="Dry bulk",Q123="Bulk carrier"),L123*Alukset_fx!$B$69,IF(Q123="Tugboat",L123*Alukset_fx!$B$76,IF(OR(Q123="Tanker",Q123="Gas tanker",Q123="Chemical tanker",Q123="Oil tanker"),L123*Alukset_fx!$B$68,IF(OR(Q123="RoRo",Q123="Vehicle carrier"),L123*Alukset_fx!$B$72,IF(Q123="RoPax",L123*Alukset_fx!$B$73,IF(Q123="Container ship",L123*Alukset_fx!$B$70,IF(Q123="Barge",0,L123*Alukset_fx!$B$75))))))))</f>
        <v>0</v>
      </c>
      <c r="S123" s="210">
        <f>IF(L123=0,IF(Q123="Other dry cargo",Alukset_fx!$H$73*(Alukset_Käynnit_Lask!K123^Alukset_fx!$I$73),IF(OR(Q123="Dry Bulk",Q123="Bulk carrier"),Alukset_fx!$H$71*(Alukset_Käynnit_Lask!K123^Alukset_fx!$I$71),IF(Q123="Tugboat",Alukset_fx!$H$78*(Alukset_Käynnit_Lask!K123^Alukset_fx!$I$78),IF(OR(Q123="Tanker",Q123="Gas tanker",Q123="Chemical tanker",Q123="Oil tanker"),Alukset_fx!$H$70*(Alukset_Käynnit_Lask!K123^Alukset_fx!$I$70),IF(Q123="Container ship",Alukset_fx!$H$72*(Alukset_Käynnit_Lask!K123^Alukset_fx!$I$72),IF(Q123="Barge",0,IF(Q123="RoPax",Alukset_fx!$H$75*(Alukset_Käynnit_Lask!K123^Alukset_fx!$I$75),IF(OR(Q123="RoRo",Q123="Vehicle carrier"),Alukset_fx!$H$74*(Alukset_Käynnit_Lask!K123^Alukset_fx!$I$74),Alukset_fx!$H$77*(Alukset_Käynnit_Lask!K123^Alukset_fx!$I$77))))))))),"-")</f>
        <v>0</v>
      </c>
      <c r="T123" s="208">
        <f>IF(R123=0,IF(Q123="Other dry cargo",S123*Alukset_fx!$B$71,IF(OR(Q123="Dry bulk",Q123="Bulk carrier"),S123*Alukset_fx!$B$69,IF(Q123="Tugboat",S123*Alukset_fx!$B$76,IF(OR(Q123="Tanker",Q123="Gas tanker",Q123="Chemical tanker",Q123="Oil tanker"),S123*Alukset_fx!$B$68,IF(OR(Q123="RoRo",Q123="Vehicle carrier"),S123*Alukset_fx!$B$72,IF(Q123="RoPax",S123*Alukset_fx!$B$73,IF(Q123="Container ship",S123*Alukset_fx!$B$70,S123*Alukset_fx!$B$75))))))),"-")</f>
        <v>0</v>
      </c>
      <c r="U123" s="208">
        <f t="shared" si="15"/>
        <v>0</v>
      </c>
      <c r="V123" s="208">
        <f t="shared" si="16"/>
        <v>0</v>
      </c>
      <c r="W123" s="202">
        <f>Alukset_Käynnit!N130</f>
        <v>0</v>
      </c>
      <c r="X123" s="211">
        <f>IF(Q123="Other dry cargo", Alukset_fx!$C$52, IF(OR(Q123="Dry bulk",Q123="Bulk carrier"),Alukset_fx!$C$35,IF(OR(Q123="Tanker",Q123="Gas tanker",Q123="Oil tanker"),Alukset_fx!$C$57,IF(Q123="Chemical tanker",Alukset_fx!$C$56,IF(OR(Q123="Tugboat",Q123="Barge"),0,IF(Q123="Other vessel",Alukset_fx!$C$54,IF(Q123="Container ship",Alukset_fx!$C$37,IF(OR(Q123="RoPax",Q123="RoRo",Q123="Vehicle carrier"),Alukset_fx!$C$55,0))))))))</f>
        <v>0</v>
      </c>
      <c r="Y123" s="211">
        <f>IF(Q123="Other dry cargo", Alukset_fx!$Q$52, IF(OR(Q123="Dry bulk",Q123="Bulk carrier"),Alukset_fx!$Q$35,IF(OR(Q123="Tanker",Q123="Gas tanker",Q123="Oil tanker"),Alukset_fx!$Q$57,IF(Q123="Chemical tanker",Alukset_fx!$Q$56,IF(OR(Q123="Tugboat",Q123="Barge"),0,IF(Q123="Other vessel",Alukset_fx!$Q$54,IF(Q123="Container ship",Alukset_fx!$Q$37,IF(OR(Q123="RoPax",Q123="RoRo",Q123="Vehicle carrier"),Alukset_fx!$Q$55,0))))))))</f>
        <v>0</v>
      </c>
      <c r="Z123" t="str">
        <f t="shared" si="17"/>
        <v>MDO/MGO</v>
      </c>
      <c r="AA123" t="str">
        <f t="shared" si="18"/>
        <v>MSD</v>
      </c>
      <c r="AB123" t="str">
        <f t="shared" si="19"/>
        <v>MDO/MGO</v>
      </c>
      <c r="AC123" t="str">
        <f t="shared" si="20"/>
        <v>MSD</v>
      </c>
      <c r="AD123" t="str">
        <f t="shared" si="21"/>
        <v>MDO/MGO</v>
      </c>
      <c r="AE123" t="str">
        <f t="shared" si="22"/>
        <v>ST</v>
      </c>
      <c r="AG123">
        <f>Alukset_Käynnit!O130</f>
        <v>0</v>
      </c>
      <c r="AH123" s="207">
        <f>IF(AA123="SSD",((U123*Alukset_fx!$B$24)*Alukset_Käynnit_Lask!W123*(Alukset_fx!$K$49)/1000),IF(AA123="MSD",((U123*Alukset_fx!$B$24)*Alukset_Käynnit_Lask!W123*(Alukset_fx!$K$52)/1000),IF(AA123="HSD",((U123*Alukset_fx!$B$24)*Alukset_Käynnit_Lask!W123*(Alukset_fx!$K$55)/1000),0)))</f>
        <v>0</v>
      </c>
      <c r="AI123" s="207">
        <f>IF(AC123="MSD",((V123*Alukset_fx!$B$25)*Alukset_Käynnit_Lask!W123*(Alukset_fx!$L$52)/1000),IF(AC123="HSD",((V123*Alukset_fx!$B$25)*Alukset_Käynnit_Lask!W123*(Alukset_fx!$L$55)/1000),0))</f>
        <v>0</v>
      </c>
      <c r="AJ123" s="207">
        <f>X123*W123*Alukset_fx!$K$61/1000</f>
        <v>0</v>
      </c>
      <c r="AK123">
        <v>0</v>
      </c>
      <c r="AL123" s="207">
        <f>IF(AG123="Käytetty",0,IF(AC123="MSD",((V123*Alukset_fx!$O$25)*Alukset_Käynnit_Lask!O123*(Alukset_fx!$L$52)/1000),IF(AC123="HSD",((V123*Alukset_fx!$O$25)*Alukset_Käynnit_Lask!O123*(Alukset_fx!$L$55)/1000),0)))</f>
        <v>0</v>
      </c>
      <c r="AM123" s="207">
        <f>IF(AG123="Käytetty",0,Y123*O123*Alukset_fx!$K$61/1000)</f>
        <v>0</v>
      </c>
      <c r="AN123" s="213">
        <f t="shared" si="23"/>
        <v>0</v>
      </c>
    </row>
    <row r="124" spans="1:40" x14ac:dyDescent="0.25">
      <c r="A124" s="203">
        <f>Alukset_Käynnit!A131</f>
        <v>0</v>
      </c>
      <c r="B124" s="203">
        <f>Alukset_Käynnit!B131</f>
        <v>0</v>
      </c>
      <c r="C124" s="262">
        <f>Alukset_Käynnit!C131</f>
        <v>0</v>
      </c>
      <c r="D124" s="266">
        <f>Alukset_Käynnit!D131</f>
        <v>0</v>
      </c>
      <c r="E124" s="262">
        <f>Alukset_Käynnit!E131</f>
        <v>0</v>
      </c>
      <c r="F124" s="262">
        <f>Alukset_Käynnit!F131</f>
        <v>0</v>
      </c>
      <c r="G124" s="262">
        <f>Alukset_Käynnit!G131</f>
        <v>0</v>
      </c>
      <c r="H124" s="262">
        <f>Alukset_Käynnit!H131</f>
        <v>0</v>
      </c>
      <c r="I124" s="262">
        <f>Alukset_Käynnit!I131</f>
        <v>0</v>
      </c>
      <c r="J124" s="262">
        <f>Alukset_Käynnit!J131</f>
        <v>0</v>
      </c>
      <c r="K124" s="262">
        <f>Alukset_Käynnit!K131</f>
        <v>0</v>
      </c>
      <c r="L124" s="205">
        <f>Alukset_Käynnit!L131</f>
        <v>0</v>
      </c>
      <c r="N124" s="273">
        <f t="shared" si="25"/>
        <v>0</v>
      </c>
      <c r="O124" s="274">
        <f t="shared" si="24"/>
        <v>0</v>
      </c>
      <c r="P124" s="202"/>
      <c r="Q124" s="204">
        <f t="shared" si="14"/>
        <v>0</v>
      </c>
      <c r="R124" s="202">
        <f>IF(Q124="Other dry cargo",L124*Alukset_fx!$B$71,IF(OR(Q124="Dry bulk",Q124="Bulk carrier"),L124*Alukset_fx!$B$69,IF(Q124="Tugboat",L124*Alukset_fx!$B$76,IF(OR(Q124="Tanker",Q124="Gas tanker",Q124="Chemical tanker",Q124="Oil tanker"),L124*Alukset_fx!$B$68,IF(OR(Q124="RoRo",Q124="Vehicle carrier"),L124*Alukset_fx!$B$72,IF(Q124="RoPax",L124*Alukset_fx!$B$73,IF(Q124="Container ship",L124*Alukset_fx!$B$70,IF(Q124="Barge",0,L124*Alukset_fx!$B$75))))))))</f>
        <v>0</v>
      </c>
      <c r="S124" s="210">
        <f>IF(L124=0,IF(Q124="Other dry cargo",Alukset_fx!$H$73*(Alukset_Käynnit_Lask!K124^Alukset_fx!$I$73),IF(OR(Q124="Dry Bulk",Q124="Bulk carrier"),Alukset_fx!$H$71*(Alukset_Käynnit_Lask!K124^Alukset_fx!$I$71),IF(Q124="Tugboat",Alukset_fx!$H$78*(Alukset_Käynnit_Lask!K124^Alukset_fx!$I$78),IF(OR(Q124="Tanker",Q124="Gas tanker",Q124="Chemical tanker",Q124="Oil tanker"),Alukset_fx!$H$70*(Alukset_Käynnit_Lask!K124^Alukset_fx!$I$70),IF(Q124="Container ship",Alukset_fx!$H$72*(Alukset_Käynnit_Lask!K124^Alukset_fx!$I$72),IF(Q124="Barge",0,IF(Q124="RoPax",Alukset_fx!$H$75*(Alukset_Käynnit_Lask!K124^Alukset_fx!$I$75),IF(OR(Q124="RoRo",Q124="Vehicle carrier"),Alukset_fx!$H$74*(Alukset_Käynnit_Lask!K124^Alukset_fx!$I$74),Alukset_fx!$H$77*(Alukset_Käynnit_Lask!K124^Alukset_fx!$I$77))))))))),"-")</f>
        <v>0</v>
      </c>
      <c r="T124" s="208">
        <f>IF(R124=0,IF(Q124="Other dry cargo",S124*Alukset_fx!$B$71,IF(OR(Q124="Dry bulk",Q124="Bulk carrier"),S124*Alukset_fx!$B$69,IF(Q124="Tugboat",S124*Alukset_fx!$B$76,IF(OR(Q124="Tanker",Q124="Gas tanker",Q124="Chemical tanker",Q124="Oil tanker"),S124*Alukset_fx!$B$68,IF(OR(Q124="RoRo",Q124="Vehicle carrier"),S124*Alukset_fx!$B$72,IF(Q124="RoPax",S124*Alukset_fx!$B$73,IF(Q124="Container ship",S124*Alukset_fx!$B$70,S124*Alukset_fx!$B$75))))))),"-")</f>
        <v>0</v>
      </c>
      <c r="U124" s="208">
        <f t="shared" si="15"/>
        <v>0</v>
      </c>
      <c r="V124" s="208">
        <f t="shared" si="16"/>
        <v>0</v>
      </c>
      <c r="W124" s="202">
        <f>Alukset_Käynnit!N131</f>
        <v>0</v>
      </c>
      <c r="X124" s="211">
        <f>IF(Q124="Other dry cargo", Alukset_fx!$C$52, IF(OR(Q124="Dry bulk",Q124="Bulk carrier"),Alukset_fx!$C$35,IF(OR(Q124="Tanker",Q124="Gas tanker",Q124="Oil tanker"),Alukset_fx!$C$57,IF(Q124="Chemical tanker",Alukset_fx!$C$56,IF(OR(Q124="Tugboat",Q124="Barge"),0,IF(Q124="Other vessel",Alukset_fx!$C$54,IF(Q124="Container ship",Alukset_fx!$C$37,IF(OR(Q124="RoPax",Q124="RoRo",Q124="Vehicle carrier"),Alukset_fx!$C$55,0))))))))</f>
        <v>0</v>
      </c>
      <c r="Y124" s="211">
        <f>IF(Q124="Other dry cargo", Alukset_fx!$Q$52, IF(OR(Q124="Dry bulk",Q124="Bulk carrier"),Alukset_fx!$Q$35,IF(OR(Q124="Tanker",Q124="Gas tanker",Q124="Oil tanker"),Alukset_fx!$Q$57,IF(Q124="Chemical tanker",Alukset_fx!$Q$56,IF(OR(Q124="Tugboat",Q124="Barge"),0,IF(Q124="Other vessel",Alukset_fx!$Q$54,IF(Q124="Container ship",Alukset_fx!$Q$37,IF(OR(Q124="RoPax",Q124="RoRo",Q124="Vehicle carrier"),Alukset_fx!$Q$55,0))))))))</f>
        <v>0</v>
      </c>
      <c r="Z124" t="str">
        <f t="shared" si="17"/>
        <v>MDO/MGO</v>
      </c>
      <c r="AA124" t="str">
        <f t="shared" si="18"/>
        <v>MSD</v>
      </c>
      <c r="AB124" t="str">
        <f t="shared" si="19"/>
        <v>MDO/MGO</v>
      </c>
      <c r="AC124" t="str">
        <f t="shared" si="20"/>
        <v>MSD</v>
      </c>
      <c r="AD124" t="str">
        <f t="shared" si="21"/>
        <v>MDO/MGO</v>
      </c>
      <c r="AE124" t="str">
        <f t="shared" si="22"/>
        <v>ST</v>
      </c>
      <c r="AG124">
        <f>Alukset_Käynnit!O131</f>
        <v>0</v>
      </c>
      <c r="AH124" s="207">
        <f>IF(AA124="SSD",((U124*Alukset_fx!$B$24)*Alukset_Käynnit_Lask!W124*(Alukset_fx!$K$49)/1000),IF(AA124="MSD",((U124*Alukset_fx!$B$24)*Alukset_Käynnit_Lask!W124*(Alukset_fx!$K$52)/1000),IF(AA124="HSD",((U124*Alukset_fx!$B$24)*Alukset_Käynnit_Lask!W124*(Alukset_fx!$K$55)/1000),0)))</f>
        <v>0</v>
      </c>
      <c r="AI124" s="207">
        <f>IF(AC124="MSD",((V124*Alukset_fx!$B$25)*Alukset_Käynnit_Lask!W124*(Alukset_fx!$L$52)/1000),IF(AC124="HSD",((V124*Alukset_fx!$B$25)*Alukset_Käynnit_Lask!W124*(Alukset_fx!$L$55)/1000),0))</f>
        <v>0</v>
      </c>
      <c r="AJ124" s="207">
        <f>X124*W124*Alukset_fx!$K$61/1000</f>
        <v>0</v>
      </c>
      <c r="AK124">
        <v>0</v>
      </c>
      <c r="AL124" s="207">
        <f>IF(AG124="Käytetty",0,IF(AC124="MSD",((V124*Alukset_fx!$O$25)*Alukset_Käynnit_Lask!O124*(Alukset_fx!$L$52)/1000),IF(AC124="HSD",((V124*Alukset_fx!$O$25)*Alukset_Käynnit_Lask!O124*(Alukset_fx!$L$55)/1000),0)))</f>
        <v>0</v>
      </c>
      <c r="AM124" s="207">
        <f>IF(AG124="Käytetty",0,Y124*O124*Alukset_fx!$K$61/1000)</f>
        <v>0</v>
      </c>
      <c r="AN124" s="213">
        <f t="shared" si="23"/>
        <v>0</v>
      </c>
    </row>
    <row r="125" spans="1:40" x14ac:dyDescent="0.25">
      <c r="A125" s="203">
        <f>Alukset_Käynnit!A132</f>
        <v>0</v>
      </c>
      <c r="B125" s="203">
        <f>Alukset_Käynnit!B132</f>
        <v>0</v>
      </c>
      <c r="C125" s="262">
        <f>Alukset_Käynnit!C132</f>
        <v>0</v>
      </c>
      <c r="D125" s="266">
        <f>Alukset_Käynnit!D132</f>
        <v>0</v>
      </c>
      <c r="E125" s="262">
        <f>Alukset_Käynnit!E132</f>
        <v>0</v>
      </c>
      <c r="F125" s="262">
        <f>Alukset_Käynnit!F132</f>
        <v>0</v>
      </c>
      <c r="G125" s="262">
        <f>Alukset_Käynnit!G132</f>
        <v>0</v>
      </c>
      <c r="H125" s="262">
        <f>Alukset_Käynnit!H132</f>
        <v>0</v>
      </c>
      <c r="I125" s="262">
        <f>Alukset_Käynnit!I132</f>
        <v>0</v>
      </c>
      <c r="J125" s="262">
        <f>Alukset_Käynnit!J132</f>
        <v>0</v>
      </c>
      <c r="K125" s="262">
        <f>Alukset_Käynnit!K132</f>
        <v>0</v>
      </c>
      <c r="L125" s="205">
        <f>Alukset_Käynnit!L132</f>
        <v>0</v>
      </c>
      <c r="N125" s="273">
        <f t="shared" si="25"/>
        <v>0</v>
      </c>
      <c r="O125" s="274">
        <f t="shared" si="24"/>
        <v>0</v>
      </c>
      <c r="P125" s="202"/>
      <c r="Q125" s="204">
        <f t="shared" si="14"/>
        <v>0</v>
      </c>
      <c r="R125" s="202">
        <f>IF(Q125="Other dry cargo",L125*Alukset_fx!$B$71,IF(OR(Q125="Dry bulk",Q125="Bulk carrier"),L125*Alukset_fx!$B$69,IF(Q125="Tugboat",L125*Alukset_fx!$B$76,IF(OR(Q125="Tanker",Q125="Gas tanker",Q125="Chemical tanker",Q125="Oil tanker"),L125*Alukset_fx!$B$68,IF(OR(Q125="RoRo",Q125="Vehicle carrier"),L125*Alukset_fx!$B$72,IF(Q125="RoPax",L125*Alukset_fx!$B$73,IF(Q125="Container ship",L125*Alukset_fx!$B$70,IF(Q125="Barge",0,L125*Alukset_fx!$B$75))))))))</f>
        <v>0</v>
      </c>
      <c r="S125" s="210">
        <f>IF(L125=0,IF(Q125="Other dry cargo",Alukset_fx!$H$73*(Alukset_Käynnit_Lask!K125^Alukset_fx!$I$73),IF(OR(Q125="Dry Bulk",Q125="Bulk carrier"),Alukset_fx!$H$71*(Alukset_Käynnit_Lask!K125^Alukset_fx!$I$71),IF(Q125="Tugboat",Alukset_fx!$H$78*(Alukset_Käynnit_Lask!K125^Alukset_fx!$I$78),IF(OR(Q125="Tanker",Q125="Gas tanker",Q125="Chemical tanker",Q125="Oil tanker"),Alukset_fx!$H$70*(Alukset_Käynnit_Lask!K125^Alukset_fx!$I$70),IF(Q125="Container ship",Alukset_fx!$H$72*(Alukset_Käynnit_Lask!K125^Alukset_fx!$I$72),IF(Q125="Barge",0,IF(Q125="RoPax",Alukset_fx!$H$75*(Alukset_Käynnit_Lask!K125^Alukset_fx!$I$75),IF(OR(Q125="RoRo",Q125="Vehicle carrier"),Alukset_fx!$H$74*(Alukset_Käynnit_Lask!K125^Alukset_fx!$I$74),Alukset_fx!$H$77*(Alukset_Käynnit_Lask!K125^Alukset_fx!$I$77))))))))),"-")</f>
        <v>0</v>
      </c>
      <c r="T125" s="208">
        <f>IF(R125=0,IF(Q125="Other dry cargo",S125*Alukset_fx!$B$71,IF(OR(Q125="Dry bulk",Q125="Bulk carrier"),S125*Alukset_fx!$B$69,IF(Q125="Tugboat",S125*Alukset_fx!$B$76,IF(OR(Q125="Tanker",Q125="Gas tanker",Q125="Chemical tanker",Q125="Oil tanker"),S125*Alukset_fx!$B$68,IF(OR(Q125="RoRo",Q125="Vehicle carrier"),S125*Alukset_fx!$B$72,IF(Q125="RoPax",S125*Alukset_fx!$B$73,IF(Q125="Container ship",S125*Alukset_fx!$B$70,S125*Alukset_fx!$B$75))))))),"-")</f>
        <v>0</v>
      </c>
      <c r="U125" s="208">
        <f t="shared" si="15"/>
        <v>0</v>
      </c>
      <c r="V125" s="208">
        <f t="shared" si="16"/>
        <v>0</v>
      </c>
      <c r="W125" s="202">
        <f>Alukset_Käynnit!N132</f>
        <v>0</v>
      </c>
      <c r="X125" s="211">
        <f>IF(Q125="Other dry cargo", Alukset_fx!$C$52, IF(OR(Q125="Dry bulk",Q125="Bulk carrier"),Alukset_fx!$C$35,IF(OR(Q125="Tanker",Q125="Gas tanker",Q125="Oil tanker"),Alukset_fx!$C$57,IF(Q125="Chemical tanker",Alukset_fx!$C$56,IF(OR(Q125="Tugboat",Q125="Barge"),0,IF(Q125="Other vessel",Alukset_fx!$C$54,IF(Q125="Container ship",Alukset_fx!$C$37,IF(OR(Q125="RoPax",Q125="RoRo",Q125="Vehicle carrier"),Alukset_fx!$C$55,0))))))))</f>
        <v>0</v>
      </c>
      <c r="Y125" s="211">
        <f>IF(Q125="Other dry cargo", Alukset_fx!$Q$52, IF(OR(Q125="Dry bulk",Q125="Bulk carrier"),Alukset_fx!$Q$35,IF(OR(Q125="Tanker",Q125="Gas tanker",Q125="Oil tanker"),Alukset_fx!$Q$57,IF(Q125="Chemical tanker",Alukset_fx!$Q$56,IF(OR(Q125="Tugboat",Q125="Barge"),0,IF(Q125="Other vessel",Alukset_fx!$Q$54,IF(Q125="Container ship",Alukset_fx!$Q$37,IF(OR(Q125="RoPax",Q125="RoRo",Q125="Vehicle carrier"),Alukset_fx!$Q$55,0))))))))</f>
        <v>0</v>
      </c>
      <c r="Z125" t="str">
        <f t="shared" si="17"/>
        <v>MDO/MGO</v>
      </c>
      <c r="AA125" t="str">
        <f t="shared" si="18"/>
        <v>MSD</v>
      </c>
      <c r="AB125" t="str">
        <f t="shared" si="19"/>
        <v>MDO/MGO</v>
      </c>
      <c r="AC125" t="str">
        <f t="shared" si="20"/>
        <v>MSD</v>
      </c>
      <c r="AD125" t="str">
        <f t="shared" si="21"/>
        <v>MDO/MGO</v>
      </c>
      <c r="AE125" t="str">
        <f t="shared" si="22"/>
        <v>ST</v>
      </c>
      <c r="AG125">
        <f>Alukset_Käynnit!O132</f>
        <v>0</v>
      </c>
      <c r="AH125" s="207">
        <f>IF(AA125="SSD",((U125*Alukset_fx!$B$24)*Alukset_Käynnit_Lask!W125*(Alukset_fx!$K$49)/1000),IF(AA125="MSD",((U125*Alukset_fx!$B$24)*Alukset_Käynnit_Lask!W125*(Alukset_fx!$K$52)/1000),IF(AA125="HSD",((U125*Alukset_fx!$B$24)*Alukset_Käynnit_Lask!W125*(Alukset_fx!$K$55)/1000),0)))</f>
        <v>0</v>
      </c>
      <c r="AI125" s="207">
        <f>IF(AC125="MSD",((V125*Alukset_fx!$B$25)*Alukset_Käynnit_Lask!W125*(Alukset_fx!$L$52)/1000),IF(AC125="HSD",((V125*Alukset_fx!$B$25)*Alukset_Käynnit_Lask!W125*(Alukset_fx!$L$55)/1000),0))</f>
        <v>0</v>
      </c>
      <c r="AJ125" s="207">
        <f>X125*W125*Alukset_fx!$K$61/1000</f>
        <v>0</v>
      </c>
      <c r="AK125">
        <v>0</v>
      </c>
      <c r="AL125" s="207">
        <f>IF(AG125="Käytetty",0,IF(AC125="MSD",((V125*Alukset_fx!$O$25)*Alukset_Käynnit_Lask!O125*(Alukset_fx!$L$52)/1000),IF(AC125="HSD",((V125*Alukset_fx!$O$25)*Alukset_Käynnit_Lask!O125*(Alukset_fx!$L$55)/1000),0)))</f>
        <v>0</v>
      </c>
      <c r="AM125" s="207">
        <f>IF(AG125="Käytetty",0,Y125*O125*Alukset_fx!$K$61/1000)</f>
        <v>0</v>
      </c>
      <c r="AN125" s="213">
        <f t="shared" si="23"/>
        <v>0</v>
      </c>
    </row>
    <row r="126" spans="1:40" x14ac:dyDescent="0.25">
      <c r="A126" s="203">
        <f>Alukset_Käynnit!A133</f>
        <v>0</v>
      </c>
      <c r="B126" s="203">
        <f>Alukset_Käynnit!B133</f>
        <v>0</v>
      </c>
      <c r="C126" s="262">
        <f>Alukset_Käynnit!C133</f>
        <v>0</v>
      </c>
      <c r="D126" s="266">
        <f>Alukset_Käynnit!D133</f>
        <v>0</v>
      </c>
      <c r="E126" s="262">
        <f>Alukset_Käynnit!E133</f>
        <v>0</v>
      </c>
      <c r="F126" s="262">
        <f>Alukset_Käynnit!F133</f>
        <v>0</v>
      </c>
      <c r="G126" s="262">
        <f>Alukset_Käynnit!G133</f>
        <v>0</v>
      </c>
      <c r="H126" s="262">
        <f>Alukset_Käynnit!H133</f>
        <v>0</v>
      </c>
      <c r="I126" s="262">
        <f>Alukset_Käynnit!I133</f>
        <v>0</v>
      </c>
      <c r="J126" s="262">
        <f>Alukset_Käynnit!J133</f>
        <v>0</v>
      </c>
      <c r="K126" s="262">
        <f>Alukset_Käynnit!K133</f>
        <v>0</v>
      </c>
      <c r="L126" s="205">
        <f>Alukset_Käynnit!L133</f>
        <v>0</v>
      </c>
      <c r="N126" s="275">
        <f t="shared" si="25"/>
        <v>0</v>
      </c>
      <c r="O126" s="276">
        <f t="shared" si="24"/>
        <v>0</v>
      </c>
      <c r="P126" s="202"/>
      <c r="Q126" s="204">
        <f t="shared" si="14"/>
        <v>0</v>
      </c>
      <c r="R126" s="202">
        <f>IF(Q126="Other dry cargo",L126*Alukset_fx!$B$71,IF(OR(Q126="Dry bulk",Q126="Bulk carrier"),L126*Alukset_fx!$B$69,IF(Q126="Tugboat",L126*Alukset_fx!$B$76,IF(OR(Q126="Tanker",Q126="Gas tanker",Q126="Chemical tanker",Q126="Oil tanker"),L126*Alukset_fx!$B$68,IF(OR(Q126="RoRo",Q126="Vehicle carrier"),L126*Alukset_fx!$B$72,IF(Q126="RoPax",L126*Alukset_fx!$B$73,IF(Q126="Container ship",L126*Alukset_fx!$B$70,IF(Q126="Barge",0,L126*Alukset_fx!$B$75))))))))</f>
        <v>0</v>
      </c>
      <c r="S126" s="210">
        <f>IF(L126=0,IF(Q126="Other dry cargo",Alukset_fx!$H$73*(Alukset_Käynnit_Lask!K126^Alukset_fx!$I$73),IF(OR(Q126="Dry Bulk",Q126="Bulk carrier"),Alukset_fx!$H$71*(Alukset_Käynnit_Lask!K126^Alukset_fx!$I$71),IF(Q126="Tugboat",Alukset_fx!$H$78*(Alukset_Käynnit_Lask!K126^Alukset_fx!$I$78),IF(OR(Q126="Tanker",Q126="Gas tanker",Q126="Chemical tanker",Q126="Oil tanker"),Alukset_fx!$H$70*(Alukset_Käynnit_Lask!K126^Alukset_fx!$I$70),IF(Q126="Container ship",Alukset_fx!$H$72*(Alukset_Käynnit_Lask!K126^Alukset_fx!$I$72),IF(Q126="Barge",0,IF(Q126="RoPax",Alukset_fx!$H$75*(Alukset_Käynnit_Lask!K126^Alukset_fx!$I$75),IF(OR(Q126="RoRo",Q126="Vehicle carrier"),Alukset_fx!$H$74*(Alukset_Käynnit_Lask!K126^Alukset_fx!$I$74),Alukset_fx!$H$77*(Alukset_Käynnit_Lask!K126^Alukset_fx!$I$77))))))))),"-")</f>
        <v>0</v>
      </c>
      <c r="T126" s="208">
        <f>IF(R126=0,IF(Q126="Other dry cargo",S126*Alukset_fx!$B$71,IF(OR(Q126="Dry bulk",Q126="Bulk carrier"),S126*Alukset_fx!$B$69,IF(Q126="Tugboat",S126*Alukset_fx!$B$76,IF(OR(Q126="Tanker",Q126="Gas tanker",Q126="Chemical tanker",Q126="Oil tanker"),S126*Alukset_fx!$B$68,IF(OR(Q126="RoRo",Q126="Vehicle carrier"),S126*Alukset_fx!$B$72,IF(Q126="RoPax",S126*Alukset_fx!$B$73,IF(Q126="Container ship",S126*Alukset_fx!$B$70,S126*Alukset_fx!$B$75))))))),"-")</f>
        <v>0</v>
      </c>
      <c r="U126" s="208">
        <f t="shared" si="15"/>
        <v>0</v>
      </c>
      <c r="V126" s="208">
        <f t="shared" si="16"/>
        <v>0</v>
      </c>
      <c r="W126" s="202">
        <f>Alukset_Käynnit!N133</f>
        <v>0</v>
      </c>
      <c r="X126" s="211">
        <f>IF(Q126="Other dry cargo", Alukset_fx!$C$52, IF(OR(Q126="Dry bulk",Q126="Bulk carrier"),Alukset_fx!$C$35,IF(OR(Q126="Tanker",Q126="Gas tanker",Q126="Oil tanker"),Alukset_fx!$C$57,IF(Q126="Chemical tanker",Alukset_fx!$C$56,IF(OR(Q126="Tugboat",Q126="Barge"),0,IF(Q126="Other vessel",Alukset_fx!$C$54,IF(Q126="Container ship",Alukset_fx!$C$37,IF(OR(Q126="RoPax",Q126="RoRo",Q126="Vehicle carrier"),Alukset_fx!$C$55,0))))))))</f>
        <v>0</v>
      </c>
      <c r="Y126" s="211">
        <f>IF(Q126="Other dry cargo", Alukset_fx!$Q$52, IF(OR(Q126="Dry bulk",Q126="Bulk carrier"),Alukset_fx!$Q$35,IF(OR(Q126="Tanker",Q126="Gas tanker",Q126="Oil tanker"),Alukset_fx!$Q$57,IF(Q126="Chemical tanker",Alukset_fx!$Q$56,IF(OR(Q126="Tugboat",Q126="Barge"),0,IF(Q126="Other vessel",Alukset_fx!$Q$54,IF(Q126="Container ship",Alukset_fx!$Q$37,IF(OR(Q126="RoPax",Q126="RoRo",Q126="Vehicle carrier"),Alukset_fx!$Q$55,0))))))))</f>
        <v>0</v>
      </c>
      <c r="Z126" t="str">
        <f t="shared" si="17"/>
        <v>MDO/MGO</v>
      </c>
      <c r="AA126" t="str">
        <f t="shared" si="18"/>
        <v>MSD</v>
      </c>
      <c r="AB126" t="str">
        <f t="shared" si="19"/>
        <v>MDO/MGO</v>
      </c>
      <c r="AC126" t="str">
        <f t="shared" si="20"/>
        <v>MSD</v>
      </c>
      <c r="AD126" t="str">
        <f t="shared" si="21"/>
        <v>MDO/MGO</v>
      </c>
      <c r="AE126" t="str">
        <f t="shared" si="22"/>
        <v>ST</v>
      </c>
      <c r="AG126">
        <f>Alukset_Käynnit!O133</f>
        <v>0</v>
      </c>
      <c r="AH126" s="207">
        <f>IF(AA126="SSD",((U126*Alukset_fx!$B$24)*Alukset_Käynnit_Lask!W126*(Alukset_fx!$K$49)/1000),IF(AA126="MSD",((U126*Alukset_fx!$B$24)*Alukset_Käynnit_Lask!W126*(Alukset_fx!$K$52)/1000),IF(AA126="HSD",((U126*Alukset_fx!$B$24)*Alukset_Käynnit_Lask!W126*(Alukset_fx!$K$55)/1000),0)))</f>
        <v>0</v>
      </c>
      <c r="AI126" s="207">
        <f>IF(AC126="MSD",((V126*Alukset_fx!$B$25)*Alukset_Käynnit_Lask!W126*(Alukset_fx!$L$52)/1000),IF(AC126="HSD",((V126*Alukset_fx!$B$25)*Alukset_Käynnit_Lask!W126*(Alukset_fx!$L$55)/1000),0))</f>
        <v>0</v>
      </c>
      <c r="AJ126" s="207">
        <f>X126*W126*Alukset_fx!$K$61/1000</f>
        <v>0</v>
      </c>
      <c r="AK126">
        <v>0</v>
      </c>
      <c r="AL126" s="207">
        <f>IF(AG126="Käytetty",0,IF(AC126="MSD",((V126*Alukset_fx!$O$25)*Alukset_Käynnit_Lask!O126*(Alukset_fx!$L$52)/1000),IF(AC126="HSD",((V126*Alukset_fx!$O$25)*Alukset_Käynnit_Lask!O126*(Alukset_fx!$L$55)/1000),0)))</f>
        <v>0</v>
      </c>
      <c r="AM126" s="207">
        <f>IF(AG126="Käytetty",0,Y126*O126*Alukset_fx!$K$61/1000)</f>
        <v>0</v>
      </c>
      <c r="AN126" s="213">
        <f t="shared" si="23"/>
        <v>0</v>
      </c>
    </row>
    <row r="127" spans="1:40" x14ac:dyDescent="0.25">
      <c r="A127" s="203">
        <f>Alukset_Käynnit!A134</f>
        <v>0</v>
      </c>
      <c r="B127" s="203">
        <f>Alukset_Käynnit!B134</f>
        <v>0</v>
      </c>
      <c r="C127" s="262">
        <f>Alukset_Käynnit!C134</f>
        <v>0</v>
      </c>
      <c r="D127" s="266">
        <f>Alukset_Käynnit!D134</f>
        <v>0</v>
      </c>
      <c r="E127" s="262">
        <f>Alukset_Käynnit!E134</f>
        <v>0</v>
      </c>
      <c r="F127" s="262">
        <f>Alukset_Käynnit!F134</f>
        <v>0</v>
      </c>
      <c r="G127" s="262">
        <f>Alukset_Käynnit!G134</f>
        <v>0</v>
      </c>
      <c r="H127" s="262">
        <f>Alukset_Käynnit!H134</f>
        <v>0</v>
      </c>
      <c r="I127" s="262">
        <f>Alukset_Käynnit!I134</f>
        <v>0</v>
      </c>
      <c r="J127" s="262">
        <f>Alukset_Käynnit!J134</f>
        <v>0</v>
      </c>
      <c r="K127" s="262">
        <f>Alukset_Käynnit!K134</f>
        <v>0</v>
      </c>
      <c r="L127" s="205">
        <f>Alukset_Käynnit!L134</f>
        <v>0</v>
      </c>
      <c r="N127" s="275">
        <f t="shared" si="25"/>
        <v>0</v>
      </c>
      <c r="O127" s="276">
        <f t="shared" si="24"/>
        <v>0</v>
      </c>
      <c r="P127" s="202"/>
      <c r="Q127" s="204">
        <f t="shared" si="14"/>
        <v>0</v>
      </c>
      <c r="R127" s="202">
        <f>IF(Q127="Other dry cargo",L127*Alukset_fx!$B$71,IF(OR(Q127="Dry bulk",Q127="Bulk carrier"),L127*Alukset_fx!$B$69,IF(Q127="Tugboat",L127*Alukset_fx!$B$76,IF(OR(Q127="Tanker",Q127="Gas tanker",Q127="Chemical tanker",Q127="Oil tanker"),L127*Alukset_fx!$B$68,IF(OR(Q127="RoRo",Q127="Vehicle carrier"),L127*Alukset_fx!$B$72,IF(Q127="RoPax",L127*Alukset_fx!$B$73,IF(Q127="Container ship",L127*Alukset_fx!$B$70,IF(Q127="Barge",0,L127*Alukset_fx!$B$75))))))))</f>
        <v>0</v>
      </c>
      <c r="S127" s="210">
        <f>IF(L127=0,IF(Q127="Other dry cargo",Alukset_fx!$H$73*(Alukset_Käynnit_Lask!K127^Alukset_fx!$I$73),IF(OR(Q127="Dry Bulk",Q127="Bulk carrier"),Alukset_fx!$H$71*(Alukset_Käynnit_Lask!K127^Alukset_fx!$I$71),IF(Q127="Tugboat",Alukset_fx!$H$78*(Alukset_Käynnit_Lask!K127^Alukset_fx!$I$78),IF(OR(Q127="Tanker",Q127="Gas tanker",Q127="Chemical tanker",Q127="Oil tanker"),Alukset_fx!$H$70*(Alukset_Käynnit_Lask!K127^Alukset_fx!$I$70),IF(Q127="Container ship",Alukset_fx!$H$72*(Alukset_Käynnit_Lask!K127^Alukset_fx!$I$72),IF(Q127="Barge",0,IF(Q127="RoPax",Alukset_fx!$H$75*(Alukset_Käynnit_Lask!K127^Alukset_fx!$I$75),IF(OR(Q127="RoRo",Q127="Vehicle carrier"),Alukset_fx!$H$74*(Alukset_Käynnit_Lask!K127^Alukset_fx!$I$74),Alukset_fx!$H$77*(Alukset_Käynnit_Lask!K127^Alukset_fx!$I$77))))))))),"-")</f>
        <v>0</v>
      </c>
      <c r="T127" s="208">
        <f>IF(R127=0,IF(Q127="Other dry cargo",S127*Alukset_fx!$B$71,IF(OR(Q127="Dry bulk",Q127="Bulk carrier"),S127*Alukset_fx!$B$69,IF(Q127="Tugboat",S127*Alukset_fx!$B$76,IF(OR(Q127="Tanker",Q127="Gas tanker",Q127="Chemical tanker",Q127="Oil tanker"),S127*Alukset_fx!$B$68,IF(OR(Q127="RoRo",Q127="Vehicle carrier"),S127*Alukset_fx!$B$72,IF(Q127="RoPax",S127*Alukset_fx!$B$73,IF(Q127="Container ship",S127*Alukset_fx!$B$70,S127*Alukset_fx!$B$75))))))),"-")</f>
        <v>0</v>
      </c>
      <c r="U127" s="208">
        <f t="shared" si="15"/>
        <v>0</v>
      </c>
      <c r="V127" s="208">
        <f t="shared" si="16"/>
        <v>0</v>
      </c>
      <c r="W127" s="202">
        <f>Alukset_Käynnit!N134</f>
        <v>0</v>
      </c>
      <c r="X127" s="211">
        <f>IF(Q127="Other dry cargo", Alukset_fx!$C$52, IF(OR(Q127="Dry bulk",Q127="Bulk carrier"),Alukset_fx!$C$35,IF(OR(Q127="Tanker",Q127="Gas tanker",Q127="Oil tanker"),Alukset_fx!$C$57,IF(Q127="Chemical tanker",Alukset_fx!$C$56,IF(OR(Q127="Tugboat",Q127="Barge"),0,IF(Q127="Other vessel",Alukset_fx!$C$54,IF(Q127="Container ship",Alukset_fx!$C$37,IF(OR(Q127="RoPax",Q127="RoRo",Q127="Vehicle carrier"),Alukset_fx!$C$55,0))))))))</f>
        <v>0</v>
      </c>
      <c r="Y127" s="211">
        <f>IF(Q127="Other dry cargo", Alukset_fx!$Q$52, IF(OR(Q127="Dry bulk",Q127="Bulk carrier"),Alukset_fx!$Q$35,IF(OR(Q127="Tanker",Q127="Gas tanker",Q127="Oil tanker"),Alukset_fx!$Q$57,IF(Q127="Chemical tanker",Alukset_fx!$Q$56,IF(OR(Q127="Tugboat",Q127="Barge"),0,IF(Q127="Other vessel",Alukset_fx!$Q$54,IF(Q127="Container ship",Alukset_fx!$Q$37,IF(OR(Q127="RoPax",Q127="RoRo",Q127="Vehicle carrier"),Alukset_fx!$Q$55,0))))))))</f>
        <v>0</v>
      </c>
      <c r="Z127" t="str">
        <f t="shared" si="17"/>
        <v>MDO/MGO</v>
      </c>
      <c r="AA127" t="str">
        <f t="shared" si="18"/>
        <v>MSD</v>
      </c>
      <c r="AB127" t="str">
        <f t="shared" si="19"/>
        <v>MDO/MGO</v>
      </c>
      <c r="AC127" t="str">
        <f t="shared" si="20"/>
        <v>MSD</v>
      </c>
      <c r="AD127" t="str">
        <f t="shared" si="21"/>
        <v>MDO/MGO</v>
      </c>
      <c r="AE127" t="str">
        <f t="shared" si="22"/>
        <v>ST</v>
      </c>
      <c r="AG127">
        <f>Alukset_Käynnit!O134</f>
        <v>0</v>
      </c>
      <c r="AH127" s="207">
        <f>IF(AA127="SSD",((U127*Alukset_fx!$B$24)*Alukset_Käynnit_Lask!W127*(Alukset_fx!$K$49)/1000),IF(AA127="MSD",((U127*Alukset_fx!$B$24)*Alukset_Käynnit_Lask!W127*(Alukset_fx!$K$52)/1000),IF(AA127="HSD",((U127*Alukset_fx!$B$24)*Alukset_Käynnit_Lask!W127*(Alukset_fx!$K$55)/1000),0)))</f>
        <v>0</v>
      </c>
      <c r="AI127" s="207">
        <f>IF(AC127="MSD",((V127*Alukset_fx!$B$25)*Alukset_Käynnit_Lask!W127*(Alukset_fx!$L$52)/1000),IF(AC127="HSD",((V127*Alukset_fx!$B$25)*Alukset_Käynnit_Lask!W127*(Alukset_fx!$L$55)/1000),0))</f>
        <v>0</v>
      </c>
      <c r="AJ127" s="207">
        <f>X127*W127*Alukset_fx!$K$61/1000</f>
        <v>0</v>
      </c>
      <c r="AK127">
        <v>0</v>
      </c>
      <c r="AL127" s="207">
        <f>IF(AG127="Käytetty",0,IF(AC127="MSD",((V127*Alukset_fx!$O$25)*Alukset_Käynnit_Lask!O127*(Alukset_fx!$L$52)/1000),IF(AC127="HSD",((V127*Alukset_fx!$O$25)*Alukset_Käynnit_Lask!O127*(Alukset_fx!$L$55)/1000),0)))</f>
        <v>0</v>
      </c>
      <c r="AM127" s="207">
        <f>IF(AG127="Käytetty",0,Y127*O127*Alukset_fx!$K$61/1000)</f>
        <v>0</v>
      </c>
      <c r="AN127" s="213">
        <f t="shared" si="23"/>
        <v>0</v>
      </c>
    </row>
    <row r="128" spans="1:40" x14ac:dyDescent="0.25">
      <c r="A128" s="203">
        <f>Alukset_Käynnit!A135</f>
        <v>0</v>
      </c>
      <c r="B128" s="203">
        <f>Alukset_Käynnit!B135</f>
        <v>0</v>
      </c>
      <c r="C128" s="262">
        <f>Alukset_Käynnit!C135</f>
        <v>0</v>
      </c>
      <c r="D128" s="266">
        <f>Alukset_Käynnit!D135</f>
        <v>0</v>
      </c>
      <c r="E128" s="262">
        <f>Alukset_Käynnit!E135</f>
        <v>0</v>
      </c>
      <c r="F128" s="262">
        <f>Alukset_Käynnit!F135</f>
        <v>0</v>
      </c>
      <c r="G128" s="262">
        <f>Alukset_Käynnit!G135</f>
        <v>0</v>
      </c>
      <c r="H128" s="262">
        <f>Alukset_Käynnit!H135</f>
        <v>0</v>
      </c>
      <c r="I128" s="262">
        <f>Alukset_Käynnit!I135</f>
        <v>0</v>
      </c>
      <c r="J128" s="262">
        <f>Alukset_Käynnit!J135</f>
        <v>0</v>
      </c>
      <c r="K128" s="262">
        <f>Alukset_Käynnit!K135</f>
        <v>0</v>
      </c>
      <c r="L128" s="205">
        <f>Alukset_Käynnit!L135</f>
        <v>0</v>
      </c>
      <c r="N128" s="275">
        <f t="shared" si="25"/>
        <v>0</v>
      </c>
      <c r="O128" s="276">
        <f t="shared" si="24"/>
        <v>0</v>
      </c>
      <c r="P128" s="202"/>
      <c r="Q128" s="204">
        <f t="shared" si="14"/>
        <v>0</v>
      </c>
      <c r="R128" s="202">
        <f>IF(Q128="Other dry cargo",L128*Alukset_fx!$B$71,IF(OR(Q128="Dry bulk",Q128="Bulk carrier"),L128*Alukset_fx!$B$69,IF(Q128="Tugboat",L128*Alukset_fx!$B$76,IF(OR(Q128="Tanker",Q128="Gas tanker",Q128="Chemical tanker",Q128="Oil tanker"),L128*Alukset_fx!$B$68,IF(OR(Q128="RoRo",Q128="Vehicle carrier"),L128*Alukset_fx!$B$72,IF(Q128="RoPax",L128*Alukset_fx!$B$73,IF(Q128="Container ship",L128*Alukset_fx!$B$70,IF(Q128="Barge",0,L128*Alukset_fx!$B$75))))))))</f>
        <v>0</v>
      </c>
      <c r="S128" s="210">
        <f>IF(L128=0,IF(Q128="Other dry cargo",Alukset_fx!$H$73*(Alukset_Käynnit_Lask!K128^Alukset_fx!$I$73),IF(OR(Q128="Dry Bulk",Q128="Bulk carrier"),Alukset_fx!$H$71*(Alukset_Käynnit_Lask!K128^Alukset_fx!$I$71),IF(Q128="Tugboat",Alukset_fx!$H$78*(Alukset_Käynnit_Lask!K128^Alukset_fx!$I$78),IF(OR(Q128="Tanker",Q128="Gas tanker",Q128="Chemical tanker",Q128="Oil tanker"),Alukset_fx!$H$70*(Alukset_Käynnit_Lask!K128^Alukset_fx!$I$70),IF(Q128="Container ship",Alukset_fx!$H$72*(Alukset_Käynnit_Lask!K128^Alukset_fx!$I$72),IF(Q128="Barge",0,IF(Q128="RoPax",Alukset_fx!$H$75*(Alukset_Käynnit_Lask!K128^Alukset_fx!$I$75),IF(OR(Q128="RoRo",Q128="Vehicle carrier"),Alukset_fx!$H$74*(Alukset_Käynnit_Lask!K128^Alukset_fx!$I$74),Alukset_fx!$H$77*(Alukset_Käynnit_Lask!K128^Alukset_fx!$I$77))))))))),"-")</f>
        <v>0</v>
      </c>
      <c r="T128" s="208">
        <f>IF(R128=0,IF(Q128="Other dry cargo",S128*Alukset_fx!$B$71,IF(OR(Q128="Dry bulk",Q128="Bulk carrier"),S128*Alukset_fx!$B$69,IF(Q128="Tugboat",S128*Alukset_fx!$B$76,IF(OR(Q128="Tanker",Q128="Gas tanker",Q128="Chemical tanker",Q128="Oil tanker"),S128*Alukset_fx!$B$68,IF(OR(Q128="RoRo",Q128="Vehicle carrier"),S128*Alukset_fx!$B$72,IF(Q128="RoPax",S128*Alukset_fx!$B$73,IF(Q128="Container ship",S128*Alukset_fx!$B$70,S128*Alukset_fx!$B$75))))))),"-")</f>
        <v>0</v>
      </c>
      <c r="U128" s="208">
        <f t="shared" si="15"/>
        <v>0</v>
      </c>
      <c r="V128" s="208">
        <f t="shared" si="16"/>
        <v>0</v>
      </c>
      <c r="W128" s="202">
        <f>Alukset_Käynnit!N135</f>
        <v>0</v>
      </c>
      <c r="X128" s="211">
        <f>IF(Q128="Other dry cargo", Alukset_fx!$C$52, IF(OR(Q128="Dry bulk",Q128="Bulk carrier"),Alukset_fx!$C$35,IF(OR(Q128="Tanker",Q128="Gas tanker",Q128="Oil tanker"),Alukset_fx!$C$57,IF(Q128="Chemical tanker",Alukset_fx!$C$56,IF(OR(Q128="Tugboat",Q128="Barge"),0,IF(Q128="Other vessel",Alukset_fx!$C$54,IF(Q128="Container ship",Alukset_fx!$C$37,IF(OR(Q128="RoPax",Q128="RoRo",Q128="Vehicle carrier"),Alukset_fx!$C$55,0))))))))</f>
        <v>0</v>
      </c>
      <c r="Y128" s="211">
        <f>IF(Q128="Other dry cargo", Alukset_fx!$Q$52, IF(OR(Q128="Dry bulk",Q128="Bulk carrier"),Alukset_fx!$Q$35,IF(OR(Q128="Tanker",Q128="Gas tanker",Q128="Oil tanker"),Alukset_fx!$Q$57,IF(Q128="Chemical tanker",Alukset_fx!$Q$56,IF(OR(Q128="Tugboat",Q128="Barge"),0,IF(Q128="Other vessel",Alukset_fx!$Q$54,IF(Q128="Container ship",Alukset_fx!$Q$37,IF(OR(Q128="RoPax",Q128="RoRo",Q128="Vehicle carrier"),Alukset_fx!$Q$55,0))))))))</f>
        <v>0</v>
      </c>
      <c r="Z128" t="str">
        <f t="shared" si="17"/>
        <v>MDO/MGO</v>
      </c>
      <c r="AA128" t="str">
        <f t="shared" si="18"/>
        <v>MSD</v>
      </c>
      <c r="AB128" t="str">
        <f t="shared" si="19"/>
        <v>MDO/MGO</v>
      </c>
      <c r="AC128" t="str">
        <f t="shared" si="20"/>
        <v>MSD</v>
      </c>
      <c r="AD128" t="str">
        <f t="shared" si="21"/>
        <v>MDO/MGO</v>
      </c>
      <c r="AE128" t="str">
        <f t="shared" si="22"/>
        <v>ST</v>
      </c>
      <c r="AG128">
        <f>Alukset_Käynnit!O135</f>
        <v>0</v>
      </c>
      <c r="AH128" s="207">
        <f>IF(AA128="SSD",((U128*Alukset_fx!$B$24)*Alukset_Käynnit_Lask!W128*(Alukset_fx!$K$49)/1000),IF(AA128="MSD",((U128*Alukset_fx!$B$24)*Alukset_Käynnit_Lask!W128*(Alukset_fx!$K$52)/1000),IF(AA128="HSD",((U128*Alukset_fx!$B$24)*Alukset_Käynnit_Lask!W128*(Alukset_fx!$K$55)/1000),0)))</f>
        <v>0</v>
      </c>
      <c r="AI128" s="207">
        <f>IF(AC128="MSD",((V128*Alukset_fx!$B$25)*Alukset_Käynnit_Lask!W128*(Alukset_fx!$L$52)/1000),IF(AC128="HSD",((V128*Alukset_fx!$B$25)*Alukset_Käynnit_Lask!W128*(Alukset_fx!$L$55)/1000),0))</f>
        <v>0</v>
      </c>
      <c r="AJ128" s="207">
        <f>X128*W128*Alukset_fx!$K$61/1000</f>
        <v>0</v>
      </c>
      <c r="AK128">
        <v>0</v>
      </c>
      <c r="AL128" s="207">
        <f>IF(AG128="Käytetty",0,IF(AC128="MSD",((V128*Alukset_fx!$O$25)*Alukset_Käynnit_Lask!O128*(Alukset_fx!$L$52)/1000),IF(AC128="HSD",((V128*Alukset_fx!$O$25)*Alukset_Käynnit_Lask!O128*(Alukset_fx!$L$55)/1000),0)))</f>
        <v>0</v>
      </c>
      <c r="AM128" s="207">
        <f>IF(AG128="Käytetty",0,Y128*O128*Alukset_fx!$K$61/1000)</f>
        <v>0</v>
      </c>
      <c r="AN128" s="213">
        <f t="shared" si="23"/>
        <v>0</v>
      </c>
    </row>
    <row r="129" spans="1:40" x14ac:dyDescent="0.25">
      <c r="A129" s="203">
        <f>Alukset_Käynnit!A136</f>
        <v>0</v>
      </c>
      <c r="B129" s="203">
        <f>Alukset_Käynnit!B136</f>
        <v>0</v>
      </c>
      <c r="C129" s="262">
        <f>Alukset_Käynnit!C136</f>
        <v>0</v>
      </c>
      <c r="D129" s="266">
        <f>Alukset_Käynnit!D136</f>
        <v>0</v>
      </c>
      <c r="E129" s="262">
        <f>Alukset_Käynnit!E136</f>
        <v>0</v>
      </c>
      <c r="F129" s="262">
        <f>Alukset_Käynnit!F136</f>
        <v>0</v>
      </c>
      <c r="G129" s="262">
        <f>Alukset_Käynnit!G136</f>
        <v>0</v>
      </c>
      <c r="H129" s="262">
        <f>Alukset_Käynnit!H136</f>
        <v>0</v>
      </c>
      <c r="I129" s="262">
        <f>Alukset_Käynnit!I136</f>
        <v>0</v>
      </c>
      <c r="J129" s="262">
        <f>Alukset_Käynnit!J136</f>
        <v>0</v>
      </c>
      <c r="K129" s="262">
        <f>Alukset_Käynnit!K136</f>
        <v>0</v>
      </c>
      <c r="L129" s="205">
        <f>Alukset_Käynnit!L136</f>
        <v>0</v>
      </c>
      <c r="N129" s="273">
        <f t="shared" si="25"/>
        <v>0</v>
      </c>
      <c r="O129" s="274">
        <f t="shared" si="24"/>
        <v>0</v>
      </c>
      <c r="P129" s="202"/>
      <c r="Q129" s="204">
        <f t="shared" si="14"/>
        <v>0</v>
      </c>
      <c r="R129" s="202">
        <f>IF(Q129="Other dry cargo",L129*Alukset_fx!$B$71,IF(OR(Q129="Dry bulk",Q129="Bulk carrier"),L129*Alukset_fx!$B$69,IF(Q129="Tugboat",L129*Alukset_fx!$B$76,IF(OR(Q129="Tanker",Q129="Gas tanker",Q129="Chemical tanker",Q129="Oil tanker"),L129*Alukset_fx!$B$68,IF(OR(Q129="RoRo",Q129="Vehicle carrier"),L129*Alukset_fx!$B$72,IF(Q129="RoPax",L129*Alukset_fx!$B$73,IF(Q129="Container ship",L129*Alukset_fx!$B$70,IF(Q129="Barge",0,L129*Alukset_fx!$B$75))))))))</f>
        <v>0</v>
      </c>
      <c r="S129" s="210">
        <f>IF(L129=0,IF(Q129="Other dry cargo",Alukset_fx!$H$73*(Alukset_Käynnit_Lask!K129^Alukset_fx!$I$73),IF(OR(Q129="Dry Bulk",Q129="Bulk carrier"),Alukset_fx!$H$71*(Alukset_Käynnit_Lask!K129^Alukset_fx!$I$71),IF(Q129="Tugboat",Alukset_fx!$H$78*(Alukset_Käynnit_Lask!K129^Alukset_fx!$I$78),IF(OR(Q129="Tanker",Q129="Gas tanker",Q129="Chemical tanker",Q129="Oil tanker"),Alukset_fx!$H$70*(Alukset_Käynnit_Lask!K129^Alukset_fx!$I$70),IF(Q129="Container ship",Alukset_fx!$H$72*(Alukset_Käynnit_Lask!K129^Alukset_fx!$I$72),IF(Q129="Barge",0,IF(Q129="RoPax",Alukset_fx!$H$75*(Alukset_Käynnit_Lask!K129^Alukset_fx!$I$75),IF(OR(Q129="RoRo",Q129="Vehicle carrier"),Alukset_fx!$H$74*(Alukset_Käynnit_Lask!K129^Alukset_fx!$I$74),Alukset_fx!$H$77*(Alukset_Käynnit_Lask!K129^Alukset_fx!$I$77))))))))),"-")</f>
        <v>0</v>
      </c>
      <c r="T129" s="208">
        <f>IF(R129=0,IF(Q129="Other dry cargo",S129*Alukset_fx!$B$71,IF(OR(Q129="Dry bulk",Q129="Bulk carrier"),S129*Alukset_fx!$B$69,IF(Q129="Tugboat",S129*Alukset_fx!$B$76,IF(OR(Q129="Tanker",Q129="Gas tanker",Q129="Chemical tanker",Q129="Oil tanker"),S129*Alukset_fx!$B$68,IF(OR(Q129="RoRo",Q129="Vehicle carrier"),S129*Alukset_fx!$B$72,IF(Q129="RoPax",S129*Alukset_fx!$B$73,IF(Q129="Container ship",S129*Alukset_fx!$B$70,S129*Alukset_fx!$B$75))))))),"-")</f>
        <v>0</v>
      </c>
      <c r="U129" s="208">
        <f t="shared" si="15"/>
        <v>0</v>
      </c>
      <c r="V129" s="208">
        <f t="shared" si="16"/>
        <v>0</v>
      </c>
      <c r="W129" s="202">
        <f>Alukset_Käynnit!N136</f>
        <v>0</v>
      </c>
      <c r="X129" s="211">
        <f>IF(Q129="Other dry cargo", Alukset_fx!$C$52, IF(OR(Q129="Dry bulk",Q129="Bulk carrier"),Alukset_fx!$C$35,IF(OR(Q129="Tanker",Q129="Gas tanker",Q129="Oil tanker"),Alukset_fx!$C$57,IF(Q129="Chemical tanker",Alukset_fx!$C$56,IF(OR(Q129="Tugboat",Q129="Barge"),0,IF(Q129="Other vessel",Alukset_fx!$C$54,IF(Q129="Container ship",Alukset_fx!$C$37,IF(OR(Q129="RoPax",Q129="RoRo",Q129="Vehicle carrier"),Alukset_fx!$C$55,0))))))))</f>
        <v>0</v>
      </c>
      <c r="Y129" s="211">
        <f>IF(Q129="Other dry cargo", Alukset_fx!$Q$52, IF(OR(Q129="Dry bulk",Q129="Bulk carrier"),Alukset_fx!$Q$35,IF(OR(Q129="Tanker",Q129="Gas tanker",Q129="Oil tanker"),Alukset_fx!$Q$57,IF(Q129="Chemical tanker",Alukset_fx!$Q$56,IF(OR(Q129="Tugboat",Q129="Barge"),0,IF(Q129="Other vessel",Alukset_fx!$Q$54,IF(Q129="Container ship",Alukset_fx!$Q$37,IF(OR(Q129="RoPax",Q129="RoRo",Q129="Vehicle carrier"),Alukset_fx!$Q$55,0))))))))</f>
        <v>0</v>
      </c>
      <c r="Z129" t="str">
        <f t="shared" si="17"/>
        <v>MDO/MGO</v>
      </c>
      <c r="AA129" t="str">
        <f t="shared" si="18"/>
        <v>MSD</v>
      </c>
      <c r="AB129" t="str">
        <f t="shared" si="19"/>
        <v>MDO/MGO</v>
      </c>
      <c r="AC129" t="str">
        <f t="shared" si="20"/>
        <v>MSD</v>
      </c>
      <c r="AD129" t="str">
        <f t="shared" si="21"/>
        <v>MDO/MGO</v>
      </c>
      <c r="AE129" t="str">
        <f t="shared" si="22"/>
        <v>ST</v>
      </c>
      <c r="AG129">
        <f>Alukset_Käynnit!O136</f>
        <v>0</v>
      </c>
      <c r="AH129" s="207">
        <f>IF(AA129="SSD",((U129*Alukset_fx!$B$24)*Alukset_Käynnit_Lask!W129*(Alukset_fx!$K$49)/1000),IF(AA129="MSD",((U129*Alukset_fx!$B$24)*Alukset_Käynnit_Lask!W129*(Alukset_fx!$K$52)/1000),IF(AA129="HSD",((U129*Alukset_fx!$B$24)*Alukset_Käynnit_Lask!W129*(Alukset_fx!$K$55)/1000),0)))</f>
        <v>0</v>
      </c>
      <c r="AI129" s="207">
        <f>IF(AC129="MSD",((V129*Alukset_fx!$B$25)*Alukset_Käynnit_Lask!W129*(Alukset_fx!$L$52)/1000),IF(AC129="HSD",((V129*Alukset_fx!$B$25)*Alukset_Käynnit_Lask!W129*(Alukset_fx!$L$55)/1000),0))</f>
        <v>0</v>
      </c>
      <c r="AJ129" s="207">
        <f>X129*W129*Alukset_fx!$K$61/1000</f>
        <v>0</v>
      </c>
      <c r="AK129">
        <v>0</v>
      </c>
      <c r="AL129" s="207">
        <f>IF(AG129="Käytetty",0,IF(AC129="MSD",((V129*Alukset_fx!$O$25)*Alukset_Käynnit_Lask!O129*(Alukset_fx!$L$52)/1000),IF(AC129="HSD",((V129*Alukset_fx!$O$25)*Alukset_Käynnit_Lask!O129*(Alukset_fx!$L$55)/1000),0)))</f>
        <v>0</v>
      </c>
      <c r="AM129" s="207">
        <f>IF(AG129="Käytetty",0,Y129*O129*Alukset_fx!$K$61/1000)</f>
        <v>0</v>
      </c>
      <c r="AN129" s="213">
        <f t="shared" si="23"/>
        <v>0</v>
      </c>
    </row>
    <row r="130" spans="1:40" x14ac:dyDescent="0.25">
      <c r="A130" s="203">
        <f>Alukset_Käynnit!A137</f>
        <v>0</v>
      </c>
      <c r="B130" s="203">
        <f>Alukset_Käynnit!B137</f>
        <v>0</v>
      </c>
      <c r="C130" s="262">
        <f>Alukset_Käynnit!C137</f>
        <v>0</v>
      </c>
      <c r="D130" s="266">
        <f>Alukset_Käynnit!D137</f>
        <v>0</v>
      </c>
      <c r="E130" s="262">
        <f>Alukset_Käynnit!E137</f>
        <v>0</v>
      </c>
      <c r="F130" s="262">
        <f>Alukset_Käynnit!F137</f>
        <v>0</v>
      </c>
      <c r="G130" s="262">
        <f>Alukset_Käynnit!G137</f>
        <v>0</v>
      </c>
      <c r="H130" s="262">
        <f>Alukset_Käynnit!H137</f>
        <v>0</v>
      </c>
      <c r="I130" s="262">
        <f>Alukset_Käynnit!I137</f>
        <v>0</v>
      </c>
      <c r="J130" s="262">
        <f>Alukset_Käynnit!J137</f>
        <v>0</v>
      </c>
      <c r="K130" s="262">
        <f>Alukset_Käynnit!K137</f>
        <v>0</v>
      </c>
      <c r="L130" s="205">
        <f>Alukset_Käynnit!L137</f>
        <v>0</v>
      </c>
      <c r="N130" s="275">
        <f t="shared" si="25"/>
        <v>0</v>
      </c>
      <c r="O130" s="276">
        <f t="shared" si="24"/>
        <v>0</v>
      </c>
      <c r="P130" s="202"/>
      <c r="Q130" s="204">
        <f t="shared" si="14"/>
        <v>0</v>
      </c>
      <c r="R130" s="202">
        <f>IF(Q130="Other dry cargo",L130*Alukset_fx!$B$71,IF(OR(Q130="Dry bulk",Q130="Bulk carrier"),L130*Alukset_fx!$B$69,IF(Q130="Tugboat",L130*Alukset_fx!$B$76,IF(OR(Q130="Tanker",Q130="Gas tanker",Q130="Chemical tanker",Q130="Oil tanker"),L130*Alukset_fx!$B$68,IF(OR(Q130="RoRo",Q130="Vehicle carrier"),L130*Alukset_fx!$B$72,IF(Q130="RoPax",L130*Alukset_fx!$B$73,IF(Q130="Container ship",L130*Alukset_fx!$B$70,IF(Q130="Barge",0,L130*Alukset_fx!$B$75))))))))</f>
        <v>0</v>
      </c>
      <c r="S130" s="210">
        <f>IF(L130=0,IF(Q130="Other dry cargo",Alukset_fx!$H$73*(Alukset_Käynnit_Lask!K130^Alukset_fx!$I$73),IF(OR(Q130="Dry Bulk",Q130="Bulk carrier"),Alukset_fx!$H$71*(Alukset_Käynnit_Lask!K130^Alukset_fx!$I$71),IF(Q130="Tugboat",Alukset_fx!$H$78*(Alukset_Käynnit_Lask!K130^Alukset_fx!$I$78),IF(OR(Q130="Tanker",Q130="Gas tanker",Q130="Chemical tanker",Q130="Oil tanker"),Alukset_fx!$H$70*(Alukset_Käynnit_Lask!K130^Alukset_fx!$I$70),IF(Q130="Container ship",Alukset_fx!$H$72*(Alukset_Käynnit_Lask!K130^Alukset_fx!$I$72),IF(Q130="Barge",0,IF(Q130="RoPax",Alukset_fx!$H$75*(Alukset_Käynnit_Lask!K130^Alukset_fx!$I$75),IF(OR(Q130="RoRo",Q130="Vehicle carrier"),Alukset_fx!$H$74*(Alukset_Käynnit_Lask!K130^Alukset_fx!$I$74),Alukset_fx!$H$77*(Alukset_Käynnit_Lask!K130^Alukset_fx!$I$77))))))))),"-")</f>
        <v>0</v>
      </c>
      <c r="T130" s="208">
        <f>IF(R130=0,IF(Q130="Other dry cargo",S130*Alukset_fx!$B$71,IF(OR(Q130="Dry bulk",Q130="Bulk carrier"),S130*Alukset_fx!$B$69,IF(Q130="Tugboat",S130*Alukset_fx!$B$76,IF(OR(Q130="Tanker",Q130="Gas tanker",Q130="Chemical tanker",Q130="Oil tanker"),S130*Alukset_fx!$B$68,IF(OR(Q130="RoRo",Q130="Vehicle carrier"),S130*Alukset_fx!$B$72,IF(Q130="RoPax",S130*Alukset_fx!$B$73,IF(Q130="Container ship",S130*Alukset_fx!$B$70,S130*Alukset_fx!$B$75))))))),"-")</f>
        <v>0</v>
      </c>
      <c r="U130" s="208">
        <f t="shared" si="15"/>
        <v>0</v>
      </c>
      <c r="V130" s="208">
        <f t="shared" si="16"/>
        <v>0</v>
      </c>
      <c r="W130" s="202">
        <f>Alukset_Käynnit!N137</f>
        <v>0</v>
      </c>
      <c r="X130" s="211">
        <f>IF(Q130="Other dry cargo", Alukset_fx!$C$52, IF(OR(Q130="Dry bulk",Q130="Bulk carrier"),Alukset_fx!$C$35,IF(OR(Q130="Tanker",Q130="Gas tanker",Q130="Oil tanker"),Alukset_fx!$C$57,IF(Q130="Chemical tanker",Alukset_fx!$C$56,IF(OR(Q130="Tugboat",Q130="Barge"),0,IF(Q130="Other vessel",Alukset_fx!$C$54,IF(Q130="Container ship",Alukset_fx!$C$37,IF(OR(Q130="RoPax",Q130="RoRo",Q130="Vehicle carrier"),Alukset_fx!$C$55,0))))))))</f>
        <v>0</v>
      </c>
      <c r="Y130" s="211">
        <f>IF(Q130="Other dry cargo", Alukset_fx!$Q$52, IF(OR(Q130="Dry bulk",Q130="Bulk carrier"),Alukset_fx!$Q$35,IF(OR(Q130="Tanker",Q130="Gas tanker",Q130="Oil tanker"),Alukset_fx!$Q$57,IF(Q130="Chemical tanker",Alukset_fx!$Q$56,IF(OR(Q130="Tugboat",Q130="Barge"),0,IF(Q130="Other vessel",Alukset_fx!$Q$54,IF(Q130="Container ship",Alukset_fx!$Q$37,IF(OR(Q130="RoPax",Q130="RoRo",Q130="Vehicle carrier"),Alukset_fx!$Q$55,0))))))))</f>
        <v>0</v>
      </c>
      <c r="Z130" t="str">
        <f t="shared" si="17"/>
        <v>MDO/MGO</v>
      </c>
      <c r="AA130" t="str">
        <f t="shared" si="18"/>
        <v>MSD</v>
      </c>
      <c r="AB130" t="str">
        <f t="shared" si="19"/>
        <v>MDO/MGO</v>
      </c>
      <c r="AC130" t="str">
        <f t="shared" si="20"/>
        <v>MSD</v>
      </c>
      <c r="AD130" t="str">
        <f t="shared" si="21"/>
        <v>MDO/MGO</v>
      </c>
      <c r="AE130" t="str">
        <f t="shared" si="22"/>
        <v>ST</v>
      </c>
      <c r="AG130">
        <f>Alukset_Käynnit!O137</f>
        <v>0</v>
      </c>
      <c r="AH130" s="207">
        <f>IF(AA130="SSD",((U130*Alukset_fx!$B$24)*Alukset_Käynnit_Lask!W130*(Alukset_fx!$K$49)/1000),IF(AA130="MSD",((U130*Alukset_fx!$B$24)*Alukset_Käynnit_Lask!W130*(Alukset_fx!$K$52)/1000),IF(AA130="HSD",((U130*Alukset_fx!$B$24)*Alukset_Käynnit_Lask!W130*(Alukset_fx!$K$55)/1000),0)))</f>
        <v>0</v>
      </c>
      <c r="AI130" s="207">
        <f>IF(AC130="MSD",((V130*Alukset_fx!$B$25)*Alukset_Käynnit_Lask!W130*(Alukset_fx!$L$52)/1000),IF(AC130="HSD",((V130*Alukset_fx!$B$25)*Alukset_Käynnit_Lask!W130*(Alukset_fx!$L$55)/1000),0))</f>
        <v>0</v>
      </c>
      <c r="AJ130" s="207">
        <f>X130*W130*Alukset_fx!$K$61/1000</f>
        <v>0</v>
      </c>
      <c r="AK130">
        <v>0</v>
      </c>
      <c r="AL130" s="207">
        <f>IF(AG130="Käytetty",0,IF(AC130="MSD",((V130*Alukset_fx!$O$25)*Alukset_Käynnit_Lask!O130*(Alukset_fx!$L$52)/1000),IF(AC130="HSD",((V130*Alukset_fx!$O$25)*Alukset_Käynnit_Lask!O130*(Alukset_fx!$L$55)/1000),0)))</f>
        <v>0</v>
      </c>
      <c r="AM130" s="207">
        <f>IF(AG130="Käytetty",0,Y130*O130*Alukset_fx!$K$61/1000)</f>
        <v>0</v>
      </c>
      <c r="AN130" s="213">
        <f t="shared" si="23"/>
        <v>0</v>
      </c>
    </row>
    <row r="131" spans="1:40" x14ac:dyDescent="0.25">
      <c r="A131" s="203">
        <f>Alukset_Käynnit!A138</f>
        <v>0</v>
      </c>
      <c r="B131" s="203">
        <f>Alukset_Käynnit!B138</f>
        <v>0</v>
      </c>
      <c r="C131" s="262">
        <f>Alukset_Käynnit!C138</f>
        <v>0</v>
      </c>
      <c r="D131" s="266">
        <f>Alukset_Käynnit!D138</f>
        <v>0</v>
      </c>
      <c r="E131" s="262">
        <f>Alukset_Käynnit!E138</f>
        <v>0</v>
      </c>
      <c r="F131" s="262">
        <f>Alukset_Käynnit!F138</f>
        <v>0</v>
      </c>
      <c r="G131" s="262">
        <f>Alukset_Käynnit!G138</f>
        <v>0</v>
      </c>
      <c r="H131" s="262">
        <f>Alukset_Käynnit!H138</f>
        <v>0</v>
      </c>
      <c r="I131" s="262">
        <f>Alukset_Käynnit!I138</f>
        <v>0</v>
      </c>
      <c r="J131" s="262">
        <f>Alukset_Käynnit!J138</f>
        <v>0</v>
      </c>
      <c r="K131" s="262">
        <f>Alukset_Käynnit!K138</f>
        <v>0</v>
      </c>
      <c r="L131" s="205">
        <f>Alukset_Käynnit!L138</f>
        <v>0</v>
      </c>
      <c r="N131" s="273">
        <f t="shared" si="25"/>
        <v>0</v>
      </c>
      <c r="O131" s="274">
        <f t="shared" si="24"/>
        <v>0</v>
      </c>
      <c r="P131" s="202"/>
      <c r="Q131" s="204">
        <f t="shared" si="14"/>
        <v>0</v>
      </c>
      <c r="R131" s="202">
        <f>IF(Q131="Other dry cargo",L131*Alukset_fx!$B$71,IF(OR(Q131="Dry bulk",Q131="Bulk carrier"),L131*Alukset_fx!$B$69,IF(Q131="Tugboat",L131*Alukset_fx!$B$76,IF(OR(Q131="Tanker",Q131="Gas tanker",Q131="Chemical tanker",Q131="Oil tanker"),L131*Alukset_fx!$B$68,IF(OR(Q131="RoRo",Q131="Vehicle carrier"),L131*Alukset_fx!$B$72,IF(Q131="RoPax",L131*Alukset_fx!$B$73,IF(Q131="Container ship",L131*Alukset_fx!$B$70,IF(Q131="Barge",0,L131*Alukset_fx!$B$75))))))))</f>
        <v>0</v>
      </c>
      <c r="S131" s="210">
        <f>IF(L131=0,IF(Q131="Other dry cargo",Alukset_fx!$H$73*(Alukset_Käynnit_Lask!K131^Alukset_fx!$I$73),IF(OR(Q131="Dry Bulk",Q131="Bulk carrier"),Alukset_fx!$H$71*(Alukset_Käynnit_Lask!K131^Alukset_fx!$I$71),IF(Q131="Tugboat",Alukset_fx!$H$78*(Alukset_Käynnit_Lask!K131^Alukset_fx!$I$78),IF(OR(Q131="Tanker",Q131="Gas tanker",Q131="Chemical tanker",Q131="Oil tanker"),Alukset_fx!$H$70*(Alukset_Käynnit_Lask!K131^Alukset_fx!$I$70),IF(Q131="Container ship",Alukset_fx!$H$72*(Alukset_Käynnit_Lask!K131^Alukset_fx!$I$72),IF(Q131="Barge",0,IF(Q131="RoPax",Alukset_fx!$H$75*(Alukset_Käynnit_Lask!K131^Alukset_fx!$I$75),IF(OR(Q131="RoRo",Q131="Vehicle carrier"),Alukset_fx!$H$74*(Alukset_Käynnit_Lask!K131^Alukset_fx!$I$74),Alukset_fx!$H$77*(Alukset_Käynnit_Lask!K131^Alukset_fx!$I$77))))))))),"-")</f>
        <v>0</v>
      </c>
      <c r="T131" s="208">
        <f>IF(R131=0,IF(Q131="Other dry cargo",S131*Alukset_fx!$B$71,IF(OR(Q131="Dry bulk",Q131="Bulk carrier"),S131*Alukset_fx!$B$69,IF(Q131="Tugboat",S131*Alukset_fx!$B$76,IF(OR(Q131="Tanker",Q131="Gas tanker",Q131="Chemical tanker",Q131="Oil tanker"),S131*Alukset_fx!$B$68,IF(OR(Q131="RoRo",Q131="Vehicle carrier"),S131*Alukset_fx!$B$72,IF(Q131="RoPax",S131*Alukset_fx!$B$73,IF(Q131="Container ship",S131*Alukset_fx!$B$70,S131*Alukset_fx!$B$75))))))),"-")</f>
        <v>0</v>
      </c>
      <c r="U131" s="208">
        <f t="shared" si="15"/>
        <v>0</v>
      </c>
      <c r="V131" s="208">
        <f t="shared" si="16"/>
        <v>0</v>
      </c>
      <c r="W131" s="202">
        <f>Alukset_Käynnit!N138</f>
        <v>0</v>
      </c>
      <c r="X131" s="211">
        <f>IF(Q131="Other dry cargo", Alukset_fx!$C$52, IF(OR(Q131="Dry bulk",Q131="Bulk carrier"),Alukset_fx!$C$35,IF(OR(Q131="Tanker",Q131="Gas tanker",Q131="Oil tanker"),Alukset_fx!$C$57,IF(Q131="Chemical tanker",Alukset_fx!$C$56,IF(OR(Q131="Tugboat",Q131="Barge"),0,IF(Q131="Other vessel",Alukset_fx!$C$54,IF(Q131="Container ship",Alukset_fx!$C$37,IF(OR(Q131="RoPax",Q131="RoRo",Q131="Vehicle carrier"),Alukset_fx!$C$55,0))))))))</f>
        <v>0</v>
      </c>
      <c r="Y131" s="211">
        <f>IF(Q131="Other dry cargo", Alukset_fx!$Q$52, IF(OR(Q131="Dry bulk",Q131="Bulk carrier"),Alukset_fx!$Q$35,IF(OR(Q131="Tanker",Q131="Gas tanker",Q131="Oil tanker"),Alukset_fx!$Q$57,IF(Q131="Chemical tanker",Alukset_fx!$Q$56,IF(OR(Q131="Tugboat",Q131="Barge"),0,IF(Q131="Other vessel",Alukset_fx!$Q$54,IF(Q131="Container ship",Alukset_fx!$Q$37,IF(OR(Q131="RoPax",Q131="RoRo",Q131="Vehicle carrier"),Alukset_fx!$Q$55,0))))))))</f>
        <v>0</v>
      </c>
      <c r="Z131" t="str">
        <f t="shared" si="17"/>
        <v>MDO/MGO</v>
      </c>
      <c r="AA131" t="str">
        <f t="shared" si="18"/>
        <v>MSD</v>
      </c>
      <c r="AB131" t="str">
        <f t="shared" si="19"/>
        <v>MDO/MGO</v>
      </c>
      <c r="AC131" t="str">
        <f t="shared" si="20"/>
        <v>MSD</v>
      </c>
      <c r="AD131" t="str">
        <f t="shared" si="21"/>
        <v>MDO/MGO</v>
      </c>
      <c r="AE131" t="str">
        <f t="shared" si="22"/>
        <v>ST</v>
      </c>
      <c r="AG131">
        <f>Alukset_Käynnit!O138</f>
        <v>0</v>
      </c>
      <c r="AH131" s="207">
        <f>IF(AA131="SSD",((U131*Alukset_fx!$B$24)*Alukset_Käynnit_Lask!W131*(Alukset_fx!$K$49)/1000),IF(AA131="MSD",((U131*Alukset_fx!$B$24)*Alukset_Käynnit_Lask!W131*(Alukset_fx!$K$52)/1000),IF(AA131="HSD",((U131*Alukset_fx!$B$24)*Alukset_Käynnit_Lask!W131*(Alukset_fx!$K$55)/1000),0)))</f>
        <v>0</v>
      </c>
      <c r="AI131" s="207">
        <f>IF(AC131="MSD",((V131*Alukset_fx!$B$25)*Alukset_Käynnit_Lask!W131*(Alukset_fx!$L$52)/1000),IF(AC131="HSD",((V131*Alukset_fx!$B$25)*Alukset_Käynnit_Lask!W131*(Alukset_fx!$L$55)/1000),0))</f>
        <v>0</v>
      </c>
      <c r="AJ131" s="207">
        <f>X131*W131*Alukset_fx!$K$61/1000</f>
        <v>0</v>
      </c>
      <c r="AK131">
        <v>0</v>
      </c>
      <c r="AL131" s="207">
        <f>IF(AG131="Käytetty",0,IF(AC131="MSD",((V131*Alukset_fx!$O$25)*Alukset_Käynnit_Lask!O131*(Alukset_fx!$L$52)/1000),IF(AC131="HSD",((V131*Alukset_fx!$O$25)*Alukset_Käynnit_Lask!O131*(Alukset_fx!$L$55)/1000),0)))</f>
        <v>0</v>
      </c>
      <c r="AM131" s="207">
        <f>IF(AG131="Käytetty",0,Y131*O131*Alukset_fx!$K$61/1000)</f>
        <v>0</v>
      </c>
      <c r="AN131" s="213">
        <f t="shared" si="23"/>
        <v>0</v>
      </c>
    </row>
    <row r="132" spans="1:40" x14ac:dyDescent="0.25">
      <c r="A132" s="203">
        <f>Alukset_Käynnit!A139</f>
        <v>0</v>
      </c>
      <c r="B132" s="203">
        <f>Alukset_Käynnit!B139</f>
        <v>0</v>
      </c>
      <c r="C132" s="262">
        <f>Alukset_Käynnit!C139</f>
        <v>0</v>
      </c>
      <c r="D132" s="266">
        <f>Alukset_Käynnit!D139</f>
        <v>0</v>
      </c>
      <c r="E132" s="262">
        <f>Alukset_Käynnit!E139</f>
        <v>0</v>
      </c>
      <c r="F132" s="262">
        <f>Alukset_Käynnit!F139</f>
        <v>0</v>
      </c>
      <c r="G132" s="262">
        <f>Alukset_Käynnit!G139</f>
        <v>0</v>
      </c>
      <c r="H132" s="262">
        <f>Alukset_Käynnit!H139</f>
        <v>0</v>
      </c>
      <c r="I132" s="262">
        <f>Alukset_Käynnit!I139</f>
        <v>0</v>
      </c>
      <c r="J132" s="262">
        <f>Alukset_Käynnit!J139</f>
        <v>0</v>
      </c>
      <c r="K132" s="262">
        <f>Alukset_Käynnit!K139</f>
        <v>0</v>
      </c>
      <c r="L132" s="205">
        <f>Alukset_Käynnit!L139</f>
        <v>0</v>
      </c>
      <c r="N132" s="273">
        <f t="shared" si="25"/>
        <v>0</v>
      </c>
      <c r="O132" s="274">
        <f t="shared" si="24"/>
        <v>0</v>
      </c>
      <c r="P132" s="202"/>
      <c r="Q132" s="204">
        <f t="shared" si="14"/>
        <v>0</v>
      </c>
      <c r="R132" s="202">
        <f>IF(Q132="Other dry cargo",L132*Alukset_fx!$B$71,IF(OR(Q132="Dry bulk",Q132="Bulk carrier"),L132*Alukset_fx!$B$69,IF(Q132="Tugboat",L132*Alukset_fx!$B$76,IF(OR(Q132="Tanker",Q132="Gas tanker",Q132="Chemical tanker",Q132="Oil tanker"),L132*Alukset_fx!$B$68,IF(OR(Q132="RoRo",Q132="Vehicle carrier"),L132*Alukset_fx!$B$72,IF(Q132="RoPax",L132*Alukset_fx!$B$73,IF(Q132="Container ship",L132*Alukset_fx!$B$70,IF(Q132="Barge",0,L132*Alukset_fx!$B$75))))))))</f>
        <v>0</v>
      </c>
      <c r="S132" s="210">
        <f>IF(L132=0,IF(Q132="Other dry cargo",Alukset_fx!$H$73*(Alukset_Käynnit_Lask!K132^Alukset_fx!$I$73),IF(OR(Q132="Dry Bulk",Q132="Bulk carrier"),Alukset_fx!$H$71*(Alukset_Käynnit_Lask!K132^Alukset_fx!$I$71),IF(Q132="Tugboat",Alukset_fx!$H$78*(Alukset_Käynnit_Lask!K132^Alukset_fx!$I$78),IF(OR(Q132="Tanker",Q132="Gas tanker",Q132="Chemical tanker",Q132="Oil tanker"),Alukset_fx!$H$70*(Alukset_Käynnit_Lask!K132^Alukset_fx!$I$70),IF(Q132="Container ship",Alukset_fx!$H$72*(Alukset_Käynnit_Lask!K132^Alukset_fx!$I$72),IF(Q132="Barge",0,IF(Q132="RoPax",Alukset_fx!$H$75*(Alukset_Käynnit_Lask!K132^Alukset_fx!$I$75),IF(OR(Q132="RoRo",Q132="Vehicle carrier"),Alukset_fx!$H$74*(Alukset_Käynnit_Lask!K132^Alukset_fx!$I$74),Alukset_fx!$H$77*(Alukset_Käynnit_Lask!K132^Alukset_fx!$I$77))))))))),"-")</f>
        <v>0</v>
      </c>
      <c r="T132" s="208">
        <f>IF(R132=0,IF(Q132="Other dry cargo",S132*Alukset_fx!$B$71,IF(OR(Q132="Dry bulk",Q132="Bulk carrier"),S132*Alukset_fx!$B$69,IF(Q132="Tugboat",S132*Alukset_fx!$B$76,IF(OR(Q132="Tanker",Q132="Gas tanker",Q132="Chemical tanker",Q132="Oil tanker"),S132*Alukset_fx!$B$68,IF(OR(Q132="RoRo",Q132="Vehicle carrier"),S132*Alukset_fx!$B$72,IF(Q132="RoPax",S132*Alukset_fx!$B$73,IF(Q132="Container ship",S132*Alukset_fx!$B$70,S132*Alukset_fx!$B$75))))))),"-")</f>
        <v>0</v>
      </c>
      <c r="U132" s="208">
        <f t="shared" si="15"/>
        <v>0</v>
      </c>
      <c r="V132" s="208">
        <f t="shared" si="16"/>
        <v>0</v>
      </c>
      <c r="W132" s="202">
        <f>Alukset_Käynnit!N139</f>
        <v>0</v>
      </c>
      <c r="X132" s="211">
        <f>IF(Q132="Other dry cargo", Alukset_fx!$C$52, IF(OR(Q132="Dry bulk",Q132="Bulk carrier"),Alukset_fx!$C$35,IF(OR(Q132="Tanker",Q132="Gas tanker",Q132="Oil tanker"),Alukset_fx!$C$57,IF(Q132="Chemical tanker",Alukset_fx!$C$56,IF(OR(Q132="Tugboat",Q132="Barge"),0,IF(Q132="Other vessel",Alukset_fx!$C$54,IF(Q132="Container ship",Alukset_fx!$C$37,IF(OR(Q132="RoPax",Q132="RoRo",Q132="Vehicle carrier"),Alukset_fx!$C$55,0))))))))</f>
        <v>0</v>
      </c>
      <c r="Y132" s="211">
        <f>IF(Q132="Other dry cargo", Alukset_fx!$Q$52, IF(OR(Q132="Dry bulk",Q132="Bulk carrier"),Alukset_fx!$Q$35,IF(OR(Q132="Tanker",Q132="Gas tanker",Q132="Oil tanker"),Alukset_fx!$Q$57,IF(Q132="Chemical tanker",Alukset_fx!$Q$56,IF(OR(Q132="Tugboat",Q132="Barge"),0,IF(Q132="Other vessel",Alukset_fx!$Q$54,IF(Q132="Container ship",Alukset_fx!$Q$37,IF(OR(Q132="RoPax",Q132="RoRo",Q132="Vehicle carrier"),Alukset_fx!$Q$55,0))))))))</f>
        <v>0</v>
      </c>
      <c r="Z132" t="str">
        <f t="shared" si="17"/>
        <v>MDO/MGO</v>
      </c>
      <c r="AA132" t="str">
        <f t="shared" si="18"/>
        <v>MSD</v>
      </c>
      <c r="AB132" t="str">
        <f t="shared" si="19"/>
        <v>MDO/MGO</v>
      </c>
      <c r="AC132" t="str">
        <f t="shared" si="20"/>
        <v>MSD</v>
      </c>
      <c r="AD132" t="str">
        <f t="shared" si="21"/>
        <v>MDO/MGO</v>
      </c>
      <c r="AE132" t="str">
        <f t="shared" si="22"/>
        <v>ST</v>
      </c>
      <c r="AG132">
        <f>Alukset_Käynnit!O139</f>
        <v>0</v>
      </c>
      <c r="AH132" s="207">
        <f>IF(AA132="SSD",((U132*Alukset_fx!$B$24)*Alukset_Käynnit_Lask!W132*(Alukset_fx!$K$49)/1000),IF(AA132="MSD",((U132*Alukset_fx!$B$24)*Alukset_Käynnit_Lask!W132*(Alukset_fx!$K$52)/1000),IF(AA132="HSD",((U132*Alukset_fx!$B$24)*Alukset_Käynnit_Lask!W132*(Alukset_fx!$K$55)/1000),0)))</f>
        <v>0</v>
      </c>
      <c r="AI132" s="207">
        <f>IF(AC132="MSD",((V132*Alukset_fx!$B$25)*Alukset_Käynnit_Lask!W132*(Alukset_fx!$L$52)/1000),IF(AC132="HSD",((V132*Alukset_fx!$B$25)*Alukset_Käynnit_Lask!W132*(Alukset_fx!$L$55)/1000),0))</f>
        <v>0</v>
      </c>
      <c r="AJ132" s="207">
        <f>X132*W132*Alukset_fx!$K$61/1000</f>
        <v>0</v>
      </c>
      <c r="AK132">
        <v>0</v>
      </c>
      <c r="AL132" s="207">
        <f>IF(AG132="Käytetty",0,IF(AC132="MSD",((V132*Alukset_fx!$O$25)*Alukset_Käynnit_Lask!O132*(Alukset_fx!$L$52)/1000),IF(AC132="HSD",((V132*Alukset_fx!$O$25)*Alukset_Käynnit_Lask!O132*(Alukset_fx!$L$55)/1000),0)))</f>
        <v>0</v>
      </c>
      <c r="AM132" s="207">
        <f>IF(AG132="Käytetty",0,Y132*O132*Alukset_fx!$K$61/1000)</f>
        <v>0</v>
      </c>
      <c r="AN132" s="213">
        <f t="shared" si="23"/>
        <v>0</v>
      </c>
    </row>
    <row r="133" spans="1:40" x14ac:dyDescent="0.25">
      <c r="A133" s="203">
        <f>Alukset_Käynnit!A140</f>
        <v>0</v>
      </c>
      <c r="B133" s="203">
        <f>Alukset_Käynnit!B140</f>
        <v>0</v>
      </c>
      <c r="C133" s="262">
        <f>Alukset_Käynnit!C140</f>
        <v>0</v>
      </c>
      <c r="D133" s="266">
        <f>Alukset_Käynnit!D140</f>
        <v>0</v>
      </c>
      <c r="E133" s="262">
        <f>Alukset_Käynnit!E140</f>
        <v>0</v>
      </c>
      <c r="F133" s="262">
        <f>Alukset_Käynnit!F140</f>
        <v>0</v>
      </c>
      <c r="G133" s="262">
        <f>Alukset_Käynnit!G140</f>
        <v>0</v>
      </c>
      <c r="H133" s="262">
        <f>Alukset_Käynnit!H140</f>
        <v>0</v>
      </c>
      <c r="I133" s="262">
        <f>Alukset_Käynnit!I140</f>
        <v>0</v>
      </c>
      <c r="J133" s="262">
        <f>Alukset_Käynnit!J140</f>
        <v>0</v>
      </c>
      <c r="K133" s="262">
        <f>Alukset_Käynnit!K140</f>
        <v>0</v>
      </c>
      <c r="L133" s="205">
        <f>Alukset_Käynnit!L140</f>
        <v>0</v>
      </c>
      <c r="N133" s="273">
        <f t="shared" si="25"/>
        <v>0</v>
      </c>
      <c r="O133" s="274">
        <f t="shared" si="24"/>
        <v>0</v>
      </c>
      <c r="P133" s="202"/>
      <c r="Q133" s="204">
        <f t="shared" si="14"/>
        <v>0</v>
      </c>
      <c r="R133" s="202">
        <f>IF(Q133="Other dry cargo",L133*Alukset_fx!$B$71,IF(OR(Q133="Dry bulk",Q133="Bulk carrier"),L133*Alukset_fx!$B$69,IF(Q133="Tugboat",L133*Alukset_fx!$B$76,IF(OR(Q133="Tanker",Q133="Gas tanker",Q133="Chemical tanker",Q133="Oil tanker"),L133*Alukset_fx!$B$68,IF(OR(Q133="RoRo",Q133="Vehicle carrier"),L133*Alukset_fx!$B$72,IF(Q133="RoPax",L133*Alukset_fx!$B$73,IF(Q133="Container ship",L133*Alukset_fx!$B$70,IF(Q133="Barge",0,L133*Alukset_fx!$B$75))))))))</f>
        <v>0</v>
      </c>
      <c r="S133" s="210">
        <f>IF(L133=0,IF(Q133="Other dry cargo",Alukset_fx!$H$73*(Alukset_Käynnit_Lask!K133^Alukset_fx!$I$73),IF(OR(Q133="Dry Bulk",Q133="Bulk carrier"),Alukset_fx!$H$71*(Alukset_Käynnit_Lask!K133^Alukset_fx!$I$71),IF(Q133="Tugboat",Alukset_fx!$H$78*(Alukset_Käynnit_Lask!K133^Alukset_fx!$I$78),IF(OR(Q133="Tanker",Q133="Gas tanker",Q133="Chemical tanker",Q133="Oil tanker"),Alukset_fx!$H$70*(Alukset_Käynnit_Lask!K133^Alukset_fx!$I$70),IF(Q133="Container ship",Alukset_fx!$H$72*(Alukset_Käynnit_Lask!K133^Alukset_fx!$I$72),IF(Q133="Barge",0,IF(Q133="RoPax",Alukset_fx!$H$75*(Alukset_Käynnit_Lask!K133^Alukset_fx!$I$75),IF(OR(Q133="RoRo",Q133="Vehicle carrier"),Alukset_fx!$H$74*(Alukset_Käynnit_Lask!K133^Alukset_fx!$I$74),Alukset_fx!$H$77*(Alukset_Käynnit_Lask!K133^Alukset_fx!$I$77))))))))),"-")</f>
        <v>0</v>
      </c>
      <c r="T133" s="208">
        <f>IF(R133=0,IF(Q133="Other dry cargo",S133*Alukset_fx!$B$71,IF(OR(Q133="Dry bulk",Q133="Bulk carrier"),S133*Alukset_fx!$B$69,IF(Q133="Tugboat",S133*Alukset_fx!$B$76,IF(OR(Q133="Tanker",Q133="Gas tanker",Q133="Chemical tanker",Q133="Oil tanker"),S133*Alukset_fx!$B$68,IF(OR(Q133="RoRo",Q133="Vehicle carrier"),S133*Alukset_fx!$B$72,IF(Q133="RoPax",S133*Alukset_fx!$B$73,IF(Q133="Container ship",S133*Alukset_fx!$B$70,S133*Alukset_fx!$B$75))))))),"-")</f>
        <v>0</v>
      </c>
      <c r="U133" s="208">
        <f t="shared" si="15"/>
        <v>0</v>
      </c>
      <c r="V133" s="208">
        <f t="shared" si="16"/>
        <v>0</v>
      </c>
      <c r="W133" s="202">
        <f>Alukset_Käynnit!N140</f>
        <v>0</v>
      </c>
      <c r="X133" s="211">
        <f>IF(Q133="Other dry cargo", Alukset_fx!$C$52, IF(OR(Q133="Dry bulk",Q133="Bulk carrier"),Alukset_fx!$C$35,IF(OR(Q133="Tanker",Q133="Gas tanker",Q133="Oil tanker"),Alukset_fx!$C$57,IF(Q133="Chemical tanker",Alukset_fx!$C$56,IF(OR(Q133="Tugboat",Q133="Barge"),0,IF(Q133="Other vessel",Alukset_fx!$C$54,IF(Q133="Container ship",Alukset_fx!$C$37,IF(OR(Q133="RoPax",Q133="RoRo",Q133="Vehicle carrier"),Alukset_fx!$C$55,0))))))))</f>
        <v>0</v>
      </c>
      <c r="Y133" s="211">
        <f>IF(Q133="Other dry cargo", Alukset_fx!$Q$52, IF(OR(Q133="Dry bulk",Q133="Bulk carrier"),Alukset_fx!$Q$35,IF(OR(Q133="Tanker",Q133="Gas tanker",Q133="Oil tanker"),Alukset_fx!$Q$57,IF(Q133="Chemical tanker",Alukset_fx!$Q$56,IF(OR(Q133="Tugboat",Q133="Barge"),0,IF(Q133="Other vessel",Alukset_fx!$Q$54,IF(Q133="Container ship",Alukset_fx!$Q$37,IF(OR(Q133="RoPax",Q133="RoRo",Q133="Vehicle carrier"),Alukset_fx!$Q$55,0))))))))</f>
        <v>0</v>
      </c>
      <c r="Z133" t="str">
        <f t="shared" si="17"/>
        <v>MDO/MGO</v>
      </c>
      <c r="AA133" t="str">
        <f t="shared" si="18"/>
        <v>MSD</v>
      </c>
      <c r="AB133" t="str">
        <f t="shared" si="19"/>
        <v>MDO/MGO</v>
      </c>
      <c r="AC133" t="str">
        <f t="shared" si="20"/>
        <v>MSD</v>
      </c>
      <c r="AD133" t="str">
        <f t="shared" si="21"/>
        <v>MDO/MGO</v>
      </c>
      <c r="AE133" t="str">
        <f t="shared" si="22"/>
        <v>ST</v>
      </c>
      <c r="AG133">
        <f>Alukset_Käynnit!O140</f>
        <v>0</v>
      </c>
      <c r="AH133" s="207">
        <f>IF(AA133="SSD",((U133*Alukset_fx!$B$24)*Alukset_Käynnit_Lask!W133*(Alukset_fx!$K$49)/1000),IF(AA133="MSD",((U133*Alukset_fx!$B$24)*Alukset_Käynnit_Lask!W133*(Alukset_fx!$K$52)/1000),IF(AA133="HSD",((U133*Alukset_fx!$B$24)*Alukset_Käynnit_Lask!W133*(Alukset_fx!$K$55)/1000),0)))</f>
        <v>0</v>
      </c>
      <c r="AI133" s="207">
        <f>IF(AC133="MSD",((V133*Alukset_fx!$B$25)*Alukset_Käynnit_Lask!W133*(Alukset_fx!$L$52)/1000),IF(AC133="HSD",((V133*Alukset_fx!$B$25)*Alukset_Käynnit_Lask!W133*(Alukset_fx!$L$55)/1000),0))</f>
        <v>0</v>
      </c>
      <c r="AJ133" s="207">
        <f>X133*W133*Alukset_fx!$K$61/1000</f>
        <v>0</v>
      </c>
      <c r="AK133">
        <v>0</v>
      </c>
      <c r="AL133" s="207">
        <f>IF(AG133="Käytetty",0,IF(AC133="MSD",((V133*Alukset_fx!$O$25)*Alukset_Käynnit_Lask!O133*(Alukset_fx!$L$52)/1000),IF(AC133="HSD",((V133*Alukset_fx!$O$25)*Alukset_Käynnit_Lask!O133*(Alukset_fx!$L$55)/1000),0)))</f>
        <v>0</v>
      </c>
      <c r="AM133" s="207">
        <f>IF(AG133="Käytetty",0,Y133*O133*Alukset_fx!$K$61/1000)</f>
        <v>0</v>
      </c>
      <c r="AN133" s="213">
        <f t="shared" si="23"/>
        <v>0</v>
      </c>
    </row>
    <row r="134" spans="1:40" x14ac:dyDescent="0.25">
      <c r="A134" s="203">
        <f>Alukset_Käynnit!A141</f>
        <v>0</v>
      </c>
      <c r="B134" s="203">
        <f>Alukset_Käynnit!B141</f>
        <v>0</v>
      </c>
      <c r="C134" s="262">
        <f>Alukset_Käynnit!C141</f>
        <v>0</v>
      </c>
      <c r="D134" s="266">
        <f>Alukset_Käynnit!D141</f>
        <v>0</v>
      </c>
      <c r="E134" s="262">
        <f>Alukset_Käynnit!E141</f>
        <v>0</v>
      </c>
      <c r="F134" s="262">
        <f>Alukset_Käynnit!F141</f>
        <v>0</v>
      </c>
      <c r="G134" s="262">
        <f>Alukset_Käynnit!G141</f>
        <v>0</v>
      </c>
      <c r="H134" s="262">
        <f>Alukset_Käynnit!H141</f>
        <v>0</v>
      </c>
      <c r="I134" s="262">
        <f>Alukset_Käynnit!I141</f>
        <v>0</v>
      </c>
      <c r="J134" s="262">
        <f>Alukset_Käynnit!J141</f>
        <v>0</v>
      </c>
      <c r="K134" s="262">
        <f>Alukset_Käynnit!K141</f>
        <v>0</v>
      </c>
      <c r="L134" s="205">
        <f>Alukset_Käynnit!L141</f>
        <v>0</v>
      </c>
      <c r="N134" s="273">
        <f t="shared" si="25"/>
        <v>0</v>
      </c>
      <c r="O134" s="274">
        <f t="shared" si="24"/>
        <v>0</v>
      </c>
      <c r="P134" s="202"/>
      <c r="Q134" s="204">
        <f t="shared" si="14"/>
        <v>0</v>
      </c>
      <c r="R134" s="202">
        <f>IF(Q134="Other dry cargo",L134*Alukset_fx!$B$71,IF(OR(Q134="Dry bulk",Q134="Bulk carrier"),L134*Alukset_fx!$B$69,IF(Q134="Tugboat",L134*Alukset_fx!$B$76,IF(OR(Q134="Tanker",Q134="Gas tanker",Q134="Chemical tanker",Q134="Oil tanker"),L134*Alukset_fx!$B$68,IF(OR(Q134="RoRo",Q134="Vehicle carrier"),L134*Alukset_fx!$B$72,IF(Q134="RoPax",L134*Alukset_fx!$B$73,IF(Q134="Container ship",L134*Alukset_fx!$B$70,IF(Q134="Barge",0,L134*Alukset_fx!$B$75))))))))</f>
        <v>0</v>
      </c>
      <c r="S134" s="210">
        <f>IF(L134=0,IF(Q134="Other dry cargo",Alukset_fx!$H$73*(Alukset_Käynnit_Lask!K134^Alukset_fx!$I$73),IF(OR(Q134="Dry Bulk",Q134="Bulk carrier"),Alukset_fx!$H$71*(Alukset_Käynnit_Lask!K134^Alukset_fx!$I$71),IF(Q134="Tugboat",Alukset_fx!$H$78*(Alukset_Käynnit_Lask!K134^Alukset_fx!$I$78),IF(OR(Q134="Tanker",Q134="Gas tanker",Q134="Chemical tanker",Q134="Oil tanker"),Alukset_fx!$H$70*(Alukset_Käynnit_Lask!K134^Alukset_fx!$I$70),IF(Q134="Container ship",Alukset_fx!$H$72*(Alukset_Käynnit_Lask!K134^Alukset_fx!$I$72),IF(Q134="Barge",0,IF(Q134="RoPax",Alukset_fx!$H$75*(Alukset_Käynnit_Lask!K134^Alukset_fx!$I$75),IF(OR(Q134="RoRo",Q134="Vehicle carrier"),Alukset_fx!$H$74*(Alukset_Käynnit_Lask!K134^Alukset_fx!$I$74),Alukset_fx!$H$77*(Alukset_Käynnit_Lask!K134^Alukset_fx!$I$77))))))))),"-")</f>
        <v>0</v>
      </c>
      <c r="T134" s="208">
        <f>IF(R134=0,IF(Q134="Other dry cargo",S134*Alukset_fx!$B$71,IF(OR(Q134="Dry bulk",Q134="Bulk carrier"),S134*Alukset_fx!$B$69,IF(Q134="Tugboat",S134*Alukset_fx!$B$76,IF(OR(Q134="Tanker",Q134="Gas tanker",Q134="Chemical tanker",Q134="Oil tanker"),S134*Alukset_fx!$B$68,IF(OR(Q134="RoRo",Q134="Vehicle carrier"),S134*Alukset_fx!$B$72,IF(Q134="RoPax",S134*Alukset_fx!$B$73,IF(Q134="Container ship",S134*Alukset_fx!$B$70,S134*Alukset_fx!$B$75))))))),"-")</f>
        <v>0</v>
      </c>
      <c r="U134" s="208">
        <f t="shared" si="15"/>
        <v>0</v>
      </c>
      <c r="V134" s="208">
        <f t="shared" si="16"/>
        <v>0</v>
      </c>
      <c r="W134" s="202">
        <f>Alukset_Käynnit!N141</f>
        <v>0</v>
      </c>
      <c r="X134" s="211">
        <f>IF(Q134="Other dry cargo", Alukset_fx!$C$52, IF(OR(Q134="Dry bulk",Q134="Bulk carrier"),Alukset_fx!$C$35,IF(OR(Q134="Tanker",Q134="Gas tanker",Q134="Oil tanker"),Alukset_fx!$C$57,IF(Q134="Chemical tanker",Alukset_fx!$C$56,IF(OR(Q134="Tugboat",Q134="Barge"),0,IF(Q134="Other vessel",Alukset_fx!$C$54,IF(Q134="Container ship",Alukset_fx!$C$37,IF(OR(Q134="RoPax",Q134="RoRo",Q134="Vehicle carrier"),Alukset_fx!$C$55,0))))))))</f>
        <v>0</v>
      </c>
      <c r="Y134" s="211">
        <f>IF(Q134="Other dry cargo", Alukset_fx!$Q$52, IF(OR(Q134="Dry bulk",Q134="Bulk carrier"),Alukset_fx!$Q$35,IF(OR(Q134="Tanker",Q134="Gas tanker",Q134="Oil tanker"),Alukset_fx!$Q$57,IF(Q134="Chemical tanker",Alukset_fx!$Q$56,IF(OR(Q134="Tugboat",Q134="Barge"),0,IF(Q134="Other vessel",Alukset_fx!$Q$54,IF(Q134="Container ship",Alukset_fx!$Q$37,IF(OR(Q134="RoPax",Q134="RoRo",Q134="Vehicle carrier"),Alukset_fx!$Q$55,0))))))))</f>
        <v>0</v>
      </c>
      <c r="Z134" t="str">
        <f t="shared" si="17"/>
        <v>MDO/MGO</v>
      </c>
      <c r="AA134" t="str">
        <f t="shared" si="18"/>
        <v>MSD</v>
      </c>
      <c r="AB134" t="str">
        <f t="shared" si="19"/>
        <v>MDO/MGO</v>
      </c>
      <c r="AC134" t="str">
        <f t="shared" si="20"/>
        <v>MSD</v>
      </c>
      <c r="AD134" t="str">
        <f t="shared" si="21"/>
        <v>MDO/MGO</v>
      </c>
      <c r="AE134" t="str">
        <f t="shared" si="22"/>
        <v>ST</v>
      </c>
      <c r="AG134">
        <f>Alukset_Käynnit!O141</f>
        <v>0</v>
      </c>
      <c r="AH134" s="207">
        <f>IF(AA134="SSD",((U134*Alukset_fx!$B$24)*Alukset_Käynnit_Lask!W134*(Alukset_fx!$K$49)/1000),IF(AA134="MSD",((U134*Alukset_fx!$B$24)*Alukset_Käynnit_Lask!W134*(Alukset_fx!$K$52)/1000),IF(AA134="HSD",((U134*Alukset_fx!$B$24)*Alukset_Käynnit_Lask!W134*(Alukset_fx!$K$55)/1000),0)))</f>
        <v>0</v>
      </c>
      <c r="AI134" s="207">
        <f>IF(AC134="MSD",((V134*Alukset_fx!$B$25)*Alukset_Käynnit_Lask!W134*(Alukset_fx!$L$52)/1000),IF(AC134="HSD",((V134*Alukset_fx!$B$25)*Alukset_Käynnit_Lask!W134*(Alukset_fx!$L$55)/1000),0))</f>
        <v>0</v>
      </c>
      <c r="AJ134" s="207">
        <f>X134*W134*Alukset_fx!$K$61/1000</f>
        <v>0</v>
      </c>
      <c r="AK134">
        <v>0</v>
      </c>
      <c r="AL134" s="207">
        <f>IF(AG134="Käytetty",0,IF(AC134="MSD",((V134*Alukset_fx!$O$25)*Alukset_Käynnit_Lask!O134*(Alukset_fx!$L$52)/1000),IF(AC134="HSD",((V134*Alukset_fx!$O$25)*Alukset_Käynnit_Lask!O134*(Alukset_fx!$L$55)/1000),0)))</f>
        <v>0</v>
      </c>
      <c r="AM134" s="207">
        <f>IF(AG134="Käytetty",0,Y134*O134*Alukset_fx!$K$61/1000)</f>
        <v>0</v>
      </c>
      <c r="AN134" s="213">
        <f t="shared" si="23"/>
        <v>0</v>
      </c>
    </row>
    <row r="135" spans="1:40" x14ac:dyDescent="0.25">
      <c r="A135" s="203">
        <f>Alukset_Käynnit!A142</f>
        <v>0</v>
      </c>
      <c r="B135" s="203">
        <f>Alukset_Käynnit!B142</f>
        <v>0</v>
      </c>
      <c r="C135" s="262">
        <f>Alukset_Käynnit!C142</f>
        <v>0</v>
      </c>
      <c r="D135" s="266">
        <f>Alukset_Käynnit!D142</f>
        <v>0</v>
      </c>
      <c r="E135" s="262">
        <f>Alukset_Käynnit!E142</f>
        <v>0</v>
      </c>
      <c r="F135" s="262">
        <f>Alukset_Käynnit!F142</f>
        <v>0</v>
      </c>
      <c r="G135" s="262">
        <f>Alukset_Käynnit!G142</f>
        <v>0</v>
      </c>
      <c r="H135" s="262">
        <f>Alukset_Käynnit!H142</f>
        <v>0</v>
      </c>
      <c r="I135" s="262">
        <f>Alukset_Käynnit!I142</f>
        <v>0</v>
      </c>
      <c r="J135" s="262">
        <f>Alukset_Käynnit!J142</f>
        <v>0</v>
      </c>
      <c r="K135" s="262">
        <f>Alukset_Käynnit!K142</f>
        <v>0</v>
      </c>
      <c r="L135" s="205">
        <f>Alukset_Käynnit!L142</f>
        <v>0</v>
      </c>
      <c r="N135" s="273">
        <f t="shared" si="25"/>
        <v>0</v>
      </c>
      <c r="O135" s="274">
        <f t="shared" si="24"/>
        <v>0</v>
      </c>
      <c r="P135" s="202"/>
      <c r="Q135" s="204">
        <f t="shared" si="14"/>
        <v>0</v>
      </c>
      <c r="R135" s="202">
        <f>IF(Q135="Other dry cargo",L135*Alukset_fx!$B$71,IF(OR(Q135="Dry bulk",Q135="Bulk carrier"),L135*Alukset_fx!$B$69,IF(Q135="Tugboat",L135*Alukset_fx!$B$76,IF(OR(Q135="Tanker",Q135="Gas tanker",Q135="Chemical tanker",Q135="Oil tanker"),L135*Alukset_fx!$B$68,IF(OR(Q135="RoRo",Q135="Vehicle carrier"),L135*Alukset_fx!$B$72,IF(Q135="RoPax",L135*Alukset_fx!$B$73,IF(Q135="Container ship",L135*Alukset_fx!$B$70,IF(Q135="Barge",0,L135*Alukset_fx!$B$75))))))))</f>
        <v>0</v>
      </c>
      <c r="S135" s="210">
        <f>IF(L135=0,IF(Q135="Other dry cargo",Alukset_fx!$H$73*(Alukset_Käynnit_Lask!K135^Alukset_fx!$I$73),IF(OR(Q135="Dry Bulk",Q135="Bulk carrier"),Alukset_fx!$H$71*(Alukset_Käynnit_Lask!K135^Alukset_fx!$I$71),IF(Q135="Tugboat",Alukset_fx!$H$78*(Alukset_Käynnit_Lask!K135^Alukset_fx!$I$78),IF(OR(Q135="Tanker",Q135="Gas tanker",Q135="Chemical tanker",Q135="Oil tanker"),Alukset_fx!$H$70*(Alukset_Käynnit_Lask!K135^Alukset_fx!$I$70),IF(Q135="Container ship",Alukset_fx!$H$72*(Alukset_Käynnit_Lask!K135^Alukset_fx!$I$72),IF(Q135="Barge",0,IF(Q135="RoPax",Alukset_fx!$H$75*(Alukset_Käynnit_Lask!K135^Alukset_fx!$I$75),IF(OR(Q135="RoRo",Q135="Vehicle carrier"),Alukset_fx!$H$74*(Alukset_Käynnit_Lask!K135^Alukset_fx!$I$74),Alukset_fx!$H$77*(Alukset_Käynnit_Lask!K135^Alukset_fx!$I$77))))))))),"-")</f>
        <v>0</v>
      </c>
      <c r="T135" s="208">
        <f>IF(R135=0,IF(Q135="Other dry cargo",S135*Alukset_fx!$B$71,IF(OR(Q135="Dry bulk",Q135="Bulk carrier"),S135*Alukset_fx!$B$69,IF(Q135="Tugboat",S135*Alukset_fx!$B$76,IF(OR(Q135="Tanker",Q135="Gas tanker",Q135="Chemical tanker",Q135="Oil tanker"),S135*Alukset_fx!$B$68,IF(OR(Q135="RoRo",Q135="Vehicle carrier"),S135*Alukset_fx!$B$72,IF(Q135="RoPax",S135*Alukset_fx!$B$73,IF(Q135="Container ship",S135*Alukset_fx!$B$70,S135*Alukset_fx!$B$75))))))),"-")</f>
        <v>0</v>
      </c>
      <c r="U135" s="208">
        <f t="shared" si="15"/>
        <v>0</v>
      </c>
      <c r="V135" s="208">
        <f t="shared" si="16"/>
        <v>0</v>
      </c>
      <c r="W135" s="202">
        <f>Alukset_Käynnit!N142</f>
        <v>0</v>
      </c>
      <c r="X135" s="211">
        <f>IF(Q135="Other dry cargo", Alukset_fx!$C$52, IF(OR(Q135="Dry bulk",Q135="Bulk carrier"),Alukset_fx!$C$35,IF(OR(Q135="Tanker",Q135="Gas tanker",Q135="Oil tanker"),Alukset_fx!$C$57,IF(Q135="Chemical tanker",Alukset_fx!$C$56,IF(OR(Q135="Tugboat",Q135="Barge"),0,IF(Q135="Other vessel",Alukset_fx!$C$54,IF(Q135="Container ship",Alukset_fx!$C$37,IF(OR(Q135="RoPax",Q135="RoRo",Q135="Vehicle carrier"),Alukset_fx!$C$55,0))))))))</f>
        <v>0</v>
      </c>
      <c r="Y135" s="211">
        <f>IF(Q135="Other dry cargo", Alukset_fx!$Q$52, IF(OR(Q135="Dry bulk",Q135="Bulk carrier"),Alukset_fx!$Q$35,IF(OR(Q135="Tanker",Q135="Gas tanker",Q135="Oil tanker"),Alukset_fx!$Q$57,IF(Q135="Chemical tanker",Alukset_fx!$Q$56,IF(OR(Q135="Tugboat",Q135="Barge"),0,IF(Q135="Other vessel",Alukset_fx!$Q$54,IF(Q135="Container ship",Alukset_fx!$Q$37,IF(OR(Q135="RoPax",Q135="RoRo",Q135="Vehicle carrier"),Alukset_fx!$Q$55,0))))))))</f>
        <v>0</v>
      </c>
      <c r="Z135" t="str">
        <f t="shared" si="17"/>
        <v>MDO/MGO</v>
      </c>
      <c r="AA135" t="str">
        <f t="shared" si="18"/>
        <v>MSD</v>
      </c>
      <c r="AB135" t="str">
        <f t="shared" si="19"/>
        <v>MDO/MGO</v>
      </c>
      <c r="AC135" t="str">
        <f t="shared" si="20"/>
        <v>MSD</v>
      </c>
      <c r="AD135" t="str">
        <f t="shared" si="21"/>
        <v>MDO/MGO</v>
      </c>
      <c r="AE135" t="str">
        <f t="shared" si="22"/>
        <v>ST</v>
      </c>
      <c r="AG135">
        <f>Alukset_Käynnit!O142</f>
        <v>0</v>
      </c>
      <c r="AH135" s="207">
        <f>IF(AA135="SSD",((U135*Alukset_fx!$B$24)*Alukset_Käynnit_Lask!W135*(Alukset_fx!$K$49)/1000),IF(AA135="MSD",((U135*Alukset_fx!$B$24)*Alukset_Käynnit_Lask!W135*(Alukset_fx!$K$52)/1000),IF(AA135="HSD",((U135*Alukset_fx!$B$24)*Alukset_Käynnit_Lask!W135*(Alukset_fx!$K$55)/1000),0)))</f>
        <v>0</v>
      </c>
      <c r="AI135" s="207">
        <f>IF(AC135="MSD",((V135*Alukset_fx!$B$25)*Alukset_Käynnit_Lask!W135*(Alukset_fx!$L$52)/1000),IF(AC135="HSD",((V135*Alukset_fx!$B$25)*Alukset_Käynnit_Lask!W135*(Alukset_fx!$L$55)/1000),0))</f>
        <v>0</v>
      </c>
      <c r="AJ135" s="207">
        <f>X135*W135*Alukset_fx!$K$61/1000</f>
        <v>0</v>
      </c>
      <c r="AK135">
        <v>0</v>
      </c>
      <c r="AL135" s="207">
        <f>IF(AG135="Käytetty",0,IF(AC135="MSD",((V135*Alukset_fx!$O$25)*Alukset_Käynnit_Lask!O135*(Alukset_fx!$L$52)/1000),IF(AC135="HSD",((V135*Alukset_fx!$O$25)*Alukset_Käynnit_Lask!O135*(Alukset_fx!$L$55)/1000),0)))</f>
        <v>0</v>
      </c>
      <c r="AM135" s="207">
        <f>IF(AG135="Käytetty",0,Y135*O135*Alukset_fx!$K$61/1000)</f>
        <v>0</v>
      </c>
      <c r="AN135" s="213">
        <f t="shared" si="23"/>
        <v>0</v>
      </c>
    </row>
    <row r="136" spans="1:40" x14ac:dyDescent="0.25">
      <c r="A136" s="203">
        <f>Alukset_Käynnit!A143</f>
        <v>0</v>
      </c>
      <c r="B136" s="203">
        <f>Alukset_Käynnit!B143</f>
        <v>0</v>
      </c>
      <c r="C136" s="262">
        <f>Alukset_Käynnit!C143</f>
        <v>0</v>
      </c>
      <c r="D136" s="266">
        <f>Alukset_Käynnit!D143</f>
        <v>0</v>
      </c>
      <c r="E136" s="262">
        <f>Alukset_Käynnit!E143</f>
        <v>0</v>
      </c>
      <c r="F136" s="262">
        <f>Alukset_Käynnit!F143</f>
        <v>0</v>
      </c>
      <c r="G136" s="262">
        <f>Alukset_Käynnit!G143</f>
        <v>0</v>
      </c>
      <c r="H136" s="262">
        <f>Alukset_Käynnit!H143</f>
        <v>0</v>
      </c>
      <c r="I136" s="262">
        <f>Alukset_Käynnit!I143</f>
        <v>0</v>
      </c>
      <c r="J136" s="262">
        <f>Alukset_Käynnit!J143</f>
        <v>0</v>
      </c>
      <c r="K136" s="262">
        <f>Alukset_Käynnit!K143</f>
        <v>0</v>
      </c>
      <c r="L136" s="205">
        <f>Alukset_Käynnit!L143</f>
        <v>0</v>
      </c>
      <c r="N136" s="273">
        <f t="shared" si="25"/>
        <v>0</v>
      </c>
      <c r="O136" s="274">
        <f t="shared" si="24"/>
        <v>0</v>
      </c>
      <c r="P136" s="202"/>
      <c r="Q136" s="204">
        <f t="shared" si="14"/>
        <v>0</v>
      </c>
      <c r="R136" s="202">
        <f>IF(Q136="Other dry cargo",L136*Alukset_fx!$B$71,IF(OR(Q136="Dry bulk",Q136="Bulk carrier"),L136*Alukset_fx!$B$69,IF(Q136="Tugboat",L136*Alukset_fx!$B$76,IF(OR(Q136="Tanker",Q136="Gas tanker",Q136="Chemical tanker",Q136="Oil tanker"),L136*Alukset_fx!$B$68,IF(OR(Q136="RoRo",Q136="Vehicle carrier"),L136*Alukset_fx!$B$72,IF(Q136="RoPax",L136*Alukset_fx!$B$73,IF(Q136="Container ship",L136*Alukset_fx!$B$70,IF(Q136="Barge",0,L136*Alukset_fx!$B$75))))))))</f>
        <v>0</v>
      </c>
      <c r="S136" s="210">
        <f>IF(L136=0,IF(Q136="Other dry cargo",Alukset_fx!$H$73*(Alukset_Käynnit_Lask!K136^Alukset_fx!$I$73),IF(OR(Q136="Dry Bulk",Q136="Bulk carrier"),Alukset_fx!$H$71*(Alukset_Käynnit_Lask!K136^Alukset_fx!$I$71),IF(Q136="Tugboat",Alukset_fx!$H$78*(Alukset_Käynnit_Lask!K136^Alukset_fx!$I$78),IF(OR(Q136="Tanker",Q136="Gas tanker",Q136="Chemical tanker",Q136="Oil tanker"),Alukset_fx!$H$70*(Alukset_Käynnit_Lask!K136^Alukset_fx!$I$70),IF(Q136="Container ship",Alukset_fx!$H$72*(Alukset_Käynnit_Lask!K136^Alukset_fx!$I$72),IF(Q136="Barge",0,IF(Q136="RoPax",Alukset_fx!$H$75*(Alukset_Käynnit_Lask!K136^Alukset_fx!$I$75),IF(OR(Q136="RoRo",Q136="Vehicle carrier"),Alukset_fx!$H$74*(Alukset_Käynnit_Lask!K136^Alukset_fx!$I$74),Alukset_fx!$H$77*(Alukset_Käynnit_Lask!K136^Alukset_fx!$I$77))))))))),"-")</f>
        <v>0</v>
      </c>
      <c r="T136" s="208">
        <f>IF(R136=0,IF(Q136="Other dry cargo",S136*Alukset_fx!$B$71,IF(OR(Q136="Dry bulk",Q136="Bulk carrier"),S136*Alukset_fx!$B$69,IF(Q136="Tugboat",S136*Alukset_fx!$B$76,IF(OR(Q136="Tanker",Q136="Gas tanker",Q136="Chemical tanker",Q136="Oil tanker"),S136*Alukset_fx!$B$68,IF(OR(Q136="RoRo",Q136="Vehicle carrier"),S136*Alukset_fx!$B$72,IF(Q136="RoPax",S136*Alukset_fx!$B$73,IF(Q136="Container ship",S136*Alukset_fx!$B$70,S136*Alukset_fx!$B$75))))))),"-")</f>
        <v>0</v>
      </c>
      <c r="U136" s="208">
        <f t="shared" si="15"/>
        <v>0</v>
      </c>
      <c r="V136" s="208">
        <f t="shared" si="16"/>
        <v>0</v>
      </c>
      <c r="W136" s="202">
        <f>Alukset_Käynnit!N143</f>
        <v>0</v>
      </c>
      <c r="X136" s="211">
        <f>IF(Q136="Other dry cargo", Alukset_fx!$C$52, IF(OR(Q136="Dry bulk",Q136="Bulk carrier"),Alukset_fx!$C$35,IF(OR(Q136="Tanker",Q136="Gas tanker",Q136="Oil tanker"),Alukset_fx!$C$57,IF(Q136="Chemical tanker",Alukset_fx!$C$56,IF(OR(Q136="Tugboat",Q136="Barge"),0,IF(Q136="Other vessel",Alukset_fx!$C$54,IF(Q136="Container ship",Alukset_fx!$C$37,IF(OR(Q136="RoPax",Q136="RoRo",Q136="Vehicle carrier"),Alukset_fx!$C$55,0))))))))</f>
        <v>0</v>
      </c>
      <c r="Y136" s="211">
        <f>IF(Q136="Other dry cargo", Alukset_fx!$Q$52, IF(OR(Q136="Dry bulk",Q136="Bulk carrier"),Alukset_fx!$Q$35,IF(OR(Q136="Tanker",Q136="Gas tanker",Q136="Oil tanker"),Alukset_fx!$Q$57,IF(Q136="Chemical tanker",Alukset_fx!$Q$56,IF(OR(Q136="Tugboat",Q136="Barge"),0,IF(Q136="Other vessel",Alukset_fx!$Q$54,IF(Q136="Container ship",Alukset_fx!$Q$37,IF(OR(Q136="RoPax",Q136="RoRo",Q136="Vehicle carrier"),Alukset_fx!$Q$55,0))))))))</f>
        <v>0</v>
      </c>
      <c r="Z136" t="str">
        <f t="shared" si="17"/>
        <v>MDO/MGO</v>
      </c>
      <c r="AA136" t="str">
        <f t="shared" si="18"/>
        <v>MSD</v>
      </c>
      <c r="AB136" t="str">
        <f t="shared" si="19"/>
        <v>MDO/MGO</v>
      </c>
      <c r="AC136" t="str">
        <f t="shared" si="20"/>
        <v>MSD</v>
      </c>
      <c r="AD136" t="str">
        <f t="shared" si="21"/>
        <v>MDO/MGO</v>
      </c>
      <c r="AE136" t="str">
        <f t="shared" si="22"/>
        <v>ST</v>
      </c>
      <c r="AG136">
        <f>Alukset_Käynnit!O143</f>
        <v>0</v>
      </c>
      <c r="AH136" s="207">
        <f>IF(AA136="SSD",((U136*Alukset_fx!$B$24)*Alukset_Käynnit_Lask!W136*(Alukset_fx!$K$49)/1000),IF(AA136="MSD",((U136*Alukset_fx!$B$24)*Alukset_Käynnit_Lask!W136*(Alukset_fx!$K$52)/1000),IF(AA136="HSD",((U136*Alukset_fx!$B$24)*Alukset_Käynnit_Lask!W136*(Alukset_fx!$K$55)/1000),0)))</f>
        <v>0</v>
      </c>
      <c r="AI136" s="207">
        <f>IF(AC136="MSD",((V136*Alukset_fx!$B$25)*Alukset_Käynnit_Lask!W136*(Alukset_fx!$L$52)/1000),IF(AC136="HSD",((V136*Alukset_fx!$B$25)*Alukset_Käynnit_Lask!W136*(Alukset_fx!$L$55)/1000),0))</f>
        <v>0</v>
      </c>
      <c r="AJ136" s="207">
        <f>X136*W136*Alukset_fx!$K$61/1000</f>
        <v>0</v>
      </c>
      <c r="AK136">
        <v>0</v>
      </c>
      <c r="AL136" s="207">
        <f>IF(AG136="Käytetty",0,IF(AC136="MSD",((V136*Alukset_fx!$O$25)*Alukset_Käynnit_Lask!O136*(Alukset_fx!$L$52)/1000),IF(AC136="HSD",((V136*Alukset_fx!$O$25)*Alukset_Käynnit_Lask!O136*(Alukset_fx!$L$55)/1000),0)))</f>
        <v>0</v>
      </c>
      <c r="AM136" s="207">
        <f>IF(AG136="Käytetty",0,Y136*O136*Alukset_fx!$K$61/1000)</f>
        <v>0</v>
      </c>
      <c r="AN136" s="213">
        <f t="shared" si="23"/>
        <v>0</v>
      </c>
    </row>
    <row r="137" spans="1:40" x14ac:dyDescent="0.25">
      <c r="A137" s="203">
        <f>Alukset_Käynnit!A144</f>
        <v>0</v>
      </c>
      <c r="B137" s="203">
        <f>Alukset_Käynnit!B144</f>
        <v>0</v>
      </c>
      <c r="C137" s="262">
        <f>Alukset_Käynnit!C144</f>
        <v>0</v>
      </c>
      <c r="D137" s="266">
        <f>Alukset_Käynnit!D144</f>
        <v>0</v>
      </c>
      <c r="E137" s="262">
        <f>Alukset_Käynnit!E144</f>
        <v>0</v>
      </c>
      <c r="F137" s="262">
        <f>Alukset_Käynnit!F144</f>
        <v>0</v>
      </c>
      <c r="G137" s="262">
        <f>Alukset_Käynnit!G144</f>
        <v>0</v>
      </c>
      <c r="H137" s="262">
        <f>Alukset_Käynnit!H144</f>
        <v>0</v>
      </c>
      <c r="I137" s="262">
        <f>Alukset_Käynnit!I144</f>
        <v>0</v>
      </c>
      <c r="J137" s="262">
        <f>Alukset_Käynnit!J144</f>
        <v>0</v>
      </c>
      <c r="K137" s="262">
        <f>Alukset_Käynnit!K144</f>
        <v>0</v>
      </c>
      <c r="L137" s="205">
        <f>Alukset_Käynnit!L144</f>
        <v>0</v>
      </c>
      <c r="N137" s="273">
        <f t="shared" si="25"/>
        <v>0</v>
      </c>
      <c r="O137" s="274">
        <f t="shared" si="24"/>
        <v>0</v>
      </c>
      <c r="P137" s="202"/>
      <c r="Q137" s="204">
        <f t="shared" si="14"/>
        <v>0</v>
      </c>
      <c r="R137" s="202">
        <f>IF(Q137="Other dry cargo",L137*Alukset_fx!$B$71,IF(OR(Q137="Dry bulk",Q137="Bulk carrier"),L137*Alukset_fx!$B$69,IF(Q137="Tugboat",L137*Alukset_fx!$B$76,IF(OR(Q137="Tanker",Q137="Gas tanker",Q137="Chemical tanker",Q137="Oil tanker"),L137*Alukset_fx!$B$68,IF(OR(Q137="RoRo",Q137="Vehicle carrier"),L137*Alukset_fx!$B$72,IF(Q137="RoPax",L137*Alukset_fx!$B$73,IF(Q137="Container ship",L137*Alukset_fx!$B$70,IF(Q137="Barge",0,L137*Alukset_fx!$B$75))))))))</f>
        <v>0</v>
      </c>
      <c r="S137" s="210">
        <f>IF(L137=0,IF(Q137="Other dry cargo",Alukset_fx!$H$73*(Alukset_Käynnit_Lask!K137^Alukset_fx!$I$73),IF(OR(Q137="Dry Bulk",Q137="Bulk carrier"),Alukset_fx!$H$71*(Alukset_Käynnit_Lask!K137^Alukset_fx!$I$71),IF(Q137="Tugboat",Alukset_fx!$H$78*(Alukset_Käynnit_Lask!K137^Alukset_fx!$I$78),IF(OR(Q137="Tanker",Q137="Gas tanker",Q137="Chemical tanker",Q137="Oil tanker"),Alukset_fx!$H$70*(Alukset_Käynnit_Lask!K137^Alukset_fx!$I$70),IF(Q137="Container ship",Alukset_fx!$H$72*(Alukset_Käynnit_Lask!K137^Alukset_fx!$I$72),IF(Q137="Barge",0,IF(Q137="RoPax",Alukset_fx!$H$75*(Alukset_Käynnit_Lask!K137^Alukset_fx!$I$75),IF(OR(Q137="RoRo",Q137="Vehicle carrier"),Alukset_fx!$H$74*(Alukset_Käynnit_Lask!K137^Alukset_fx!$I$74),Alukset_fx!$H$77*(Alukset_Käynnit_Lask!K137^Alukset_fx!$I$77))))))))),"-")</f>
        <v>0</v>
      </c>
      <c r="T137" s="208">
        <f>IF(R137=0,IF(Q137="Other dry cargo",S137*Alukset_fx!$B$71,IF(OR(Q137="Dry bulk",Q137="Bulk carrier"),S137*Alukset_fx!$B$69,IF(Q137="Tugboat",S137*Alukset_fx!$B$76,IF(OR(Q137="Tanker",Q137="Gas tanker",Q137="Chemical tanker",Q137="Oil tanker"),S137*Alukset_fx!$B$68,IF(OR(Q137="RoRo",Q137="Vehicle carrier"),S137*Alukset_fx!$B$72,IF(Q137="RoPax",S137*Alukset_fx!$B$73,IF(Q137="Container ship",S137*Alukset_fx!$B$70,S137*Alukset_fx!$B$75))))))),"-")</f>
        <v>0</v>
      </c>
      <c r="U137" s="208">
        <f t="shared" si="15"/>
        <v>0</v>
      </c>
      <c r="V137" s="208">
        <f t="shared" si="16"/>
        <v>0</v>
      </c>
      <c r="W137" s="202">
        <f>Alukset_Käynnit!N144</f>
        <v>0</v>
      </c>
      <c r="X137" s="211">
        <f>IF(Q137="Other dry cargo", Alukset_fx!$C$52, IF(OR(Q137="Dry bulk",Q137="Bulk carrier"),Alukset_fx!$C$35,IF(OR(Q137="Tanker",Q137="Gas tanker",Q137="Oil tanker"),Alukset_fx!$C$57,IF(Q137="Chemical tanker",Alukset_fx!$C$56,IF(OR(Q137="Tugboat",Q137="Barge"),0,IF(Q137="Other vessel",Alukset_fx!$C$54,IF(Q137="Container ship",Alukset_fx!$C$37,IF(OR(Q137="RoPax",Q137="RoRo",Q137="Vehicle carrier"),Alukset_fx!$C$55,0))))))))</f>
        <v>0</v>
      </c>
      <c r="Y137" s="211">
        <f>IF(Q137="Other dry cargo", Alukset_fx!$Q$52, IF(OR(Q137="Dry bulk",Q137="Bulk carrier"),Alukset_fx!$Q$35,IF(OR(Q137="Tanker",Q137="Gas tanker",Q137="Oil tanker"),Alukset_fx!$Q$57,IF(Q137="Chemical tanker",Alukset_fx!$Q$56,IF(OR(Q137="Tugboat",Q137="Barge"),0,IF(Q137="Other vessel",Alukset_fx!$Q$54,IF(Q137="Container ship",Alukset_fx!$Q$37,IF(OR(Q137="RoPax",Q137="RoRo",Q137="Vehicle carrier"),Alukset_fx!$Q$55,0))))))))</f>
        <v>0</v>
      </c>
      <c r="Z137" t="str">
        <f t="shared" si="17"/>
        <v>MDO/MGO</v>
      </c>
      <c r="AA137" t="str">
        <f t="shared" si="18"/>
        <v>MSD</v>
      </c>
      <c r="AB137" t="str">
        <f t="shared" si="19"/>
        <v>MDO/MGO</v>
      </c>
      <c r="AC137" t="str">
        <f t="shared" si="20"/>
        <v>MSD</v>
      </c>
      <c r="AD137" t="str">
        <f t="shared" si="21"/>
        <v>MDO/MGO</v>
      </c>
      <c r="AE137" t="str">
        <f t="shared" si="22"/>
        <v>ST</v>
      </c>
      <c r="AG137">
        <f>Alukset_Käynnit!O144</f>
        <v>0</v>
      </c>
      <c r="AH137" s="207">
        <f>IF(AA137="SSD",((U137*Alukset_fx!$B$24)*Alukset_Käynnit_Lask!W137*(Alukset_fx!$K$49)/1000),IF(AA137="MSD",((U137*Alukset_fx!$B$24)*Alukset_Käynnit_Lask!W137*(Alukset_fx!$K$52)/1000),IF(AA137="HSD",((U137*Alukset_fx!$B$24)*Alukset_Käynnit_Lask!W137*(Alukset_fx!$K$55)/1000),0)))</f>
        <v>0</v>
      </c>
      <c r="AI137" s="207">
        <f>IF(AC137="MSD",((V137*Alukset_fx!$B$25)*Alukset_Käynnit_Lask!W137*(Alukset_fx!$L$52)/1000),IF(AC137="HSD",((V137*Alukset_fx!$B$25)*Alukset_Käynnit_Lask!W137*(Alukset_fx!$L$55)/1000),0))</f>
        <v>0</v>
      </c>
      <c r="AJ137" s="207">
        <f>X137*W137*Alukset_fx!$K$61/1000</f>
        <v>0</v>
      </c>
      <c r="AK137">
        <v>0</v>
      </c>
      <c r="AL137" s="207">
        <f>IF(AG137="Käytetty",0,IF(AC137="MSD",((V137*Alukset_fx!$O$25)*Alukset_Käynnit_Lask!O137*(Alukset_fx!$L$52)/1000),IF(AC137="HSD",((V137*Alukset_fx!$O$25)*Alukset_Käynnit_Lask!O137*(Alukset_fx!$L$55)/1000),0)))</f>
        <v>0</v>
      </c>
      <c r="AM137" s="207">
        <f>IF(AG137="Käytetty",0,Y137*O137*Alukset_fx!$K$61/1000)</f>
        <v>0</v>
      </c>
      <c r="AN137" s="213">
        <f t="shared" si="23"/>
        <v>0</v>
      </c>
    </row>
    <row r="138" spans="1:40" x14ac:dyDescent="0.25">
      <c r="A138" s="203">
        <f>Alukset_Käynnit!A145</f>
        <v>0</v>
      </c>
      <c r="B138" s="203">
        <f>Alukset_Käynnit!B145</f>
        <v>0</v>
      </c>
      <c r="C138" s="262">
        <f>Alukset_Käynnit!C145</f>
        <v>0</v>
      </c>
      <c r="D138" s="266">
        <f>Alukset_Käynnit!D145</f>
        <v>0</v>
      </c>
      <c r="E138" s="262">
        <f>Alukset_Käynnit!E145</f>
        <v>0</v>
      </c>
      <c r="F138" s="262">
        <f>Alukset_Käynnit!F145</f>
        <v>0</v>
      </c>
      <c r="G138" s="262">
        <f>Alukset_Käynnit!G145</f>
        <v>0</v>
      </c>
      <c r="H138" s="262">
        <f>Alukset_Käynnit!H145</f>
        <v>0</v>
      </c>
      <c r="I138" s="262">
        <f>Alukset_Käynnit!I145</f>
        <v>0</v>
      </c>
      <c r="J138" s="262">
        <f>Alukset_Käynnit!J145</f>
        <v>0</v>
      </c>
      <c r="K138" s="262">
        <f>Alukset_Käynnit!K145</f>
        <v>0</v>
      </c>
      <c r="L138" s="205">
        <f>Alukset_Käynnit!L145</f>
        <v>0</v>
      </c>
      <c r="N138" s="273">
        <f t="shared" si="25"/>
        <v>0</v>
      </c>
      <c r="O138" s="274">
        <f t="shared" si="24"/>
        <v>0</v>
      </c>
      <c r="P138" s="202"/>
      <c r="Q138" s="204">
        <f t="shared" si="14"/>
        <v>0</v>
      </c>
      <c r="R138" s="202">
        <f>IF(Q138="Other dry cargo",L138*Alukset_fx!$B$71,IF(OR(Q138="Dry bulk",Q138="Bulk carrier"),L138*Alukset_fx!$B$69,IF(Q138="Tugboat",L138*Alukset_fx!$B$76,IF(OR(Q138="Tanker",Q138="Gas tanker",Q138="Chemical tanker",Q138="Oil tanker"),L138*Alukset_fx!$B$68,IF(OR(Q138="RoRo",Q138="Vehicle carrier"),L138*Alukset_fx!$B$72,IF(Q138="RoPax",L138*Alukset_fx!$B$73,IF(Q138="Container ship",L138*Alukset_fx!$B$70,IF(Q138="Barge",0,L138*Alukset_fx!$B$75))))))))</f>
        <v>0</v>
      </c>
      <c r="S138" s="210">
        <f>IF(L138=0,IF(Q138="Other dry cargo",Alukset_fx!$H$73*(Alukset_Käynnit_Lask!K138^Alukset_fx!$I$73),IF(OR(Q138="Dry Bulk",Q138="Bulk carrier"),Alukset_fx!$H$71*(Alukset_Käynnit_Lask!K138^Alukset_fx!$I$71),IF(Q138="Tugboat",Alukset_fx!$H$78*(Alukset_Käynnit_Lask!K138^Alukset_fx!$I$78),IF(OR(Q138="Tanker",Q138="Gas tanker",Q138="Chemical tanker",Q138="Oil tanker"),Alukset_fx!$H$70*(Alukset_Käynnit_Lask!K138^Alukset_fx!$I$70),IF(Q138="Container ship",Alukset_fx!$H$72*(Alukset_Käynnit_Lask!K138^Alukset_fx!$I$72),IF(Q138="Barge",0,IF(Q138="RoPax",Alukset_fx!$H$75*(Alukset_Käynnit_Lask!K138^Alukset_fx!$I$75),IF(OR(Q138="RoRo",Q138="Vehicle carrier"),Alukset_fx!$H$74*(Alukset_Käynnit_Lask!K138^Alukset_fx!$I$74),Alukset_fx!$H$77*(Alukset_Käynnit_Lask!K138^Alukset_fx!$I$77))))))))),"-")</f>
        <v>0</v>
      </c>
      <c r="T138" s="208">
        <f>IF(R138=0,IF(Q138="Other dry cargo",S138*Alukset_fx!$B$71,IF(OR(Q138="Dry bulk",Q138="Bulk carrier"),S138*Alukset_fx!$B$69,IF(Q138="Tugboat",S138*Alukset_fx!$B$76,IF(OR(Q138="Tanker",Q138="Gas tanker",Q138="Chemical tanker",Q138="Oil tanker"),S138*Alukset_fx!$B$68,IF(OR(Q138="RoRo",Q138="Vehicle carrier"),S138*Alukset_fx!$B$72,IF(Q138="RoPax",S138*Alukset_fx!$B$73,IF(Q138="Container ship",S138*Alukset_fx!$B$70,S138*Alukset_fx!$B$75))))))),"-")</f>
        <v>0</v>
      </c>
      <c r="U138" s="208">
        <f t="shared" si="15"/>
        <v>0</v>
      </c>
      <c r="V138" s="208">
        <f t="shared" si="16"/>
        <v>0</v>
      </c>
      <c r="W138" s="202">
        <f>Alukset_Käynnit!N145</f>
        <v>0</v>
      </c>
      <c r="X138" s="211">
        <f>IF(Q138="Other dry cargo", Alukset_fx!$C$52, IF(OR(Q138="Dry bulk",Q138="Bulk carrier"),Alukset_fx!$C$35,IF(OR(Q138="Tanker",Q138="Gas tanker",Q138="Oil tanker"),Alukset_fx!$C$57,IF(Q138="Chemical tanker",Alukset_fx!$C$56,IF(OR(Q138="Tugboat",Q138="Barge"),0,IF(Q138="Other vessel",Alukset_fx!$C$54,IF(Q138="Container ship",Alukset_fx!$C$37,IF(OR(Q138="RoPax",Q138="RoRo",Q138="Vehicle carrier"),Alukset_fx!$C$55,0))))))))</f>
        <v>0</v>
      </c>
      <c r="Y138" s="211">
        <f>IF(Q138="Other dry cargo", Alukset_fx!$Q$52, IF(OR(Q138="Dry bulk",Q138="Bulk carrier"),Alukset_fx!$Q$35,IF(OR(Q138="Tanker",Q138="Gas tanker",Q138="Oil tanker"),Alukset_fx!$Q$57,IF(Q138="Chemical tanker",Alukset_fx!$Q$56,IF(OR(Q138="Tugboat",Q138="Barge"),0,IF(Q138="Other vessel",Alukset_fx!$Q$54,IF(Q138="Container ship",Alukset_fx!$Q$37,IF(OR(Q138="RoPax",Q138="RoRo",Q138="Vehicle carrier"),Alukset_fx!$Q$55,0))))))))</f>
        <v>0</v>
      </c>
      <c r="Z138" t="str">
        <f t="shared" si="17"/>
        <v>MDO/MGO</v>
      </c>
      <c r="AA138" t="str">
        <f t="shared" si="18"/>
        <v>MSD</v>
      </c>
      <c r="AB138" t="str">
        <f t="shared" si="19"/>
        <v>MDO/MGO</v>
      </c>
      <c r="AC138" t="str">
        <f t="shared" si="20"/>
        <v>MSD</v>
      </c>
      <c r="AD138" t="str">
        <f t="shared" si="21"/>
        <v>MDO/MGO</v>
      </c>
      <c r="AE138" t="str">
        <f t="shared" si="22"/>
        <v>ST</v>
      </c>
      <c r="AG138">
        <f>Alukset_Käynnit!O145</f>
        <v>0</v>
      </c>
      <c r="AH138" s="207">
        <f>IF(AA138="SSD",((U138*Alukset_fx!$B$24)*Alukset_Käynnit_Lask!W138*(Alukset_fx!$K$49)/1000),IF(AA138="MSD",((U138*Alukset_fx!$B$24)*Alukset_Käynnit_Lask!W138*(Alukset_fx!$K$52)/1000),IF(AA138="HSD",((U138*Alukset_fx!$B$24)*Alukset_Käynnit_Lask!W138*(Alukset_fx!$K$55)/1000),0)))</f>
        <v>0</v>
      </c>
      <c r="AI138" s="207">
        <f>IF(AC138="MSD",((V138*Alukset_fx!$B$25)*Alukset_Käynnit_Lask!W138*(Alukset_fx!$L$52)/1000),IF(AC138="HSD",((V138*Alukset_fx!$B$25)*Alukset_Käynnit_Lask!W138*(Alukset_fx!$L$55)/1000),0))</f>
        <v>0</v>
      </c>
      <c r="AJ138" s="207">
        <f>X138*W138*Alukset_fx!$K$61/1000</f>
        <v>0</v>
      </c>
      <c r="AK138">
        <v>0</v>
      </c>
      <c r="AL138" s="207">
        <f>IF(AG138="Käytetty",0,IF(AC138="MSD",((V138*Alukset_fx!$O$25)*Alukset_Käynnit_Lask!O138*(Alukset_fx!$L$52)/1000),IF(AC138="HSD",((V138*Alukset_fx!$O$25)*Alukset_Käynnit_Lask!O138*(Alukset_fx!$L$55)/1000),0)))</f>
        <v>0</v>
      </c>
      <c r="AM138" s="207">
        <f>IF(AG138="Käytetty",0,Y138*O138*Alukset_fx!$K$61/1000)</f>
        <v>0</v>
      </c>
      <c r="AN138" s="213">
        <f t="shared" si="23"/>
        <v>0</v>
      </c>
    </row>
    <row r="139" spans="1:40" x14ac:dyDescent="0.25">
      <c r="A139" s="203">
        <f>Alukset_Käynnit!A146</f>
        <v>0</v>
      </c>
      <c r="B139" s="203">
        <f>Alukset_Käynnit!B146</f>
        <v>0</v>
      </c>
      <c r="C139" s="262">
        <f>Alukset_Käynnit!C146</f>
        <v>0</v>
      </c>
      <c r="D139" s="266">
        <f>Alukset_Käynnit!D146</f>
        <v>0</v>
      </c>
      <c r="E139" s="262">
        <f>Alukset_Käynnit!E146</f>
        <v>0</v>
      </c>
      <c r="F139" s="262">
        <f>Alukset_Käynnit!F146</f>
        <v>0</v>
      </c>
      <c r="G139" s="262">
        <f>Alukset_Käynnit!G146</f>
        <v>0</v>
      </c>
      <c r="H139" s="262">
        <f>Alukset_Käynnit!H146</f>
        <v>0</v>
      </c>
      <c r="I139" s="262">
        <f>Alukset_Käynnit!I146</f>
        <v>0</v>
      </c>
      <c r="J139" s="262">
        <f>Alukset_Käynnit!J146</f>
        <v>0</v>
      </c>
      <c r="K139" s="262">
        <f>Alukset_Käynnit!K146</f>
        <v>0</v>
      </c>
      <c r="L139" s="205">
        <f>Alukset_Käynnit!L146</f>
        <v>0</v>
      </c>
      <c r="N139" s="275">
        <f t="shared" si="25"/>
        <v>0</v>
      </c>
      <c r="O139" s="276">
        <f t="shared" si="24"/>
        <v>0</v>
      </c>
      <c r="P139" s="202"/>
      <c r="Q139" s="204">
        <f t="shared" si="14"/>
        <v>0</v>
      </c>
      <c r="R139" s="202">
        <f>IF(Q139="Other dry cargo",L139*Alukset_fx!$B$71,IF(OR(Q139="Dry bulk",Q139="Bulk carrier"),L139*Alukset_fx!$B$69,IF(Q139="Tugboat",L139*Alukset_fx!$B$76,IF(OR(Q139="Tanker",Q139="Gas tanker",Q139="Chemical tanker",Q139="Oil tanker"),L139*Alukset_fx!$B$68,IF(OR(Q139="RoRo",Q139="Vehicle carrier"),L139*Alukset_fx!$B$72,IF(Q139="RoPax",L139*Alukset_fx!$B$73,IF(Q139="Container ship",L139*Alukset_fx!$B$70,IF(Q139="Barge",0,L139*Alukset_fx!$B$75))))))))</f>
        <v>0</v>
      </c>
      <c r="S139" s="210">
        <f>IF(L139=0,IF(Q139="Other dry cargo",Alukset_fx!$H$73*(Alukset_Käynnit_Lask!K139^Alukset_fx!$I$73),IF(OR(Q139="Dry Bulk",Q139="Bulk carrier"),Alukset_fx!$H$71*(Alukset_Käynnit_Lask!K139^Alukset_fx!$I$71),IF(Q139="Tugboat",Alukset_fx!$H$78*(Alukset_Käynnit_Lask!K139^Alukset_fx!$I$78),IF(OR(Q139="Tanker",Q139="Gas tanker",Q139="Chemical tanker",Q139="Oil tanker"),Alukset_fx!$H$70*(Alukset_Käynnit_Lask!K139^Alukset_fx!$I$70),IF(Q139="Container ship",Alukset_fx!$H$72*(Alukset_Käynnit_Lask!K139^Alukset_fx!$I$72),IF(Q139="Barge",0,IF(Q139="RoPax",Alukset_fx!$H$75*(Alukset_Käynnit_Lask!K139^Alukset_fx!$I$75),IF(OR(Q139="RoRo",Q139="Vehicle carrier"),Alukset_fx!$H$74*(Alukset_Käynnit_Lask!K139^Alukset_fx!$I$74),Alukset_fx!$H$77*(Alukset_Käynnit_Lask!K139^Alukset_fx!$I$77))))))))),"-")</f>
        <v>0</v>
      </c>
      <c r="T139" s="208">
        <f>IF(R139=0,IF(Q139="Other dry cargo",S139*Alukset_fx!$B$71,IF(OR(Q139="Dry bulk",Q139="Bulk carrier"),S139*Alukset_fx!$B$69,IF(Q139="Tugboat",S139*Alukset_fx!$B$76,IF(OR(Q139="Tanker",Q139="Gas tanker",Q139="Chemical tanker",Q139="Oil tanker"),S139*Alukset_fx!$B$68,IF(OR(Q139="RoRo",Q139="Vehicle carrier"),S139*Alukset_fx!$B$72,IF(Q139="RoPax",S139*Alukset_fx!$B$73,IF(Q139="Container ship",S139*Alukset_fx!$B$70,S139*Alukset_fx!$B$75))))))),"-")</f>
        <v>0</v>
      </c>
      <c r="U139" s="208">
        <f t="shared" si="15"/>
        <v>0</v>
      </c>
      <c r="V139" s="208">
        <f t="shared" si="16"/>
        <v>0</v>
      </c>
      <c r="W139" s="202">
        <f>Alukset_Käynnit!N146</f>
        <v>0</v>
      </c>
      <c r="X139" s="211">
        <f>IF(Q139="Other dry cargo", Alukset_fx!$C$52, IF(OR(Q139="Dry bulk",Q139="Bulk carrier"),Alukset_fx!$C$35,IF(OR(Q139="Tanker",Q139="Gas tanker",Q139="Oil tanker"),Alukset_fx!$C$57,IF(Q139="Chemical tanker",Alukset_fx!$C$56,IF(OR(Q139="Tugboat",Q139="Barge"),0,IF(Q139="Other vessel",Alukset_fx!$C$54,IF(Q139="Container ship",Alukset_fx!$C$37,IF(OR(Q139="RoPax",Q139="RoRo",Q139="Vehicle carrier"),Alukset_fx!$C$55,0))))))))</f>
        <v>0</v>
      </c>
      <c r="Y139" s="211">
        <f>IF(Q139="Other dry cargo", Alukset_fx!$Q$52, IF(OR(Q139="Dry bulk",Q139="Bulk carrier"),Alukset_fx!$Q$35,IF(OR(Q139="Tanker",Q139="Gas tanker",Q139="Oil tanker"),Alukset_fx!$Q$57,IF(Q139="Chemical tanker",Alukset_fx!$Q$56,IF(OR(Q139="Tugboat",Q139="Barge"),0,IF(Q139="Other vessel",Alukset_fx!$Q$54,IF(Q139="Container ship",Alukset_fx!$Q$37,IF(OR(Q139="RoPax",Q139="RoRo",Q139="Vehicle carrier"),Alukset_fx!$Q$55,0))))))))</f>
        <v>0</v>
      </c>
      <c r="Z139" t="str">
        <f t="shared" si="17"/>
        <v>MDO/MGO</v>
      </c>
      <c r="AA139" t="str">
        <f t="shared" si="18"/>
        <v>MSD</v>
      </c>
      <c r="AB139" t="str">
        <f t="shared" si="19"/>
        <v>MDO/MGO</v>
      </c>
      <c r="AC139" t="str">
        <f t="shared" si="20"/>
        <v>MSD</v>
      </c>
      <c r="AD139" t="str">
        <f t="shared" si="21"/>
        <v>MDO/MGO</v>
      </c>
      <c r="AE139" t="str">
        <f t="shared" si="22"/>
        <v>ST</v>
      </c>
      <c r="AG139">
        <f>Alukset_Käynnit!O146</f>
        <v>0</v>
      </c>
      <c r="AH139" s="207">
        <f>IF(AA139="SSD",((U139*Alukset_fx!$B$24)*Alukset_Käynnit_Lask!W139*(Alukset_fx!$K$49)/1000),IF(AA139="MSD",((U139*Alukset_fx!$B$24)*Alukset_Käynnit_Lask!W139*(Alukset_fx!$K$52)/1000),IF(AA139="HSD",((U139*Alukset_fx!$B$24)*Alukset_Käynnit_Lask!W139*(Alukset_fx!$K$55)/1000),0)))</f>
        <v>0</v>
      </c>
      <c r="AI139" s="207">
        <f>IF(AC139="MSD",((V139*Alukset_fx!$B$25)*Alukset_Käynnit_Lask!W139*(Alukset_fx!$L$52)/1000),IF(AC139="HSD",((V139*Alukset_fx!$B$25)*Alukset_Käynnit_Lask!W139*(Alukset_fx!$L$55)/1000),0))</f>
        <v>0</v>
      </c>
      <c r="AJ139" s="207">
        <f>X139*W139*Alukset_fx!$K$61/1000</f>
        <v>0</v>
      </c>
      <c r="AK139">
        <v>0</v>
      </c>
      <c r="AL139" s="207">
        <f>IF(AG139="Käytetty",0,IF(AC139="MSD",((V139*Alukset_fx!$O$25)*Alukset_Käynnit_Lask!O139*(Alukset_fx!$L$52)/1000),IF(AC139="HSD",((V139*Alukset_fx!$O$25)*Alukset_Käynnit_Lask!O139*(Alukset_fx!$L$55)/1000),0)))</f>
        <v>0</v>
      </c>
      <c r="AM139" s="207">
        <f>IF(AG139="Käytetty",0,Y139*O139*Alukset_fx!$K$61/1000)</f>
        <v>0</v>
      </c>
      <c r="AN139" s="213">
        <f t="shared" si="23"/>
        <v>0</v>
      </c>
    </row>
    <row r="140" spans="1:40" x14ac:dyDescent="0.25">
      <c r="A140" s="203">
        <f>Alukset_Käynnit!A147</f>
        <v>0</v>
      </c>
      <c r="B140" s="203">
        <f>Alukset_Käynnit!B147</f>
        <v>0</v>
      </c>
      <c r="C140" s="262">
        <f>Alukset_Käynnit!C147</f>
        <v>0</v>
      </c>
      <c r="D140" s="266">
        <f>Alukset_Käynnit!D147</f>
        <v>0</v>
      </c>
      <c r="E140" s="262">
        <f>Alukset_Käynnit!E147</f>
        <v>0</v>
      </c>
      <c r="F140" s="262">
        <f>Alukset_Käynnit!F147</f>
        <v>0</v>
      </c>
      <c r="G140" s="262">
        <f>Alukset_Käynnit!G147</f>
        <v>0</v>
      </c>
      <c r="H140" s="262">
        <f>Alukset_Käynnit!H147</f>
        <v>0</v>
      </c>
      <c r="I140" s="262">
        <f>Alukset_Käynnit!I147</f>
        <v>0</v>
      </c>
      <c r="J140" s="262">
        <f>Alukset_Käynnit!J147</f>
        <v>0</v>
      </c>
      <c r="K140" s="262">
        <f>Alukset_Käynnit!K147</f>
        <v>0</v>
      </c>
      <c r="L140" s="205">
        <f>Alukset_Käynnit!L147</f>
        <v>0</v>
      </c>
      <c r="N140" s="273">
        <f t="shared" si="25"/>
        <v>0</v>
      </c>
      <c r="O140" s="274">
        <f t="shared" ref="O140" si="26">N140/60</f>
        <v>0</v>
      </c>
      <c r="Q140" s="204">
        <f t="shared" si="14"/>
        <v>0</v>
      </c>
      <c r="R140" s="202">
        <f>IF(Q140="Other dry cargo",L140*Alukset_fx!$B$71,IF(OR(Q140="Dry bulk",Q140="Bulk carrier"),L140*Alukset_fx!$B$69,IF(Q140="Tugboat",L140*Alukset_fx!$B$76,IF(OR(Q140="Tanker",Q140="Gas tanker",Q140="Chemical tanker",Q140="Oil tanker"),L140*Alukset_fx!$B$68,IF(OR(Q140="RoRo",Q140="Vehicle carrier"),L140*Alukset_fx!$B$72,IF(Q140="RoPax",L140*Alukset_fx!$B$73,IF(Q140="Container ship",L140*Alukset_fx!$B$70,IF(Q140="Barge",0,L140*Alukset_fx!$B$75))))))))</f>
        <v>0</v>
      </c>
      <c r="S140" s="210">
        <f>IF(L140=0,IF(Q140="Other dry cargo",Alukset_fx!$H$73*(Alukset_Käynnit_Lask!K140^Alukset_fx!$I$73),IF(OR(Q140="Dry Bulk",Q140="Bulk carrier"),Alukset_fx!$H$71*(Alukset_Käynnit_Lask!K140^Alukset_fx!$I$71),IF(Q140="Tugboat",Alukset_fx!$H$78*(Alukset_Käynnit_Lask!K140^Alukset_fx!$I$78),IF(OR(Q140="Tanker",Q140="Gas tanker",Q140="Chemical tanker",Q140="Oil tanker"),Alukset_fx!$H$70*(Alukset_Käynnit_Lask!K140^Alukset_fx!$I$70),IF(Q140="Container ship",Alukset_fx!$H$72*(Alukset_Käynnit_Lask!K140^Alukset_fx!$I$72),IF(Q140="Barge",0,IF(Q140="RoPax",Alukset_fx!$H$75*(Alukset_Käynnit_Lask!K140^Alukset_fx!$I$75),IF(OR(Q140="RoRo",Q140="Vehicle carrier"),Alukset_fx!$H$74*(Alukset_Käynnit_Lask!K140^Alukset_fx!$I$74),Alukset_fx!$H$77*(Alukset_Käynnit_Lask!K140^Alukset_fx!$I$77))))))))),"-")</f>
        <v>0</v>
      </c>
      <c r="T140" s="208">
        <f>IF(R140=0,IF(Q140="Other dry cargo",S140*Alukset_fx!$B$71,IF(OR(Q140="Dry bulk",Q140="Bulk carrier"),S140*Alukset_fx!$B$69,IF(Q140="Tugboat",S140*Alukset_fx!$B$76,IF(OR(Q140="Tanker",Q140="Gas tanker",Q140="Chemical tanker",Q140="Oil tanker"),S140*Alukset_fx!$B$68,IF(OR(Q140="RoRo",Q140="Vehicle carrier"),S140*Alukset_fx!$B$72,IF(Q140="RoPax",S140*Alukset_fx!$B$73,IF(Q140="Container ship",S140*Alukset_fx!$B$70,S140*Alukset_fx!$B$75))))))),"-")</f>
        <v>0</v>
      </c>
      <c r="U140" s="208">
        <f t="shared" si="15"/>
        <v>0</v>
      </c>
      <c r="V140" s="208">
        <f t="shared" si="16"/>
        <v>0</v>
      </c>
      <c r="W140" s="202">
        <f>Alukset_Käynnit!N147</f>
        <v>0</v>
      </c>
      <c r="X140" s="211">
        <f>IF(Q140="Other dry cargo", Alukset_fx!$C$52, IF(OR(Q140="Dry bulk",Q140="Bulk carrier"),Alukset_fx!$C$35,IF(OR(Q140="Tanker",Q140="Gas tanker",Q140="Oil tanker"),Alukset_fx!$C$57,IF(Q140="Chemical tanker",Alukset_fx!$C$56,IF(OR(Q140="Tugboat",Q140="Barge"),0,IF(Q140="Other vessel",Alukset_fx!$C$54,IF(Q140="Container ship",Alukset_fx!$C$37,IF(OR(Q140="RoPax",Q140="RoRo",Q140="Vehicle carrier"),Alukset_fx!$C$55,0))))))))</f>
        <v>0</v>
      </c>
      <c r="Y140" s="211">
        <f>IF(Q140="Other dry cargo", Alukset_fx!$Q$52, IF(OR(Q140="Dry bulk",Q140="Bulk carrier"),Alukset_fx!$Q$35,IF(OR(Q140="Tanker",Q140="Gas tanker",Q140="Oil tanker"),Alukset_fx!$Q$57,IF(Q140="Chemical tanker",Alukset_fx!$Q$56,IF(OR(Q140="Tugboat",Q140="Barge"),0,IF(Q140="Other vessel",Alukset_fx!$Q$54,IF(Q140="Container ship",Alukset_fx!$Q$37,IF(OR(Q140="RoPax",Q140="RoRo",Q140="Vehicle carrier"),Alukset_fx!$Q$55,0))))))))</f>
        <v>0</v>
      </c>
      <c r="Z140" t="str">
        <f t="shared" si="17"/>
        <v>MDO/MGO</v>
      </c>
      <c r="AA140" t="str">
        <f t="shared" si="18"/>
        <v>MSD</v>
      </c>
      <c r="AB140" t="str">
        <f t="shared" si="19"/>
        <v>MDO/MGO</v>
      </c>
      <c r="AC140" t="str">
        <f t="shared" si="20"/>
        <v>MSD</v>
      </c>
      <c r="AD140" t="str">
        <f t="shared" si="21"/>
        <v>MDO/MGO</v>
      </c>
      <c r="AE140" t="str">
        <f t="shared" si="22"/>
        <v>ST</v>
      </c>
      <c r="AG140">
        <f>Alukset_Käynnit!O147</f>
        <v>0</v>
      </c>
      <c r="AH140" s="207">
        <f>IF(AA140="SSD",((U140*Alukset_fx!$B$24)*Alukset_Käynnit_Lask!W140*(Alukset_fx!$K$49)/1000),IF(AA140="MSD",((U140*Alukset_fx!$B$24)*Alukset_Käynnit_Lask!W140*(Alukset_fx!$K$52)/1000),IF(AA140="HSD",((U140*Alukset_fx!$B$24)*Alukset_Käynnit_Lask!W140*(Alukset_fx!$K$55)/1000),0)))</f>
        <v>0</v>
      </c>
      <c r="AI140" s="207">
        <f>IF(AC140="MSD",((V140*Alukset_fx!$B$25)*Alukset_Käynnit_Lask!W140*(Alukset_fx!$L$52)/1000),IF(AC140="HSD",((V140*Alukset_fx!$B$25)*Alukset_Käynnit_Lask!W140*(Alukset_fx!$L$55)/1000),0))</f>
        <v>0</v>
      </c>
      <c r="AJ140" s="207">
        <f>X140*W140*Alukset_fx!$K$61/1000</f>
        <v>0</v>
      </c>
      <c r="AK140">
        <v>0</v>
      </c>
      <c r="AL140" s="207">
        <f>IF(AG140="Käytetty",0,IF(AC140="MSD",((V140*Alukset_fx!$O$25)*Alukset_Käynnit_Lask!O140*(Alukset_fx!$L$52)/1000),IF(AC140="HSD",((V140*Alukset_fx!$O$25)*Alukset_Käynnit_Lask!O140*(Alukset_fx!$L$55)/1000),0)))</f>
        <v>0</v>
      </c>
      <c r="AM140" s="207">
        <f>IF(AG140="Käytetty",0,Y140*O140*Alukset_fx!$K$61/1000)</f>
        <v>0</v>
      </c>
      <c r="AN140" s="213">
        <f t="shared" si="23"/>
        <v>0</v>
      </c>
    </row>
    <row r="141" spans="1:40" x14ac:dyDescent="0.25">
      <c r="A141" s="203">
        <f>Alukset_Käynnit!A148</f>
        <v>0</v>
      </c>
      <c r="B141" s="203">
        <f>Alukset_Käynnit!B148</f>
        <v>0</v>
      </c>
      <c r="C141" s="262">
        <f>Alukset_Käynnit!C148</f>
        <v>0</v>
      </c>
      <c r="D141" s="266">
        <f>Alukset_Käynnit!D148</f>
        <v>0</v>
      </c>
      <c r="E141" s="262">
        <f>Alukset_Käynnit!E148</f>
        <v>0</v>
      </c>
      <c r="F141" s="262">
        <f>Alukset_Käynnit!F148</f>
        <v>0</v>
      </c>
      <c r="G141" s="262">
        <f>Alukset_Käynnit!G148</f>
        <v>0</v>
      </c>
      <c r="H141" s="262">
        <f>Alukset_Käynnit!H148</f>
        <v>0</v>
      </c>
      <c r="I141" s="262">
        <f>Alukset_Käynnit!I148</f>
        <v>0</v>
      </c>
      <c r="J141" s="262">
        <f>Alukset_Käynnit!J148</f>
        <v>0</v>
      </c>
      <c r="K141" s="262">
        <f>Alukset_Käynnit!K148</f>
        <v>0</v>
      </c>
      <c r="L141" s="205">
        <f>Alukset_Käynnit!L148</f>
        <v>0</v>
      </c>
      <c r="N141" s="273">
        <f t="shared" ref="N141:N148" si="27">(B141-A141)*1440</f>
        <v>0</v>
      </c>
      <c r="O141" s="274">
        <f t="shared" ref="O141:O148" si="28">N141/60</f>
        <v>0</v>
      </c>
      <c r="Q141" s="204">
        <f t="shared" si="14"/>
        <v>0</v>
      </c>
      <c r="R141" s="202">
        <f>IF(Q141="Other dry cargo",L141*Alukset_fx!$B$71,IF(OR(Q141="Dry bulk",Q141="Bulk carrier"),L141*Alukset_fx!$B$69,IF(Q141="Tugboat",L141*Alukset_fx!$B$76,IF(OR(Q141="Tanker",Q141="Gas tanker",Q141="Chemical tanker",Q141="Oil tanker"),L141*Alukset_fx!$B$68,IF(OR(Q141="RoRo",Q141="Vehicle carrier"),L141*Alukset_fx!$B$72,IF(Q141="RoPax",L141*Alukset_fx!$B$73,IF(Q141="Container ship",L141*Alukset_fx!$B$70,IF(Q141="Barge",0,L141*Alukset_fx!$B$75))))))))</f>
        <v>0</v>
      </c>
      <c r="S141" s="210">
        <f>IF(L141=0,IF(Q141="Other dry cargo",Alukset_fx!$H$73*(Alukset_Käynnit_Lask!K141^Alukset_fx!$I$73),IF(OR(Q141="Dry Bulk",Q141="Bulk carrier"),Alukset_fx!$H$71*(Alukset_Käynnit_Lask!K141^Alukset_fx!$I$71),IF(Q141="Tugboat",Alukset_fx!$H$78*(Alukset_Käynnit_Lask!K141^Alukset_fx!$I$78),IF(OR(Q141="Tanker",Q141="Gas tanker",Q141="Chemical tanker",Q141="Oil tanker"),Alukset_fx!$H$70*(Alukset_Käynnit_Lask!K141^Alukset_fx!$I$70),IF(Q141="Container ship",Alukset_fx!$H$72*(Alukset_Käynnit_Lask!K141^Alukset_fx!$I$72),IF(Q141="Barge",0,IF(Q141="RoPax",Alukset_fx!$H$75*(Alukset_Käynnit_Lask!K141^Alukset_fx!$I$75),IF(OR(Q141="RoRo",Q141="Vehicle carrier"),Alukset_fx!$H$74*(Alukset_Käynnit_Lask!K141^Alukset_fx!$I$74),Alukset_fx!$H$77*(Alukset_Käynnit_Lask!K141^Alukset_fx!$I$77))))))))),"-")</f>
        <v>0</v>
      </c>
      <c r="T141" s="208">
        <f>IF(R141=0,IF(Q141="Other dry cargo",S141*Alukset_fx!$B$71,IF(OR(Q141="Dry bulk",Q141="Bulk carrier"),S141*Alukset_fx!$B$69,IF(Q141="Tugboat",S141*Alukset_fx!$B$76,IF(OR(Q141="Tanker",Q141="Gas tanker",Q141="Chemical tanker",Q141="Oil tanker"),S141*Alukset_fx!$B$68,IF(OR(Q141="RoRo",Q141="Vehicle carrier"),S141*Alukset_fx!$B$72,IF(Q141="RoPax",S141*Alukset_fx!$B$73,IF(Q141="Container ship",S141*Alukset_fx!$B$70,S141*Alukset_fx!$B$75))))))),"-")</f>
        <v>0</v>
      </c>
      <c r="U141" s="208">
        <f t="shared" si="15"/>
        <v>0</v>
      </c>
      <c r="V141" s="208">
        <f t="shared" si="16"/>
        <v>0</v>
      </c>
      <c r="W141" s="202">
        <f>Alukset_Käynnit!N148</f>
        <v>0</v>
      </c>
      <c r="X141" s="211">
        <f>IF(Q141="Other dry cargo", Alukset_fx!$C$52, IF(OR(Q141="Dry bulk",Q141="Bulk carrier"),Alukset_fx!$C$35,IF(OR(Q141="Tanker",Q141="Gas tanker",Q141="Oil tanker"),Alukset_fx!$C$57,IF(Q141="Chemical tanker",Alukset_fx!$C$56,IF(OR(Q141="Tugboat",Q141="Barge"),0,IF(Q141="Other vessel",Alukset_fx!$C$54,IF(Q141="Container ship",Alukset_fx!$C$37,IF(OR(Q141="RoPax",Q141="RoRo",Q141="Vehicle carrier"),Alukset_fx!$C$55,0))))))))</f>
        <v>0</v>
      </c>
      <c r="Y141" s="211">
        <f>IF(Q141="Other dry cargo", Alukset_fx!$Q$52, IF(OR(Q141="Dry bulk",Q141="Bulk carrier"),Alukset_fx!$Q$35,IF(OR(Q141="Tanker",Q141="Gas tanker",Q141="Oil tanker"),Alukset_fx!$Q$57,IF(Q141="Chemical tanker",Alukset_fx!$Q$56,IF(OR(Q141="Tugboat",Q141="Barge"),0,IF(Q141="Other vessel",Alukset_fx!$Q$54,IF(Q141="Container ship",Alukset_fx!$Q$37,IF(OR(Q141="RoPax",Q141="RoRo",Q141="Vehicle carrier"),Alukset_fx!$Q$55,0))))))))</f>
        <v>0</v>
      </c>
      <c r="Z141" t="str">
        <f t="shared" si="17"/>
        <v>MDO/MGO</v>
      </c>
      <c r="AA141" t="str">
        <f t="shared" si="18"/>
        <v>MSD</v>
      </c>
      <c r="AB141" t="str">
        <f t="shared" si="19"/>
        <v>MDO/MGO</v>
      </c>
      <c r="AC141" t="str">
        <f t="shared" si="20"/>
        <v>MSD</v>
      </c>
      <c r="AD141" t="str">
        <f t="shared" si="21"/>
        <v>MDO/MGO</v>
      </c>
      <c r="AE141" t="str">
        <f t="shared" si="22"/>
        <v>ST</v>
      </c>
      <c r="AG141">
        <f>Alukset_Käynnit!O148</f>
        <v>0</v>
      </c>
      <c r="AH141" s="207">
        <f>IF(AA141="SSD",((U141*Alukset_fx!$B$24)*Alukset_Käynnit_Lask!W141*(Alukset_fx!$K$49)/1000),IF(AA141="MSD",((U141*Alukset_fx!$B$24)*Alukset_Käynnit_Lask!W141*(Alukset_fx!$K$52)/1000),IF(AA141="HSD",((U141*Alukset_fx!$B$24)*Alukset_Käynnit_Lask!W141*(Alukset_fx!$K$55)/1000),0)))</f>
        <v>0</v>
      </c>
      <c r="AI141" s="207">
        <f>IF(AC141="MSD",((V141*Alukset_fx!$B$25)*Alukset_Käynnit_Lask!W141*(Alukset_fx!$L$52)/1000),IF(AC141="HSD",((V141*Alukset_fx!$B$25)*Alukset_Käynnit_Lask!W141*(Alukset_fx!$L$55)/1000),0))</f>
        <v>0</v>
      </c>
      <c r="AJ141" s="207">
        <f>X141*W141*Alukset_fx!$K$61/1000</f>
        <v>0</v>
      </c>
      <c r="AK141">
        <v>0</v>
      </c>
      <c r="AL141" s="207">
        <f>IF(AG141="Käytetty",0,IF(AC141="MSD",((V141*Alukset_fx!$O$25)*Alukset_Käynnit_Lask!O141*(Alukset_fx!$L$52)/1000),IF(AC141="HSD",((V141*Alukset_fx!$O$25)*Alukset_Käynnit_Lask!O141*(Alukset_fx!$L$55)/1000),0)))</f>
        <v>0</v>
      </c>
      <c r="AM141" s="207">
        <f>IF(AG141="Käytetty",0,Y141*O141*Alukset_fx!$K$61/1000)</f>
        <v>0</v>
      </c>
      <c r="AN141" s="213">
        <f t="shared" si="23"/>
        <v>0</v>
      </c>
    </row>
    <row r="142" spans="1:40" x14ac:dyDescent="0.25">
      <c r="A142" s="203">
        <f>Alukset_Käynnit!A149</f>
        <v>0</v>
      </c>
      <c r="B142" s="203">
        <f>Alukset_Käynnit!B149</f>
        <v>0</v>
      </c>
      <c r="C142" s="262">
        <f>Alukset_Käynnit!C149</f>
        <v>0</v>
      </c>
      <c r="D142" s="266">
        <f>Alukset_Käynnit!D149</f>
        <v>0</v>
      </c>
      <c r="E142" s="262">
        <f>Alukset_Käynnit!E149</f>
        <v>0</v>
      </c>
      <c r="F142" s="262">
        <f>Alukset_Käynnit!F149</f>
        <v>0</v>
      </c>
      <c r="G142" s="262">
        <f>Alukset_Käynnit!G149</f>
        <v>0</v>
      </c>
      <c r="H142" s="262">
        <f>Alukset_Käynnit!H149</f>
        <v>0</v>
      </c>
      <c r="I142" s="262">
        <f>Alukset_Käynnit!I149</f>
        <v>0</v>
      </c>
      <c r="J142" s="262">
        <f>Alukset_Käynnit!J149</f>
        <v>0</v>
      </c>
      <c r="K142" s="262">
        <f>Alukset_Käynnit!K149</f>
        <v>0</v>
      </c>
      <c r="L142" s="205">
        <f>Alukset_Käynnit!L149</f>
        <v>0</v>
      </c>
      <c r="N142" s="273">
        <f t="shared" si="27"/>
        <v>0</v>
      </c>
      <c r="O142" s="274">
        <f t="shared" si="28"/>
        <v>0</v>
      </c>
      <c r="Q142" s="204">
        <f t="shared" ref="Q142:Q205" si="29">IF(H142="Muu kuivalasti","Other dry cargo",IF(H142="Muu kuivalastialus","Other dry cargo",IF(H142="Hinaaja","Tugboat",IF(H142="Proomu","Barge",IF(H142="Pusku-Proomu","Barge",IF(H142="Säiliöalus","Tanker",IF(H142="Ro-Ro-Matkustaja-Alus","RoPax",IF(H142="Irtolastialus","Bulk carrier",IF(H142="Kaasusäiliöalus","Gas tanker",IF(H142="Kemikaalisäiliöalus","Chemical tanker",IF(H142="Muu Alus","Other Vessel",IF(H142="Ro-Ro-Lastialus","RoRo",IF(H142="Öljysäiliöalus","Oil tanker",IF(H142="Ajoneuvojenkuljetusalus","Vehicle carrier",IF(H142="Kuiva Bulk","Dry bulk",IF(H142="Konttialus","Container ship",H142))))))))))))))))</f>
        <v>0</v>
      </c>
      <c r="R142" s="202">
        <f>IF(Q142="Other dry cargo",L142*Alukset_fx!$B$71,IF(OR(Q142="Dry bulk",Q142="Bulk carrier"),L142*Alukset_fx!$B$69,IF(Q142="Tugboat",L142*Alukset_fx!$B$76,IF(OR(Q142="Tanker",Q142="Gas tanker",Q142="Chemical tanker",Q142="Oil tanker"),L142*Alukset_fx!$B$68,IF(OR(Q142="RoRo",Q142="Vehicle carrier"),L142*Alukset_fx!$B$72,IF(Q142="RoPax",L142*Alukset_fx!$B$73,IF(Q142="Container ship",L142*Alukset_fx!$B$70,IF(Q142="Barge",0,L142*Alukset_fx!$B$75))))))))</f>
        <v>0</v>
      </c>
      <c r="S142" s="210">
        <f>IF(L142=0,IF(Q142="Other dry cargo",Alukset_fx!$H$73*(Alukset_Käynnit_Lask!K142^Alukset_fx!$I$73),IF(OR(Q142="Dry Bulk",Q142="Bulk carrier"),Alukset_fx!$H$71*(Alukset_Käynnit_Lask!K142^Alukset_fx!$I$71),IF(Q142="Tugboat",Alukset_fx!$H$78*(Alukset_Käynnit_Lask!K142^Alukset_fx!$I$78),IF(OR(Q142="Tanker",Q142="Gas tanker",Q142="Chemical tanker",Q142="Oil tanker"),Alukset_fx!$H$70*(Alukset_Käynnit_Lask!K142^Alukset_fx!$I$70),IF(Q142="Container ship",Alukset_fx!$H$72*(Alukset_Käynnit_Lask!K142^Alukset_fx!$I$72),IF(Q142="Barge",0,IF(Q142="RoPax",Alukset_fx!$H$75*(Alukset_Käynnit_Lask!K142^Alukset_fx!$I$75),IF(OR(Q142="RoRo",Q142="Vehicle carrier"),Alukset_fx!$H$74*(Alukset_Käynnit_Lask!K142^Alukset_fx!$I$74),Alukset_fx!$H$77*(Alukset_Käynnit_Lask!K142^Alukset_fx!$I$77))))))))),"-")</f>
        <v>0</v>
      </c>
      <c r="T142" s="208">
        <f>IF(R142=0,IF(Q142="Other dry cargo",S142*Alukset_fx!$B$71,IF(OR(Q142="Dry bulk",Q142="Bulk carrier"),S142*Alukset_fx!$B$69,IF(Q142="Tugboat",S142*Alukset_fx!$B$76,IF(OR(Q142="Tanker",Q142="Gas tanker",Q142="Chemical tanker",Q142="Oil tanker"),S142*Alukset_fx!$B$68,IF(OR(Q142="RoRo",Q142="Vehicle carrier"),S142*Alukset_fx!$B$72,IF(Q142="RoPax",S142*Alukset_fx!$B$73,IF(Q142="Container ship",S142*Alukset_fx!$B$70,S142*Alukset_fx!$B$75))))))),"-")</f>
        <v>0</v>
      </c>
      <c r="U142" s="208">
        <f t="shared" ref="U142:U205" si="30">IF(L142=0,S142,L142)</f>
        <v>0</v>
      </c>
      <c r="V142" s="208">
        <f t="shared" ref="V142:V205" si="31">IF(R142=0,T142,R142)</f>
        <v>0</v>
      </c>
      <c r="W142" s="202">
        <f>Alukset_Käynnit!N149</f>
        <v>0</v>
      </c>
      <c r="X142" s="211">
        <f>IF(Q142="Other dry cargo", Alukset_fx!$C$52, IF(OR(Q142="Dry bulk",Q142="Bulk carrier"),Alukset_fx!$C$35,IF(OR(Q142="Tanker",Q142="Gas tanker",Q142="Oil tanker"),Alukset_fx!$C$57,IF(Q142="Chemical tanker",Alukset_fx!$C$56,IF(OR(Q142="Tugboat",Q142="Barge"),0,IF(Q142="Other vessel",Alukset_fx!$C$54,IF(Q142="Container ship",Alukset_fx!$C$37,IF(OR(Q142="RoPax",Q142="RoRo",Q142="Vehicle carrier"),Alukset_fx!$C$55,0))))))))</f>
        <v>0</v>
      </c>
      <c r="Y142" s="211">
        <f>IF(Q142="Other dry cargo", Alukset_fx!$Q$52, IF(OR(Q142="Dry bulk",Q142="Bulk carrier"),Alukset_fx!$Q$35,IF(OR(Q142="Tanker",Q142="Gas tanker",Q142="Oil tanker"),Alukset_fx!$Q$57,IF(Q142="Chemical tanker",Alukset_fx!$Q$56,IF(OR(Q142="Tugboat",Q142="Barge"),0,IF(Q142="Other vessel",Alukset_fx!$Q$54,IF(Q142="Container ship",Alukset_fx!$Q$37,IF(OR(Q142="RoPax",Q142="RoRo",Q142="Vehicle carrier"),Alukset_fx!$Q$55,0))))))))</f>
        <v>0</v>
      </c>
      <c r="Z142" t="str">
        <f t="shared" ref="Z142:Z205" si="32">IF(Q142="Barge","-","MDO/MGO")</f>
        <v>MDO/MGO</v>
      </c>
      <c r="AA142" t="str">
        <f t="shared" ref="AA142:AA205" si="33">IF(Q142="Container ship","SSD",IF(Q142="Tugboat","HSD",IF(Q142="Barge","-","MSD")))</f>
        <v>MSD</v>
      </c>
      <c r="AB142" t="str">
        <f t="shared" ref="AB142:AB205" si="34">IF(Q142="Barge","-","MDO/MGO")</f>
        <v>MDO/MGO</v>
      </c>
      <c r="AC142" t="str">
        <f t="shared" ref="AC142:AC205" si="35">IF(Q142="Barge","-","MSD")</f>
        <v>MSD</v>
      </c>
      <c r="AD142" t="str">
        <f t="shared" ref="AD142:AD205" si="36">IF(OR(Q142="Tugboat",Q142="Barge"),"-","MDO/MGO")</f>
        <v>MDO/MGO</v>
      </c>
      <c r="AE142" t="str">
        <f t="shared" ref="AE142:AE205" si="37">IF(OR(Q142="Barge",Q142="Tugboat"),"-","ST")</f>
        <v>ST</v>
      </c>
      <c r="AG142">
        <f>Alukset_Käynnit!O149</f>
        <v>0</v>
      </c>
      <c r="AH142" s="207">
        <f>IF(AA142="SSD",((U142*Alukset_fx!$B$24)*Alukset_Käynnit_Lask!W142*(Alukset_fx!$K$49)/1000),IF(AA142="MSD",((U142*Alukset_fx!$B$24)*Alukset_Käynnit_Lask!W142*(Alukset_fx!$K$52)/1000),IF(AA142="HSD",((U142*Alukset_fx!$B$24)*Alukset_Käynnit_Lask!W142*(Alukset_fx!$K$55)/1000),0)))</f>
        <v>0</v>
      </c>
      <c r="AI142" s="207">
        <f>IF(AC142="MSD",((V142*Alukset_fx!$B$25)*Alukset_Käynnit_Lask!W142*(Alukset_fx!$L$52)/1000),IF(AC142="HSD",((V142*Alukset_fx!$B$25)*Alukset_Käynnit_Lask!W142*(Alukset_fx!$L$55)/1000),0))</f>
        <v>0</v>
      </c>
      <c r="AJ142" s="207">
        <f>X142*W142*Alukset_fx!$K$61/1000</f>
        <v>0</v>
      </c>
      <c r="AK142">
        <v>0</v>
      </c>
      <c r="AL142" s="207">
        <f>IF(AG142="Käytetty",0,IF(AC142="MSD",((V142*Alukset_fx!$O$25)*Alukset_Käynnit_Lask!O142*(Alukset_fx!$L$52)/1000),IF(AC142="HSD",((V142*Alukset_fx!$O$25)*Alukset_Käynnit_Lask!O142*(Alukset_fx!$L$55)/1000),0)))</f>
        <v>0</v>
      </c>
      <c r="AM142" s="207">
        <f>IF(AG142="Käytetty",0,Y142*O142*Alukset_fx!$K$61/1000)</f>
        <v>0</v>
      </c>
      <c r="AN142" s="213">
        <f t="shared" ref="AN142:AN205" si="38">SUM(AH142:AM142)/1000</f>
        <v>0</v>
      </c>
    </row>
    <row r="143" spans="1:40" x14ac:dyDescent="0.25">
      <c r="A143" s="203">
        <f>Alukset_Käynnit!A150</f>
        <v>0</v>
      </c>
      <c r="B143" s="203">
        <f>Alukset_Käynnit!B150</f>
        <v>0</v>
      </c>
      <c r="C143" s="262">
        <f>Alukset_Käynnit!C150</f>
        <v>0</v>
      </c>
      <c r="D143" s="266">
        <f>Alukset_Käynnit!D150</f>
        <v>0</v>
      </c>
      <c r="E143" s="262">
        <f>Alukset_Käynnit!E150</f>
        <v>0</v>
      </c>
      <c r="F143" s="262">
        <f>Alukset_Käynnit!F150</f>
        <v>0</v>
      </c>
      <c r="G143" s="262">
        <f>Alukset_Käynnit!G150</f>
        <v>0</v>
      </c>
      <c r="H143" s="262">
        <f>Alukset_Käynnit!H150</f>
        <v>0</v>
      </c>
      <c r="I143" s="262">
        <f>Alukset_Käynnit!I150</f>
        <v>0</v>
      </c>
      <c r="J143" s="262">
        <f>Alukset_Käynnit!J150</f>
        <v>0</v>
      </c>
      <c r="K143" s="262">
        <f>Alukset_Käynnit!K150</f>
        <v>0</v>
      </c>
      <c r="L143" s="205">
        <f>Alukset_Käynnit!L150</f>
        <v>0</v>
      </c>
      <c r="N143" s="273">
        <f t="shared" si="27"/>
        <v>0</v>
      </c>
      <c r="O143" s="274">
        <f t="shared" si="28"/>
        <v>0</v>
      </c>
      <c r="Q143" s="204">
        <f t="shared" si="29"/>
        <v>0</v>
      </c>
      <c r="R143" s="202">
        <f>IF(Q143="Other dry cargo",L143*Alukset_fx!$B$71,IF(OR(Q143="Dry bulk",Q143="Bulk carrier"),L143*Alukset_fx!$B$69,IF(Q143="Tugboat",L143*Alukset_fx!$B$76,IF(OR(Q143="Tanker",Q143="Gas tanker",Q143="Chemical tanker",Q143="Oil tanker"),L143*Alukset_fx!$B$68,IF(OR(Q143="RoRo",Q143="Vehicle carrier"),L143*Alukset_fx!$B$72,IF(Q143="RoPax",L143*Alukset_fx!$B$73,IF(Q143="Container ship",L143*Alukset_fx!$B$70,IF(Q143="Barge",0,L143*Alukset_fx!$B$75))))))))</f>
        <v>0</v>
      </c>
      <c r="S143" s="210">
        <f>IF(L143=0,IF(Q143="Other dry cargo",Alukset_fx!$H$73*(Alukset_Käynnit_Lask!K143^Alukset_fx!$I$73),IF(OR(Q143="Dry Bulk",Q143="Bulk carrier"),Alukset_fx!$H$71*(Alukset_Käynnit_Lask!K143^Alukset_fx!$I$71),IF(Q143="Tugboat",Alukset_fx!$H$78*(Alukset_Käynnit_Lask!K143^Alukset_fx!$I$78),IF(OR(Q143="Tanker",Q143="Gas tanker",Q143="Chemical tanker",Q143="Oil tanker"),Alukset_fx!$H$70*(Alukset_Käynnit_Lask!K143^Alukset_fx!$I$70),IF(Q143="Container ship",Alukset_fx!$H$72*(Alukset_Käynnit_Lask!K143^Alukset_fx!$I$72),IF(Q143="Barge",0,IF(Q143="RoPax",Alukset_fx!$H$75*(Alukset_Käynnit_Lask!K143^Alukset_fx!$I$75),IF(OR(Q143="RoRo",Q143="Vehicle carrier"),Alukset_fx!$H$74*(Alukset_Käynnit_Lask!K143^Alukset_fx!$I$74),Alukset_fx!$H$77*(Alukset_Käynnit_Lask!K143^Alukset_fx!$I$77))))))))),"-")</f>
        <v>0</v>
      </c>
      <c r="T143" s="208">
        <f>IF(R143=0,IF(Q143="Other dry cargo",S143*Alukset_fx!$B$71,IF(OR(Q143="Dry bulk",Q143="Bulk carrier"),S143*Alukset_fx!$B$69,IF(Q143="Tugboat",S143*Alukset_fx!$B$76,IF(OR(Q143="Tanker",Q143="Gas tanker",Q143="Chemical tanker",Q143="Oil tanker"),S143*Alukset_fx!$B$68,IF(OR(Q143="RoRo",Q143="Vehicle carrier"),S143*Alukset_fx!$B$72,IF(Q143="RoPax",S143*Alukset_fx!$B$73,IF(Q143="Container ship",S143*Alukset_fx!$B$70,S143*Alukset_fx!$B$75))))))),"-")</f>
        <v>0</v>
      </c>
      <c r="U143" s="208">
        <f t="shared" si="30"/>
        <v>0</v>
      </c>
      <c r="V143" s="208">
        <f t="shared" si="31"/>
        <v>0</v>
      </c>
      <c r="W143" s="202">
        <f>Alukset_Käynnit!N150</f>
        <v>0</v>
      </c>
      <c r="X143" s="211">
        <f>IF(Q143="Other dry cargo", Alukset_fx!$C$52, IF(OR(Q143="Dry bulk",Q143="Bulk carrier"),Alukset_fx!$C$35,IF(OR(Q143="Tanker",Q143="Gas tanker",Q143="Oil tanker"),Alukset_fx!$C$57,IF(Q143="Chemical tanker",Alukset_fx!$C$56,IF(OR(Q143="Tugboat",Q143="Barge"),0,IF(Q143="Other vessel",Alukset_fx!$C$54,IF(Q143="Container ship",Alukset_fx!$C$37,IF(OR(Q143="RoPax",Q143="RoRo",Q143="Vehicle carrier"),Alukset_fx!$C$55,0))))))))</f>
        <v>0</v>
      </c>
      <c r="Y143" s="211">
        <f>IF(Q143="Other dry cargo", Alukset_fx!$Q$52, IF(OR(Q143="Dry bulk",Q143="Bulk carrier"),Alukset_fx!$Q$35,IF(OR(Q143="Tanker",Q143="Gas tanker",Q143="Oil tanker"),Alukset_fx!$Q$57,IF(Q143="Chemical tanker",Alukset_fx!$Q$56,IF(OR(Q143="Tugboat",Q143="Barge"),0,IF(Q143="Other vessel",Alukset_fx!$Q$54,IF(Q143="Container ship",Alukset_fx!$Q$37,IF(OR(Q143="RoPax",Q143="RoRo",Q143="Vehicle carrier"),Alukset_fx!$Q$55,0))))))))</f>
        <v>0</v>
      </c>
      <c r="Z143" t="str">
        <f t="shared" si="32"/>
        <v>MDO/MGO</v>
      </c>
      <c r="AA143" t="str">
        <f t="shared" si="33"/>
        <v>MSD</v>
      </c>
      <c r="AB143" t="str">
        <f t="shared" si="34"/>
        <v>MDO/MGO</v>
      </c>
      <c r="AC143" t="str">
        <f t="shared" si="35"/>
        <v>MSD</v>
      </c>
      <c r="AD143" t="str">
        <f t="shared" si="36"/>
        <v>MDO/MGO</v>
      </c>
      <c r="AE143" t="str">
        <f t="shared" si="37"/>
        <v>ST</v>
      </c>
      <c r="AG143">
        <f>Alukset_Käynnit!O150</f>
        <v>0</v>
      </c>
      <c r="AH143" s="207">
        <f>IF(AA143="SSD",((U143*Alukset_fx!$B$24)*Alukset_Käynnit_Lask!W143*(Alukset_fx!$K$49)/1000),IF(AA143="MSD",((U143*Alukset_fx!$B$24)*Alukset_Käynnit_Lask!W143*(Alukset_fx!$K$52)/1000),IF(AA143="HSD",((U143*Alukset_fx!$B$24)*Alukset_Käynnit_Lask!W143*(Alukset_fx!$K$55)/1000),0)))</f>
        <v>0</v>
      </c>
      <c r="AI143" s="207">
        <f>IF(AC143="MSD",((V143*Alukset_fx!$B$25)*Alukset_Käynnit_Lask!W143*(Alukset_fx!$L$52)/1000),IF(AC143="HSD",((V143*Alukset_fx!$B$25)*Alukset_Käynnit_Lask!W143*(Alukset_fx!$L$55)/1000),0))</f>
        <v>0</v>
      </c>
      <c r="AJ143" s="207">
        <f>X143*W143*Alukset_fx!$K$61/1000</f>
        <v>0</v>
      </c>
      <c r="AK143">
        <v>0</v>
      </c>
      <c r="AL143" s="207">
        <f>IF(AG143="Käytetty",0,IF(AC143="MSD",((V143*Alukset_fx!$O$25)*Alukset_Käynnit_Lask!O143*(Alukset_fx!$L$52)/1000),IF(AC143="HSD",((V143*Alukset_fx!$O$25)*Alukset_Käynnit_Lask!O143*(Alukset_fx!$L$55)/1000),0)))</f>
        <v>0</v>
      </c>
      <c r="AM143" s="207">
        <f>IF(AG143="Käytetty",0,Y143*O143*Alukset_fx!$K$61/1000)</f>
        <v>0</v>
      </c>
      <c r="AN143" s="213">
        <f t="shared" si="38"/>
        <v>0</v>
      </c>
    </row>
    <row r="144" spans="1:40" x14ac:dyDescent="0.25">
      <c r="A144" s="203">
        <f>Alukset_Käynnit!A151</f>
        <v>0</v>
      </c>
      <c r="B144" s="203">
        <f>Alukset_Käynnit!B151</f>
        <v>0</v>
      </c>
      <c r="C144" s="262">
        <f>Alukset_Käynnit!C151</f>
        <v>0</v>
      </c>
      <c r="D144" s="266">
        <f>Alukset_Käynnit!D151</f>
        <v>0</v>
      </c>
      <c r="E144" s="262">
        <f>Alukset_Käynnit!E151</f>
        <v>0</v>
      </c>
      <c r="F144" s="262">
        <f>Alukset_Käynnit!F151</f>
        <v>0</v>
      </c>
      <c r="G144" s="262">
        <f>Alukset_Käynnit!G151</f>
        <v>0</v>
      </c>
      <c r="H144" s="262">
        <f>Alukset_Käynnit!H151</f>
        <v>0</v>
      </c>
      <c r="I144" s="262">
        <f>Alukset_Käynnit!I151</f>
        <v>0</v>
      </c>
      <c r="J144" s="262">
        <f>Alukset_Käynnit!J151</f>
        <v>0</v>
      </c>
      <c r="K144" s="262">
        <f>Alukset_Käynnit!K151</f>
        <v>0</v>
      </c>
      <c r="L144" s="205">
        <f>Alukset_Käynnit!L151</f>
        <v>0</v>
      </c>
      <c r="N144" s="273">
        <f t="shared" si="27"/>
        <v>0</v>
      </c>
      <c r="O144" s="274">
        <f t="shared" si="28"/>
        <v>0</v>
      </c>
      <c r="Q144" s="204">
        <f t="shared" si="29"/>
        <v>0</v>
      </c>
      <c r="R144" s="202">
        <f>IF(Q144="Other dry cargo",L144*Alukset_fx!$B$71,IF(OR(Q144="Dry bulk",Q144="Bulk carrier"),L144*Alukset_fx!$B$69,IF(Q144="Tugboat",L144*Alukset_fx!$B$76,IF(OR(Q144="Tanker",Q144="Gas tanker",Q144="Chemical tanker",Q144="Oil tanker"),L144*Alukset_fx!$B$68,IF(OR(Q144="RoRo",Q144="Vehicle carrier"),L144*Alukset_fx!$B$72,IF(Q144="RoPax",L144*Alukset_fx!$B$73,IF(Q144="Container ship",L144*Alukset_fx!$B$70,IF(Q144="Barge",0,L144*Alukset_fx!$B$75))))))))</f>
        <v>0</v>
      </c>
      <c r="S144" s="210">
        <f>IF(L144=0,IF(Q144="Other dry cargo",Alukset_fx!$H$73*(Alukset_Käynnit_Lask!K144^Alukset_fx!$I$73),IF(OR(Q144="Dry Bulk",Q144="Bulk carrier"),Alukset_fx!$H$71*(Alukset_Käynnit_Lask!K144^Alukset_fx!$I$71),IF(Q144="Tugboat",Alukset_fx!$H$78*(Alukset_Käynnit_Lask!K144^Alukset_fx!$I$78),IF(OR(Q144="Tanker",Q144="Gas tanker",Q144="Chemical tanker",Q144="Oil tanker"),Alukset_fx!$H$70*(Alukset_Käynnit_Lask!K144^Alukset_fx!$I$70),IF(Q144="Container ship",Alukset_fx!$H$72*(Alukset_Käynnit_Lask!K144^Alukset_fx!$I$72),IF(Q144="Barge",0,IF(Q144="RoPax",Alukset_fx!$H$75*(Alukset_Käynnit_Lask!K144^Alukset_fx!$I$75),IF(OR(Q144="RoRo",Q144="Vehicle carrier"),Alukset_fx!$H$74*(Alukset_Käynnit_Lask!K144^Alukset_fx!$I$74),Alukset_fx!$H$77*(Alukset_Käynnit_Lask!K144^Alukset_fx!$I$77))))))))),"-")</f>
        <v>0</v>
      </c>
      <c r="T144" s="208">
        <f>IF(R144=0,IF(Q144="Other dry cargo",S144*Alukset_fx!$B$71,IF(OR(Q144="Dry bulk",Q144="Bulk carrier"),S144*Alukset_fx!$B$69,IF(Q144="Tugboat",S144*Alukset_fx!$B$76,IF(OR(Q144="Tanker",Q144="Gas tanker",Q144="Chemical tanker",Q144="Oil tanker"),S144*Alukset_fx!$B$68,IF(OR(Q144="RoRo",Q144="Vehicle carrier"),S144*Alukset_fx!$B$72,IF(Q144="RoPax",S144*Alukset_fx!$B$73,IF(Q144="Container ship",S144*Alukset_fx!$B$70,S144*Alukset_fx!$B$75))))))),"-")</f>
        <v>0</v>
      </c>
      <c r="U144" s="208">
        <f t="shared" si="30"/>
        <v>0</v>
      </c>
      <c r="V144" s="208">
        <f t="shared" si="31"/>
        <v>0</v>
      </c>
      <c r="W144" s="202">
        <f>Alukset_Käynnit!N151</f>
        <v>0</v>
      </c>
      <c r="X144" s="211">
        <f>IF(Q144="Other dry cargo", Alukset_fx!$C$52, IF(OR(Q144="Dry bulk",Q144="Bulk carrier"),Alukset_fx!$C$35,IF(OR(Q144="Tanker",Q144="Gas tanker",Q144="Oil tanker"),Alukset_fx!$C$57,IF(Q144="Chemical tanker",Alukset_fx!$C$56,IF(OR(Q144="Tugboat",Q144="Barge"),0,IF(Q144="Other vessel",Alukset_fx!$C$54,IF(Q144="Container ship",Alukset_fx!$C$37,IF(OR(Q144="RoPax",Q144="RoRo",Q144="Vehicle carrier"),Alukset_fx!$C$55,0))))))))</f>
        <v>0</v>
      </c>
      <c r="Y144" s="211">
        <f>IF(Q144="Other dry cargo", Alukset_fx!$Q$52, IF(OR(Q144="Dry bulk",Q144="Bulk carrier"),Alukset_fx!$Q$35,IF(OR(Q144="Tanker",Q144="Gas tanker",Q144="Oil tanker"),Alukset_fx!$Q$57,IF(Q144="Chemical tanker",Alukset_fx!$Q$56,IF(OR(Q144="Tugboat",Q144="Barge"),0,IF(Q144="Other vessel",Alukset_fx!$Q$54,IF(Q144="Container ship",Alukset_fx!$Q$37,IF(OR(Q144="RoPax",Q144="RoRo",Q144="Vehicle carrier"),Alukset_fx!$Q$55,0))))))))</f>
        <v>0</v>
      </c>
      <c r="Z144" t="str">
        <f t="shared" si="32"/>
        <v>MDO/MGO</v>
      </c>
      <c r="AA144" t="str">
        <f t="shared" si="33"/>
        <v>MSD</v>
      </c>
      <c r="AB144" t="str">
        <f t="shared" si="34"/>
        <v>MDO/MGO</v>
      </c>
      <c r="AC144" t="str">
        <f t="shared" si="35"/>
        <v>MSD</v>
      </c>
      <c r="AD144" t="str">
        <f t="shared" si="36"/>
        <v>MDO/MGO</v>
      </c>
      <c r="AE144" t="str">
        <f t="shared" si="37"/>
        <v>ST</v>
      </c>
      <c r="AG144">
        <f>Alukset_Käynnit!O151</f>
        <v>0</v>
      </c>
      <c r="AH144" s="207">
        <f>IF(AA144="SSD",((U144*Alukset_fx!$B$24)*Alukset_Käynnit_Lask!W144*(Alukset_fx!$K$49)/1000),IF(AA144="MSD",((U144*Alukset_fx!$B$24)*Alukset_Käynnit_Lask!W144*(Alukset_fx!$K$52)/1000),IF(AA144="HSD",((U144*Alukset_fx!$B$24)*Alukset_Käynnit_Lask!W144*(Alukset_fx!$K$55)/1000),0)))</f>
        <v>0</v>
      </c>
      <c r="AI144" s="207">
        <f>IF(AC144="MSD",((V144*Alukset_fx!$B$25)*Alukset_Käynnit_Lask!W144*(Alukset_fx!$L$52)/1000),IF(AC144="HSD",((V144*Alukset_fx!$B$25)*Alukset_Käynnit_Lask!W144*(Alukset_fx!$L$55)/1000),0))</f>
        <v>0</v>
      </c>
      <c r="AJ144" s="207">
        <f>X144*W144*Alukset_fx!$K$61/1000</f>
        <v>0</v>
      </c>
      <c r="AK144">
        <v>0</v>
      </c>
      <c r="AL144" s="207">
        <f>IF(AG144="Käytetty",0,IF(AC144="MSD",((V144*Alukset_fx!$O$25)*Alukset_Käynnit_Lask!O144*(Alukset_fx!$L$52)/1000),IF(AC144="HSD",((V144*Alukset_fx!$O$25)*Alukset_Käynnit_Lask!O144*(Alukset_fx!$L$55)/1000),0)))</f>
        <v>0</v>
      </c>
      <c r="AM144" s="207">
        <f>IF(AG144="Käytetty",0,Y144*O144*Alukset_fx!$K$61/1000)</f>
        <v>0</v>
      </c>
      <c r="AN144" s="213">
        <f t="shared" si="38"/>
        <v>0</v>
      </c>
    </row>
    <row r="145" spans="1:40" x14ac:dyDescent="0.25">
      <c r="A145" s="203">
        <f>Alukset_Käynnit!A152</f>
        <v>0</v>
      </c>
      <c r="B145" s="203">
        <f>Alukset_Käynnit!B152</f>
        <v>0</v>
      </c>
      <c r="C145" s="262">
        <f>Alukset_Käynnit!C152</f>
        <v>0</v>
      </c>
      <c r="D145" s="266">
        <f>Alukset_Käynnit!D152</f>
        <v>0</v>
      </c>
      <c r="E145" s="262">
        <f>Alukset_Käynnit!E152</f>
        <v>0</v>
      </c>
      <c r="F145" s="262">
        <f>Alukset_Käynnit!F152</f>
        <v>0</v>
      </c>
      <c r="G145" s="262">
        <f>Alukset_Käynnit!G152</f>
        <v>0</v>
      </c>
      <c r="H145" s="262">
        <f>Alukset_Käynnit!H152</f>
        <v>0</v>
      </c>
      <c r="I145" s="262">
        <f>Alukset_Käynnit!I152</f>
        <v>0</v>
      </c>
      <c r="J145" s="262">
        <f>Alukset_Käynnit!J152</f>
        <v>0</v>
      </c>
      <c r="K145" s="262">
        <f>Alukset_Käynnit!K152</f>
        <v>0</v>
      </c>
      <c r="L145" s="205">
        <f>Alukset_Käynnit!L152</f>
        <v>0</v>
      </c>
      <c r="N145" s="273">
        <f t="shared" si="27"/>
        <v>0</v>
      </c>
      <c r="O145" s="274">
        <f t="shared" si="28"/>
        <v>0</v>
      </c>
      <c r="Q145" s="204">
        <f t="shared" si="29"/>
        <v>0</v>
      </c>
      <c r="R145" s="202">
        <f>IF(Q145="Other dry cargo",L145*Alukset_fx!$B$71,IF(OR(Q145="Dry bulk",Q145="Bulk carrier"),L145*Alukset_fx!$B$69,IF(Q145="Tugboat",L145*Alukset_fx!$B$76,IF(OR(Q145="Tanker",Q145="Gas tanker",Q145="Chemical tanker",Q145="Oil tanker"),L145*Alukset_fx!$B$68,IF(OR(Q145="RoRo",Q145="Vehicle carrier"),L145*Alukset_fx!$B$72,IF(Q145="RoPax",L145*Alukset_fx!$B$73,IF(Q145="Container ship",L145*Alukset_fx!$B$70,IF(Q145="Barge",0,L145*Alukset_fx!$B$75))))))))</f>
        <v>0</v>
      </c>
      <c r="S145" s="210">
        <f>IF(L145=0,IF(Q145="Other dry cargo",Alukset_fx!$H$73*(Alukset_Käynnit_Lask!K145^Alukset_fx!$I$73),IF(OR(Q145="Dry Bulk",Q145="Bulk carrier"),Alukset_fx!$H$71*(Alukset_Käynnit_Lask!K145^Alukset_fx!$I$71),IF(Q145="Tugboat",Alukset_fx!$H$78*(Alukset_Käynnit_Lask!K145^Alukset_fx!$I$78),IF(OR(Q145="Tanker",Q145="Gas tanker",Q145="Chemical tanker",Q145="Oil tanker"),Alukset_fx!$H$70*(Alukset_Käynnit_Lask!K145^Alukset_fx!$I$70),IF(Q145="Container ship",Alukset_fx!$H$72*(Alukset_Käynnit_Lask!K145^Alukset_fx!$I$72),IF(Q145="Barge",0,IF(Q145="RoPax",Alukset_fx!$H$75*(Alukset_Käynnit_Lask!K145^Alukset_fx!$I$75),IF(OR(Q145="RoRo",Q145="Vehicle carrier"),Alukset_fx!$H$74*(Alukset_Käynnit_Lask!K145^Alukset_fx!$I$74),Alukset_fx!$H$77*(Alukset_Käynnit_Lask!K145^Alukset_fx!$I$77))))))))),"-")</f>
        <v>0</v>
      </c>
      <c r="T145" s="208">
        <f>IF(R145=0,IF(Q145="Other dry cargo",S145*Alukset_fx!$B$71,IF(OR(Q145="Dry bulk",Q145="Bulk carrier"),S145*Alukset_fx!$B$69,IF(Q145="Tugboat",S145*Alukset_fx!$B$76,IF(OR(Q145="Tanker",Q145="Gas tanker",Q145="Chemical tanker",Q145="Oil tanker"),S145*Alukset_fx!$B$68,IF(OR(Q145="RoRo",Q145="Vehicle carrier"),S145*Alukset_fx!$B$72,IF(Q145="RoPax",S145*Alukset_fx!$B$73,IF(Q145="Container ship",S145*Alukset_fx!$B$70,S145*Alukset_fx!$B$75))))))),"-")</f>
        <v>0</v>
      </c>
      <c r="U145" s="208">
        <f t="shared" si="30"/>
        <v>0</v>
      </c>
      <c r="V145" s="208">
        <f t="shared" si="31"/>
        <v>0</v>
      </c>
      <c r="W145" s="202">
        <f>Alukset_Käynnit!N152</f>
        <v>0</v>
      </c>
      <c r="X145" s="211">
        <f>IF(Q145="Other dry cargo", Alukset_fx!$C$52, IF(OR(Q145="Dry bulk",Q145="Bulk carrier"),Alukset_fx!$C$35,IF(OR(Q145="Tanker",Q145="Gas tanker",Q145="Oil tanker"),Alukset_fx!$C$57,IF(Q145="Chemical tanker",Alukset_fx!$C$56,IF(OR(Q145="Tugboat",Q145="Barge"),0,IF(Q145="Other vessel",Alukset_fx!$C$54,IF(Q145="Container ship",Alukset_fx!$C$37,IF(OR(Q145="RoPax",Q145="RoRo",Q145="Vehicle carrier"),Alukset_fx!$C$55,0))))))))</f>
        <v>0</v>
      </c>
      <c r="Y145" s="211">
        <f>IF(Q145="Other dry cargo", Alukset_fx!$Q$52, IF(OR(Q145="Dry bulk",Q145="Bulk carrier"),Alukset_fx!$Q$35,IF(OR(Q145="Tanker",Q145="Gas tanker",Q145="Oil tanker"),Alukset_fx!$Q$57,IF(Q145="Chemical tanker",Alukset_fx!$Q$56,IF(OR(Q145="Tugboat",Q145="Barge"),0,IF(Q145="Other vessel",Alukset_fx!$Q$54,IF(Q145="Container ship",Alukset_fx!$Q$37,IF(OR(Q145="RoPax",Q145="RoRo",Q145="Vehicle carrier"),Alukset_fx!$Q$55,0))))))))</f>
        <v>0</v>
      </c>
      <c r="Z145" t="str">
        <f t="shared" si="32"/>
        <v>MDO/MGO</v>
      </c>
      <c r="AA145" t="str">
        <f t="shared" si="33"/>
        <v>MSD</v>
      </c>
      <c r="AB145" t="str">
        <f t="shared" si="34"/>
        <v>MDO/MGO</v>
      </c>
      <c r="AC145" t="str">
        <f t="shared" si="35"/>
        <v>MSD</v>
      </c>
      <c r="AD145" t="str">
        <f t="shared" si="36"/>
        <v>MDO/MGO</v>
      </c>
      <c r="AE145" t="str">
        <f t="shared" si="37"/>
        <v>ST</v>
      </c>
      <c r="AG145">
        <f>Alukset_Käynnit!O152</f>
        <v>0</v>
      </c>
      <c r="AH145" s="207">
        <f>IF(AA145="SSD",((U145*Alukset_fx!$B$24)*Alukset_Käynnit_Lask!W145*(Alukset_fx!$K$49)/1000),IF(AA145="MSD",((U145*Alukset_fx!$B$24)*Alukset_Käynnit_Lask!W145*(Alukset_fx!$K$52)/1000),IF(AA145="HSD",((U145*Alukset_fx!$B$24)*Alukset_Käynnit_Lask!W145*(Alukset_fx!$K$55)/1000),0)))</f>
        <v>0</v>
      </c>
      <c r="AI145" s="207">
        <f>IF(AC145="MSD",((V145*Alukset_fx!$B$25)*Alukset_Käynnit_Lask!W145*(Alukset_fx!$L$52)/1000),IF(AC145="HSD",((V145*Alukset_fx!$B$25)*Alukset_Käynnit_Lask!W145*(Alukset_fx!$L$55)/1000),0))</f>
        <v>0</v>
      </c>
      <c r="AJ145" s="207">
        <f>X145*W145*Alukset_fx!$K$61/1000</f>
        <v>0</v>
      </c>
      <c r="AK145">
        <v>0</v>
      </c>
      <c r="AL145" s="207">
        <f>IF(AG145="Käytetty",0,IF(AC145="MSD",((V145*Alukset_fx!$O$25)*Alukset_Käynnit_Lask!O145*(Alukset_fx!$L$52)/1000),IF(AC145="HSD",((V145*Alukset_fx!$O$25)*Alukset_Käynnit_Lask!O145*(Alukset_fx!$L$55)/1000),0)))</f>
        <v>0</v>
      </c>
      <c r="AM145" s="207">
        <f>IF(AG145="Käytetty",0,Y145*O145*Alukset_fx!$K$61/1000)</f>
        <v>0</v>
      </c>
      <c r="AN145" s="213">
        <f t="shared" si="38"/>
        <v>0</v>
      </c>
    </row>
    <row r="146" spans="1:40" x14ac:dyDescent="0.25">
      <c r="A146" s="203">
        <f>Alukset_Käynnit!A153</f>
        <v>0</v>
      </c>
      <c r="B146" s="203">
        <f>Alukset_Käynnit!B153</f>
        <v>0</v>
      </c>
      <c r="C146" s="262">
        <f>Alukset_Käynnit!C153</f>
        <v>0</v>
      </c>
      <c r="D146" s="266">
        <f>Alukset_Käynnit!D153</f>
        <v>0</v>
      </c>
      <c r="E146" s="262">
        <f>Alukset_Käynnit!E153</f>
        <v>0</v>
      </c>
      <c r="F146" s="262">
        <f>Alukset_Käynnit!F153</f>
        <v>0</v>
      </c>
      <c r="G146" s="262">
        <f>Alukset_Käynnit!G153</f>
        <v>0</v>
      </c>
      <c r="H146" s="262">
        <f>Alukset_Käynnit!H153</f>
        <v>0</v>
      </c>
      <c r="I146" s="262">
        <f>Alukset_Käynnit!I153</f>
        <v>0</v>
      </c>
      <c r="J146" s="262">
        <f>Alukset_Käynnit!J153</f>
        <v>0</v>
      </c>
      <c r="K146" s="262">
        <f>Alukset_Käynnit!K153</f>
        <v>0</v>
      </c>
      <c r="L146" s="205">
        <f>Alukset_Käynnit!L153</f>
        <v>0</v>
      </c>
      <c r="N146" s="273">
        <f t="shared" si="27"/>
        <v>0</v>
      </c>
      <c r="O146" s="274">
        <f t="shared" si="28"/>
        <v>0</v>
      </c>
      <c r="Q146" s="204">
        <f t="shared" si="29"/>
        <v>0</v>
      </c>
      <c r="R146" s="202">
        <f>IF(Q146="Other dry cargo",L146*Alukset_fx!$B$71,IF(OR(Q146="Dry bulk",Q146="Bulk carrier"),L146*Alukset_fx!$B$69,IF(Q146="Tugboat",L146*Alukset_fx!$B$76,IF(OR(Q146="Tanker",Q146="Gas tanker",Q146="Chemical tanker",Q146="Oil tanker"),L146*Alukset_fx!$B$68,IF(OR(Q146="RoRo",Q146="Vehicle carrier"),L146*Alukset_fx!$B$72,IF(Q146="RoPax",L146*Alukset_fx!$B$73,IF(Q146="Container ship",L146*Alukset_fx!$B$70,IF(Q146="Barge",0,L146*Alukset_fx!$B$75))))))))</f>
        <v>0</v>
      </c>
      <c r="S146" s="210">
        <f>IF(L146=0,IF(Q146="Other dry cargo",Alukset_fx!$H$73*(Alukset_Käynnit_Lask!K146^Alukset_fx!$I$73),IF(OR(Q146="Dry Bulk",Q146="Bulk carrier"),Alukset_fx!$H$71*(Alukset_Käynnit_Lask!K146^Alukset_fx!$I$71),IF(Q146="Tugboat",Alukset_fx!$H$78*(Alukset_Käynnit_Lask!K146^Alukset_fx!$I$78),IF(OR(Q146="Tanker",Q146="Gas tanker",Q146="Chemical tanker",Q146="Oil tanker"),Alukset_fx!$H$70*(Alukset_Käynnit_Lask!K146^Alukset_fx!$I$70),IF(Q146="Container ship",Alukset_fx!$H$72*(Alukset_Käynnit_Lask!K146^Alukset_fx!$I$72),IF(Q146="Barge",0,IF(Q146="RoPax",Alukset_fx!$H$75*(Alukset_Käynnit_Lask!K146^Alukset_fx!$I$75),IF(OR(Q146="RoRo",Q146="Vehicle carrier"),Alukset_fx!$H$74*(Alukset_Käynnit_Lask!K146^Alukset_fx!$I$74),Alukset_fx!$H$77*(Alukset_Käynnit_Lask!K146^Alukset_fx!$I$77))))))))),"-")</f>
        <v>0</v>
      </c>
      <c r="T146" s="208">
        <f>IF(R146=0,IF(Q146="Other dry cargo",S146*Alukset_fx!$B$71,IF(OR(Q146="Dry bulk",Q146="Bulk carrier"),S146*Alukset_fx!$B$69,IF(Q146="Tugboat",S146*Alukset_fx!$B$76,IF(OR(Q146="Tanker",Q146="Gas tanker",Q146="Chemical tanker",Q146="Oil tanker"),S146*Alukset_fx!$B$68,IF(OR(Q146="RoRo",Q146="Vehicle carrier"),S146*Alukset_fx!$B$72,IF(Q146="RoPax",S146*Alukset_fx!$B$73,IF(Q146="Container ship",S146*Alukset_fx!$B$70,S146*Alukset_fx!$B$75))))))),"-")</f>
        <v>0</v>
      </c>
      <c r="U146" s="208">
        <f t="shared" si="30"/>
        <v>0</v>
      </c>
      <c r="V146" s="208">
        <f t="shared" si="31"/>
        <v>0</v>
      </c>
      <c r="W146" s="202">
        <f>Alukset_Käynnit!N153</f>
        <v>0</v>
      </c>
      <c r="X146" s="211">
        <f>IF(Q146="Other dry cargo", Alukset_fx!$C$52, IF(OR(Q146="Dry bulk",Q146="Bulk carrier"),Alukset_fx!$C$35,IF(OR(Q146="Tanker",Q146="Gas tanker",Q146="Oil tanker"),Alukset_fx!$C$57,IF(Q146="Chemical tanker",Alukset_fx!$C$56,IF(OR(Q146="Tugboat",Q146="Barge"),0,IF(Q146="Other vessel",Alukset_fx!$C$54,IF(Q146="Container ship",Alukset_fx!$C$37,IF(OR(Q146="RoPax",Q146="RoRo",Q146="Vehicle carrier"),Alukset_fx!$C$55,0))))))))</f>
        <v>0</v>
      </c>
      <c r="Y146" s="211">
        <f>IF(Q146="Other dry cargo", Alukset_fx!$Q$52, IF(OR(Q146="Dry bulk",Q146="Bulk carrier"),Alukset_fx!$Q$35,IF(OR(Q146="Tanker",Q146="Gas tanker",Q146="Oil tanker"),Alukset_fx!$Q$57,IF(Q146="Chemical tanker",Alukset_fx!$Q$56,IF(OR(Q146="Tugboat",Q146="Barge"),0,IF(Q146="Other vessel",Alukset_fx!$Q$54,IF(Q146="Container ship",Alukset_fx!$Q$37,IF(OR(Q146="RoPax",Q146="RoRo",Q146="Vehicle carrier"),Alukset_fx!$Q$55,0))))))))</f>
        <v>0</v>
      </c>
      <c r="Z146" t="str">
        <f t="shared" si="32"/>
        <v>MDO/MGO</v>
      </c>
      <c r="AA146" t="str">
        <f t="shared" si="33"/>
        <v>MSD</v>
      </c>
      <c r="AB146" t="str">
        <f t="shared" si="34"/>
        <v>MDO/MGO</v>
      </c>
      <c r="AC146" t="str">
        <f t="shared" si="35"/>
        <v>MSD</v>
      </c>
      <c r="AD146" t="str">
        <f t="shared" si="36"/>
        <v>MDO/MGO</v>
      </c>
      <c r="AE146" t="str">
        <f t="shared" si="37"/>
        <v>ST</v>
      </c>
      <c r="AG146">
        <f>Alukset_Käynnit!O153</f>
        <v>0</v>
      </c>
      <c r="AH146" s="207">
        <f>IF(AA146="SSD",((U146*Alukset_fx!$B$24)*Alukset_Käynnit_Lask!W146*(Alukset_fx!$K$49)/1000),IF(AA146="MSD",((U146*Alukset_fx!$B$24)*Alukset_Käynnit_Lask!W146*(Alukset_fx!$K$52)/1000),IF(AA146="HSD",((U146*Alukset_fx!$B$24)*Alukset_Käynnit_Lask!W146*(Alukset_fx!$K$55)/1000),0)))</f>
        <v>0</v>
      </c>
      <c r="AI146" s="207">
        <f>IF(AC146="MSD",((V146*Alukset_fx!$B$25)*Alukset_Käynnit_Lask!W146*(Alukset_fx!$L$52)/1000),IF(AC146="HSD",((V146*Alukset_fx!$B$25)*Alukset_Käynnit_Lask!W146*(Alukset_fx!$L$55)/1000),0))</f>
        <v>0</v>
      </c>
      <c r="AJ146" s="207">
        <f>X146*W146*Alukset_fx!$K$61/1000</f>
        <v>0</v>
      </c>
      <c r="AK146">
        <v>0</v>
      </c>
      <c r="AL146" s="207">
        <f>IF(AG146="Käytetty",0,IF(AC146="MSD",((V146*Alukset_fx!$O$25)*Alukset_Käynnit_Lask!O146*(Alukset_fx!$L$52)/1000),IF(AC146="HSD",((V146*Alukset_fx!$O$25)*Alukset_Käynnit_Lask!O146*(Alukset_fx!$L$55)/1000),0)))</f>
        <v>0</v>
      </c>
      <c r="AM146" s="207">
        <f>IF(AG146="Käytetty",0,Y146*O146*Alukset_fx!$K$61/1000)</f>
        <v>0</v>
      </c>
      <c r="AN146" s="213">
        <f t="shared" si="38"/>
        <v>0</v>
      </c>
    </row>
    <row r="147" spans="1:40" x14ac:dyDescent="0.25">
      <c r="A147" s="203">
        <f>Alukset_Käynnit!A154</f>
        <v>0</v>
      </c>
      <c r="B147" s="203">
        <f>Alukset_Käynnit!B154</f>
        <v>0</v>
      </c>
      <c r="C147" s="262">
        <f>Alukset_Käynnit!C154</f>
        <v>0</v>
      </c>
      <c r="D147" s="266">
        <f>Alukset_Käynnit!D154</f>
        <v>0</v>
      </c>
      <c r="E147" s="262">
        <f>Alukset_Käynnit!E154</f>
        <v>0</v>
      </c>
      <c r="F147" s="262">
        <f>Alukset_Käynnit!F154</f>
        <v>0</v>
      </c>
      <c r="G147" s="262">
        <f>Alukset_Käynnit!G154</f>
        <v>0</v>
      </c>
      <c r="H147" s="262">
        <f>Alukset_Käynnit!H154</f>
        <v>0</v>
      </c>
      <c r="I147" s="262">
        <f>Alukset_Käynnit!I154</f>
        <v>0</v>
      </c>
      <c r="J147" s="262">
        <f>Alukset_Käynnit!J154</f>
        <v>0</v>
      </c>
      <c r="K147" s="262">
        <f>Alukset_Käynnit!K154</f>
        <v>0</v>
      </c>
      <c r="L147" s="205">
        <f>Alukset_Käynnit!L154</f>
        <v>0</v>
      </c>
      <c r="N147" s="273">
        <f t="shared" si="27"/>
        <v>0</v>
      </c>
      <c r="O147" s="274">
        <f t="shared" si="28"/>
        <v>0</v>
      </c>
      <c r="Q147" s="204">
        <f t="shared" si="29"/>
        <v>0</v>
      </c>
      <c r="R147" s="202">
        <f>IF(Q147="Other dry cargo",L147*Alukset_fx!$B$71,IF(OR(Q147="Dry bulk",Q147="Bulk carrier"),L147*Alukset_fx!$B$69,IF(Q147="Tugboat",L147*Alukset_fx!$B$76,IF(OR(Q147="Tanker",Q147="Gas tanker",Q147="Chemical tanker",Q147="Oil tanker"),L147*Alukset_fx!$B$68,IF(OR(Q147="RoRo",Q147="Vehicle carrier"),L147*Alukset_fx!$B$72,IF(Q147="RoPax",L147*Alukset_fx!$B$73,IF(Q147="Container ship",L147*Alukset_fx!$B$70,IF(Q147="Barge",0,L147*Alukset_fx!$B$75))))))))</f>
        <v>0</v>
      </c>
      <c r="S147" s="210">
        <f>IF(L147=0,IF(Q147="Other dry cargo",Alukset_fx!$H$73*(Alukset_Käynnit_Lask!K147^Alukset_fx!$I$73),IF(OR(Q147="Dry Bulk",Q147="Bulk carrier"),Alukset_fx!$H$71*(Alukset_Käynnit_Lask!K147^Alukset_fx!$I$71),IF(Q147="Tugboat",Alukset_fx!$H$78*(Alukset_Käynnit_Lask!K147^Alukset_fx!$I$78),IF(OR(Q147="Tanker",Q147="Gas tanker",Q147="Chemical tanker",Q147="Oil tanker"),Alukset_fx!$H$70*(Alukset_Käynnit_Lask!K147^Alukset_fx!$I$70),IF(Q147="Container ship",Alukset_fx!$H$72*(Alukset_Käynnit_Lask!K147^Alukset_fx!$I$72),IF(Q147="Barge",0,IF(Q147="RoPax",Alukset_fx!$H$75*(Alukset_Käynnit_Lask!K147^Alukset_fx!$I$75),IF(OR(Q147="RoRo",Q147="Vehicle carrier"),Alukset_fx!$H$74*(Alukset_Käynnit_Lask!K147^Alukset_fx!$I$74),Alukset_fx!$H$77*(Alukset_Käynnit_Lask!K147^Alukset_fx!$I$77))))))))),"-")</f>
        <v>0</v>
      </c>
      <c r="T147" s="208">
        <f>IF(R147=0,IF(Q147="Other dry cargo",S147*Alukset_fx!$B$71,IF(OR(Q147="Dry bulk",Q147="Bulk carrier"),S147*Alukset_fx!$B$69,IF(Q147="Tugboat",S147*Alukset_fx!$B$76,IF(OR(Q147="Tanker",Q147="Gas tanker",Q147="Chemical tanker",Q147="Oil tanker"),S147*Alukset_fx!$B$68,IF(OR(Q147="RoRo",Q147="Vehicle carrier"),S147*Alukset_fx!$B$72,IF(Q147="RoPax",S147*Alukset_fx!$B$73,IF(Q147="Container ship",S147*Alukset_fx!$B$70,S147*Alukset_fx!$B$75))))))),"-")</f>
        <v>0</v>
      </c>
      <c r="U147" s="208">
        <f t="shared" si="30"/>
        <v>0</v>
      </c>
      <c r="V147" s="208">
        <f t="shared" si="31"/>
        <v>0</v>
      </c>
      <c r="W147" s="202">
        <f>Alukset_Käynnit!N154</f>
        <v>0</v>
      </c>
      <c r="X147" s="211">
        <f>IF(Q147="Other dry cargo", Alukset_fx!$C$52, IF(OR(Q147="Dry bulk",Q147="Bulk carrier"),Alukset_fx!$C$35,IF(OR(Q147="Tanker",Q147="Gas tanker",Q147="Oil tanker"),Alukset_fx!$C$57,IF(Q147="Chemical tanker",Alukset_fx!$C$56,IF(OR(Q147="Tugboat",Q147="Barge"),0,IF(Q147="Other vessel",Alukset_fx!$C$54,IF(Q147="Container ship",Alukset_fx!$C$37,IF(OR(Q147="RoPax",Q147="RoRo",Q147="Vehicle carrier"),Alukset_fx!$C$55,0))))))))</f>
        <v>0</v>
      </c>
      <c r="Y147" s="211">
        <f>IF(Q147="Other dry cargo", Alukset_fx!$Q$52, IF(OR(Q147="Dry bulk",Q147="Bulk carrier"),Alukset_fx!$Q$35,IF(OR(Q147="Tanker",Q147="Gas tanker",Q147="Oil tanker"),Alukset_fx!$Q$57,IF(Q147="Chemical tanker",Alukset_fx!$Q$56,IF(OR(Q147="Tugboat",Q147="Barge"),0,IF(Q147="Other vessel",Alukset_fx!$Q$54,IF(Q147="Container ship",Alukset_fx!$Q$37,IF(OR(Q147="RoPax",Q147="RoRo",Q147="Vehicle carrier"),Alukset_fx!$Q$55,0))))))))</f>
        <v>0</v>
      </c>
      <c r="Z147" t="str">
        <f t="shared" si="32"/>
        <v>MDO/MGO</v>
      </c>
      <c r="AA147" t="str">
        <f t="shared" si="33"/>
        <v>MSD</v>
      </c>
      <c r="AB147" t="str">
        <f t="shared" si="34"/>
        <v>MDO/MGO</v>
      </c>
      <c r="AC147" t="str">
        <f t="shared" si="35"/>
        <v>MSD</v>
      </c>
      <c r="AD147" t="str">
        <f t="shared" si="36"/>
        <v>MDO/MGO</v>
      </c>
      <c r="AE147" t="str">
        <f t="shared" si="37"/>
        <v>ST</v>
      </c>
      <c r="AG147">
        <f>Alukset_Käynnit!O154</f>
        <v>0</v>
      </c>
      <c r="AH147" s="207">
        <f>IF(AA147="SSD",((U147*Alukset_fx!$B$24)*Alukset_Käynnit_Lask!W147*(Alukset_fx!$K$49)/1000),IF(AA147="MSD",((U147*Alukset_fx!$B$24)*Alukset_Käynnit_Lask!W147*(Alukset_fx!$K$52)/1000),IF(AA147="HSD",((U147*Alukset_fx!$B$24)*Alukset_Käynnit_Lask!W147*(Alukset_fx!$K$55)/1000),0)))</f>
        <v>0</v>
      </c>
      <c r="AI147" s="207">
        <f>IF(AC147="MSD",((V147*Alukset_fx!$B$25)*Alukset_Käynnit_Lask!W147*(Alukset_fx!$L$52)/1000),IF(AC147="HSD",((V147*Alukset_fx!$B$25)*Alukset_Käynnit_Lask!W147*(Alukset_fx!$L$55)/1000),0))</f>
        <v>0</v>
      </c>
      <c r="AJ147" s="207">
        <f>X147*W147*Alukset_fx!$K$61/1000</f>
        <v>0</v>
      </c>
      <c r="AK147">
        <v>0</v>
      </c>
      <c r="AL147" s="207">
        <f>IF(AG147="Käytetty",0,IF(AC147="MSD",((V147*Alukset_fx!$O$25)*Alukset_Käynnit_Lask!O147*(Alukset_fx!$L$52)/1000),IF(AC147="HSD",((V147*Alukset_fx!$O$25)*Alukset_Käynnit_Lask!O147*(Alukset_fx!$L$55)/1000),0)))</f>
        <v>0</v>
      </c>
      <c r="AM147" s="207">
        <f>IF(AG147="Käytetty",0,Y147*O147*Alukset_fx!$K$61/1000)</f>
        <v>0</v>
      </c>
      <c r="AN147" s="213">
        <f t="shared" si="38"/>
        <v>0</v>
      </c>
    </row>
    <row r="148" spans="1:40" x14ac:dyDescent="0.25">
      <c r="A148" s="203">
        <f>Alukset_Käynnit!A155</f>
        <v>0</v>
      </c>
      <c r="B148" s="203">
        <f>Alukset_Käynnit!B155</f>
        <v>0</v>
      </c>
      <c r="C148" s="262">
        <f>Alukset_Käynnit!C155</f>
        <v>0</v>
      </c>
      <c r="D148" s="266">
        <f>Alukset_Käynnit!D155</f>
        <v>0</v>
      </c>
      <c r="E148" s="262">
        <f>Alukset_Käynnit!E155</f>
        <v>0</v>
      </c>
      <c r="F148" s="262">
        <f>Alukset_Käynnit!F155</f>
        <v>0</v>
      </c>
      <c r="G148" s="262">
        <f>Alukset_Käynnit!G155</f>
        <v>0</v>
      </c>
      <c r="H148" s="262">
        <f>Alukset_Käynnit!H155</f>
        <v>0</v>
      </c>
      <c r="I148" s="262">
        <f>Alukset_Käynnit!I155</f>
        <v>0</v>
      </c>
      <c r="J148" s="262">
        <f>Alukset_Käynnit!J155</f>
        <v>0</v>
      </c>
      <c r="K148" s="262">
        <f>Alukset_Käynnit!K155</f>
        <v>0</v>
      </c>
      <c r="L148" s="205">
        <f>Alukset_Käynnit!L155</f>
        <v>0</v>
      </c>
      <c r="N148" s="273">
        <f t="shared" si="27"/>
        <v>0</v>
      </c>
      <c r="O148" s="274">
        <f t="shared" si="28"/>
        <v>0</v>
      </c>
      <c r="Q148" s="204">
        <f t="shared" si="29"/>
        <v>0</v>
      </c>
      <c r="R148" s="202">
        <f>IF(Q148="Other dry cargo",L148*Alukset_fx!$B$71,IF(OR(Q148="Dry bulk",Q148="Bulk carrier"),L148*Alukset_fx!$B$69,IF(Q148="Tugboat",L148*Alukset_fx!$B$76,IF(OR(Q148="Tanker",Q148="Gas tanker",Q148="Chemical tanker",Q148="Oil tanker"),L148*Alukset_fx!$B$68,IF(OR(Q148="RoRo",Q148="Vehicle carrier"),L148*Alukset_fx!$B$72,IF(Q148="RoPax",L148*Alukset_fx!$B$73,IF(Q148="Container ship",L148*Alukset_fx!$B$70,IF(Q148="Barge",0,L148*Alukset_fx!$B$75))))))))</f>
        <v>0</v>
      </c>
      <c r="S148" s="210">
        <f>IF(L148=0,IF(Q148="Other dry cargo",Alukset_fx!$H$73*(Alukset_Käynnit_Lask!K148^Alukset_fx!$I$73),IF(OR(Q148="Dry Bulk",Q148="Bulk carrier"),Alukset_fx!$H$71*(Alukset_Käynnit_Lask!K148^Alukset_fx!$I$71),IF(Q148="Tugboat",Alukset_fx!$H$78*(Alukset_Käynnit_Lask!K148^Alukset_fx!$I$78),IF(OR(Q148="Tanker",Q148="Gas tanker",Q148="Chemical tanker",Q148="Oil tanker"),Alukset_fx!$H$70*(Alukset_Käynnit_Lask!K148^Alukset_fx!$I$70),IF(Q148="Container ship",Alukset_fx!$H$72*(Alukset_Käynnit_Lask!K148^Alukset_fx!$I$72),IF(Q148="Barge",0,IF(Q148="RoPax",Alukset_fx!$H$75*(Alukset_Käynnit_Lask!K148^Alukset_fx!$I$75),IF(OR(Q148="RoRo",Q148="Vehicle carrier"),Alukset_fx!$H$74*(Alukset_Käynnit_Lask!K148^Alukset_fx!$I$74),Alukset_fx!$H$77*(Alukset_Käynnit_Lask!K148^Alukset_fx!$I$77))))))))),"-")</f>
        <v>0</v>
      </c>
      <c r="T148" s="208">
        <f>IF(R148=0,IF(Q148="Other dry cargo",S148*Alukset_fx!$B$71,IF(OR(Q148="Dry bulk",Q148="Bulk carrier"),S148*Alukset_fx!$B$69,IF(Q148="Tugboat",S148*Alukset_fx!$B$76,IF(OR(Q148="Tanker",Q148="Gas tanker",Q148="Chemical tanker",Q148="Oil tanker"),S148*Alukset_fx!$B$68,IF(OR(Q148="RoRo",Q148="Vehicle carrier"),S148*Alukset_fx!$B$72,IF(Q148="RoPax",S148*Alukset_fx!$B$73,IF(Q148="Container ship",S148*Alukset_fx!$B$70,S148*Alukset_fx!$B$75))))))),"-")</f>
        <v>0</v>
      </c>
      <c r="U148" s="208">
        <f t="shared" si="30"/>
        <v>0</v>
      </c>
      <c r="V148" s="208">
        <f t="shared" si="31"/>
        <v>0</v>
      </c>
      <c r="W148" s="202">
        <f>Alukset_Käynnit!N155</f>
        <v>0</v>
      </c>
      <c r="X148" s="211">
        <f>IF(Q148="Other dry cargo", Alukset_fx!$C$52, IF(OR(Q148="Dry bulk",Q148="Bulk carrier"),Alukset_fx!$C$35,IF(OR(Q148="Tanker",Q148="Gas tanker",Q148="Oil tanker"),Alukset_fx!$C$57,IF(Q148="Chemical tanker",Alukset_fx!$C$56,IF(OR(Q148="Tugboat",Q148="Barge"),0,IF(Q148="Other vessel",Alukset_fx!$C$54,IF(Q148="Container ship",Alukset_fx!$C$37,IF(OR(Q148="RoPax",Q148="RoRo",Q148="Vehicle carrier"),Alukset_fx!$C$55,0))))))))</f>
        <v>0</v>
      </c>
      <c r="Y148" s="211">
        <f>IF(Q148="Other dry cargo", Alukset_fx!$Q$52, IF(OR(Q148="Dry bulk",Q148="Bulk carrier"),Alukset_fx!$Q$35,IF(OR(Q148="Tanker",Q148="Gas tanker",Q148="Oil tanker"),Alukset_fx!$Q$57,IF(Q148="Chemical tanker",Alukset_fx!$Q$56,IF(OR(Q148="Tugboat",Q148="Barge"),0,IF(Q148="Other vessel",Alukset_fx!$Q$54,IF(Q148="Container ship",Alukset_fx!$Q$37,IF(OR(Q148="RoPax",Q148="RoRo",Q148="Vehicle carrier"),Alukset_fx!$Q$55,0))))))))</f>
        <v>0</v>
      </c>
      <c r="Z148" t="str">
        <f t="shared" si="32"/>
        <v>MDO/MGO</v>
      </c>
      <c r="AA148" t="str">
        <f t="shared" si="33"/>
        <v>MSD</v>
      </c>
      <c r="AB148" t="str">
        <f t="shared" si="34"/>
        <v>MDO/MGO</v>
      </c>
      <c r="AC148" t="str">
        <f t="shared" si="35"/>
        <v>MSD</v>
      </c>
      <c r="AD148" t="str">
        <f t="shared" si="36"/>
        <v>MDO/MGO</v>
      </c>
      <c r="AE148" t="str">
        <f t="shared" si="37"/>
        <v>ST</v>
      </c>
      <c r="AG148">
        <f>Alukset_Käynnit!O155</f>
        <v>0</v>
      </c>
      <c r="AH148" s="207">
        <f>IF(AA148="SSD",((U148*Alukset_fx!$B$24)*Alukset_Käynnit_Lask!W148*(Alukset_fx!$K$49)/1000),IF(AA148="MSD",((U148*Alukset_fx!$B$24)*Alukset_Käynnit_Lask!W148*(Alukset_fx!$K$52)/1000),IF(AA148="HSD",((U148*Alukset_fx!$B$24)*Alukset_Käynnit_Lask!W148*(Alukset_fx!$K$55)/1000),0)))</f>
        <v>0</v>
      </c>
      <c r="AI148" s="207">
        <f>IF(AC148="MSD",((V148*Alukset_fx!$B$25)*Alukset_Käynnit_Lask!W148*(Alukset_fx!$L$52)/1000),IF(AC148="HSD",((V148*Alukset_fx!$B$25)*Alukset_Käynnit_Lask!W148*(Alukset_fx!$L$55)/1000),0))</f>
        <v>0</v>
      </c>
      <c r="AJ148" s="207">
        <f>X148*W148*Alukset_fx!$K$61/1000</f>
        <v>0</v>
      </c>
      <c r="AK148">
        <v>0</v>
      </c>
      <c r="AL148" s="207">
        <f>IF(AG148="Käytetty",0,IF(AC148="MSD",((V148*Alukset_fx!$O$25)*Alukset_Käynnit_Lask!O148*(Alukset_fx!$L$52)/1000),IF(AC148="HSD",((V148*Alukset_fx!$O$25)*Alukset_Käynnit_Lask!O148*(Alukset_fx!$L$55)/1000),0)))</f>
        <v>0</v>
      </c>
      <c r="AM148" s="207">
        <f>IF(AG148="Käytetty",0,Y148*O148*Alukset_fx!$K$61/1000)</f>
        <v>0</v>
      </c>
      <c r="AN148" s="213">
        <f t="shared" si="38"/>
        <v>0</v>
      </c>
    </row>
    <row r="149" spans="1:40" x14ac:dyDescent="0.25">
      <c r="A149" s="203">
        <f>Alukset_Käynnit!A156</f>
        <v>0</v>
      </c>
      <c r="B149" s="203">
        <f>Alukset_Käynnit!B156</f>
        <v>0</v>
      </c>
      <c r="C149" s="262">
        <f>Alukset_Käynnit!C156</f>
        <v>0</v>
      </c>
      <c r="D149" s="266">
        <f>Alukset_Käynnit!D156</f>
        <v>0</v>
      </c>
      <c r="E149" s="262">
        <f>Alukset_Käynnit!E156</f>
        <v>0</v>
      </c>
      <c r="F149" s="262">
        <f>Alukset_Käynnit!F156</f>
        <v>0</v>
      </c>
      <c r="G149" s="262">
        <f>Alukset_Käynnit!G156</f>
        <v>0</v>
      </c>
      <c r="H149" s="262">
        <f>Alukset_Käynnit!H156</f>
        <v>0</v>
      </c>
      <c r="I149" s="262">
        <f>Alukset_Käynnit!I156</f>
        <v>0</v>
      </c>
      <c r="J149" s="262">
        <f>Alukset_Käynnit!J156</f>
        <v>0</v>
      </c>
      <c r="K149" s="262">
        <f>Alukset_Käynnit!K156</f>
        <v>0</v>
      </c>
      <c r="L149" s="205">
        <f>Alukset_Käynnit!L156</f>
        <v>0</v>
      </c>
      <c r="N149" s="273">
        <f t="shared" ref="N149:N212" si="39">(B149-A149)*1440</f>
        <v>0</v>
      </c>
      <c r="O149" s="274">
        <f t="shared" ref="O149:O212" si="40">N149/60</f>
        <v>0</v>
      </c>
      <c r="Q149" s="204">
        <f t="shared" si="29"/>
        <v>0</v>
      </c>
      <c r="R149" s="202">
        <f>IF(Q149="Other dry cargo",L149*Alukset_fx!$B$71,IF(OR(Q149="Dry bulk",Q149="Bulk carrier"),L149*Alukset_fx!$B$69,IF(Q149="Tugboat",L149*Alukset_fx!$B$76,IF(OR(Q149="Tanker",Q149="Gas tanker",Q149="Chemical tanker",Q149="Oil tanker"),L149*Alukset_fx!$B$68,IF(OR(Q149="RoRo",Q149="Vehicle carrier"),L149*Alukset_fx!$B$72,IF(Q149="RoPax",L149*Alukset_fx!$B$73,IF(Q149="Container ship",L149*Alukset_fx!$B$70,IF(Q149="Barge",0,L149*Alukset_fx!$B$75))))))))</f>
        <v>0</v>
      </c>
      <c r="S149" s="210">
        <f>IF(L149=0,IF(Q149="Other dry cargo",Alukset_fx!$H$73*(Alukset_Käynnit_Lask!K149^Alukset_fx!$I$73),IF(OR(Q149="Dry Bulk",Q149="Bulk carrier"),Alukset_fx!$H$71*(Alukset_Käynnit_Lask!K149^Alukset_fx!$I$71),IF(Q149="Tugboat",Alukset_fx!$H$78*(Alukset_Käynnit_Lask!K149^Alukset_fx!$I$78),IF(OR(Q149="Tanker",Q149="Gas tanker",Q149="Chemical tanker",Q149="Oil tanker"),Alukset_fx!$H$70*(Alukset_Käynnit_Lask!K149^Alukset_fx!$I$70),IF(Q149="Container ship",Alukset_fx!$H$72*(Alukset_Käynnit_Lask!K149^Alukset_fx!$I$72),IF(Q149="Barge",0,IF(Q149="RoPax",Alukset_fx!$H$75*(Alukset_Käynnit_Lask!K149^Alukset_fx!$I$75),IF(OR(Q149="RoRo",Q149="Vehicle carrier"),Alukset_fx!$H$74*(Alukset_Käynnit_Lask!K149^Alukset_fx!$I$74),Alukset_fx!$H$77*(Alukset_Käynnit_Lask!K149^Alukset_fx!$I$77))))))))),"-")</f>
        <v>0</v>
      </c>
      <c r="T149" s="208">
        <f>IF(R149=0,IF(Q149="Other dry cargo",S149*Alukset_fx!$B$71,IF(OR(Q149="Dry bulk",Q149="Bulk carrier"),S149*Alukset_fx!$B$69,IF(Q149="Tugboat",S149*Alukset_fx!$B$76,IF(OR(Q149="Tanker",Q149="Gas tanker",Q149="Chemical tanker",Q149="Oil tanker"),S149*Alukset_fx!$B$68,IF(OR(Q149="RoRo",Q149="Vehicle carrier"),S149*Alukset_fx!$B$72,IF(Q149="RoPax",S149*Alukset_fx!$B$73,IF(Q149="Container ship",S149*Alukset_fx!$B$70,S149*Alukset_fx!$B$75))))))),"-")</f>
        <v>0</v>
      </c>
      <c r="U149" s="208">
        <f t="shared" si="30"/>
        <v>0</v>
      </c>
      <c r="V149" s="208">
        <f t="shared" si="31"/>
        <v>0</v>
      </c>
      <c r="W149" s="202">
        <f>Alukset_Käynnit!N156</f>
        <v>0</v>
      </c>
      <c r="X149" s="211">
        <f>IF(Q149="Other dry cargo", Alukset_fx!$C$52, IF(OR(Q149="Dry bulk",Q149="Bulk carrier"),Alukset_fx!$C$35,IF(OR(Q149="Tanker",Q149="Gas tanker",Q149="Oil tanker"),Alukset_fx!$C$57,IF(Q149="Chemical tanker",Alukset_fx!$C$56,IF(OR(Q149="Tugboat",Q149="Barge"),0,IF(Q149="Other vessel",Alukset_fx!$C$54,IF(Q149="Container ship",Alukset_fx!$C$37,IF(OR(Q149="RoPax",Q149="RoRo",Q149="Vehicle carrier"),Alukset_fx!$C$55,0))))))))</f>
        <v>0</v>
      </c>
      <c r="Y149" s="211">
        <f>IF(Q149="Other dry cargo", Alukset_fx!$Q$52, IF(OR(Q149="Dry bulk",Q149="Bulk carrier"),Alukset_fx!$Q$35,IF(OR(Q149="Tanker",Q149="Gas tanker",Q149="Oil tanker"),Alukset_fx!$Q$57,IF(Q149="Chemical tanker",Alukset_fx!$Q$56,IF(OR(Q149="Tugboat",Q149="Barge"),0,IF(Q149="Other vessel",Alukset_fx!$Q$54,IF(Q149="Container ship",Alukset_fx!$Q$37,IF(OR(Q149="RoPax",Q149="RoRo",Q149="Vehicle carrier"),Alukset_fx!$Q$55,0))))))))</f>
        <v>0</v>
      </c>
      <c r="Z149" t="str">
        <f t="shared" si="32"/>
        <v>MDO/MGO</v>
      </c>
      <c r="AA149" t="str">
        <f t="shared" si="33"/>
        <v>MSD</v>
      </c>
      <c r="AB149" t="str">
        <f t="shared" si="34"/>
        <v>MDO/MGO</v>
      </c>
      <c r="AC149" t="str">
        <f t="shared" si="35"/>
        <v>MSD</v>
      </c>
      <c r="AD149" t="str">
        <f t="shared" si="36"/>
        <v>MDO/MGO</v>
      </c>
      <c r="AE149" t="str">
        <f t="shared" si="37"/>
        <v>ST</v>
      </c>
      <c r="AG149">
        <f>Alukset_Käynnit!O156</f>
        <v>0</v>
      </c>
      <c r="AH149" s="207">
        <f>IF(AA149="SSD",((U149*Alukset_fx!$B$24)*Alukset_Käynnit_Lask!W149*(Alukset_fx!$K$49)/1000),IF(AA149="MSD",((U149*Alukset_fx!$B$24)*Alukset_Käynnit_Lask!W149*(Alukset_fx!$K$52)/1000),IF(AA149="HSD",((U149*Alukset_fx!$B$24)*Alukset_Käynnit_Lask!W149*(Alukset_fx!$K$55)/1000),0)))</f>
        <v>0</v>
      </c>
      <c r="AI149" s="207">
        <f>IF(AC149="MSD",((V149*Alukset_fx!$B$25)*Alukset_Käynnit_Lask!W149*(Alukset_fx!$L$52)/1000),IF(AC149="HSD",((V149*Alukset_fx!$B$25)*Alukset_Käynnit_Lask!W149*(Alukset_fx!$L$55)/1000),0))</f>
        <v>0</v>
      </c>
      <c r="AJ149" s="207">
        <f>X149*W149*Alukset_fx!$K$61/1000</f>
        <v>0</v>
      </c>
      <c r="AK149">
        <v>0</v>
      </c>
      <c r="AL149" s="207">
        <f>IF(AG149="Käytetty",0,IF(AC149="MSD",((V149*Alukset_fx!$O$25)*Alukset_Käynnit_Lask!O149*(Alukset_fx!$L$52)/1000),IF(AC149="HSD",((V149*Alukset_fx!$O$25)*Alukset_Käynnit_Lask!O149*(Alukset_fx!$L$55)/1000),0)))</f>
        <v>0</v>
      </c>
      <c r="AM149" s="207">
        <f>IF(AG149="Käytetty",0,Y149*O149*Alukset_fx!$K$61/1000)</f>
        <v>0</v>
      </c>
      <c r="AN149" s="213">
        <f t="shared" si="38"/>
        <v>0</v>
      </c>
    </row>
    <row r="150" spans="1:40" x14ac:dyDescent="0.25">
      <c r="A150" s="203">
        <f>Alukset_Käynnit!A157</f>
        <v>0</v>
      </c>
      <c r="B150" s="203">
        <f>Alukset_Käynnit!B157</f>
        <v>0</v>
      </c>
      <c r="C150" s="262">
        <f>Alukset_Käynnit!C157</f>
        <v>0</v>
      </c>
      <c r="D150" s="266">
        <f>Alukset_Käynnit!D157</f>
        <v>0</v>
      </c>
      <c r="E150" s="262">
        <f>Alukset_Käynnit!E157</f>
        <v>0</v>
      </c>
      <c r="F150" s="262">
        <f>Alukset_Käynnit!F157</f>
        <v>0</v>
      </c>
      <c r="G150" s="262">
        <f>Alukset_Käynnit!G157</f>
        <v>0</v>
      </c>
      <c r="H150" s="262">
        <f>Alukset_Käynnit!H157</f>
        <v>0</v>
      </c>
      <c r="I150" s="262">
        <f>Alukset_Käynnit!I157</f>
        <v>0</v>
      </c>
      <c r="J150" s="262">
        <f>Alukset_Käynnit!J157</f>
        <v>0</v>
      </c>
      <c r="K150" s="262">
        <f>Alukset_Käynnit!K157</f>
        <v>0</v>
      </c>
      <c r="L150" s="205">
        <f>Alukset_Käynnit!L157</f>
        <v>0</v>
      </c>
      <c r="N150" s="273">
        <f t="shared" si="39"/>
        <v>0</v>
      </c>
      <c r="O150" s="274">
        <f t="shared" si="40"/>
        <v>0</v>
      </c>
      <c r="Q150" s="204">
        <f t="shared" si="29"/>
        <v>0</v>
      </c>
      <c r="R150" s="202">
        <f>IF(Q150="Other dry cargo",L150*Alukset_fx!$B$71,IF(OR(Q150="Dry bulk",Q150="Bulk carrier"),L150*Alukset_fx!$B$69,IF(Q150="Tugboat",L150*Alukset_fx!$B$76,IF(OR(Q150="Tanker",Q150="Gas tanker",Q150="Chemical tanker",Q150="Oil tanker"),L150*Alukset_fx!$B$68,IF(OR(Q150="RoRo",Q150="Vehicle carrier"),L150*Alukset_fx!$B$72,IF(Q150="RoPax",L150*Alukset_fx!$B$73,IF(Q150="Container ship",L150*Alukset_fx!$B$70,IF(Q150="Barge",0,L150*Alukset_fx!$B$75))))))))</f>
        <v>0</v>
      </c>
      <c r="S150" s="210">
        <f>IF(L150=0,IF(Q150="Other dry cargo",Alukset_fx!$H$73*(Alukset_Käynnit_Lask!K150^Alukset_fx!$I$73),IF(OR(Q150="Dry Bulk",Q150="Bulk carrier"),Alukset_fx!$H$71*(Alukset_Käynnit_Lask!K150^Alukset_fx!$I$71),IF(Q150="Tugboat",Alukset_fx!$H$78*(Alukset_Käynnit_Lask!K150^Alukset_fx!$I$78),IF(OR(Q150="Tanker",Q150="Gas tanker",Q150="Chemical tanker",Q150="Oil tanker"),Alukset_fx!$H$70*(Alukset_Käynnit_Lask!K150^Alukset_fx!$I$70),IF(Q150="Container ship",Alukset_fx!$H$72*(Alukset_Käynnit_Lask!K150^Alukset_fx!$I$72),IF(Q150="Barge",0,IF(Q150="RoPax",Alukset_fx!$H$75*(Alukset_Käynnit_Lask!K150^Alukset_fx!$I$75),IF(OR(Q150="RoRo",Q150="Vehicle carrier"),Alukset_fx!$H$74*(Alukset_Käynnit_Lask!K150^Alukset_fx!$I$74),Alukset_fx!$H$77*(Alukset_Käynnit_Lask!K150^Alukset_fx!$I$77))))))))),"-")</f>
        <v>0</v>
      </c>
      <c r="T150" s="208">
        <f>IF(R150=0,IF(Q150="Other dry cargo",S150*Alukset_fx!$B$71,IF(OR(Q150="Dry bulk",Q150="Bulk carrier"),S150*Alukset_fx!$B$69,IF(Q150="Tugboat",S150*Alukset_fx!$B$76,IF(OR(Q150="Tanker",Q150="Gas tanker",Q150="Chemical tanker",Q150="Oil tanker"),S150*Alukset_fx!$B$68,IF(OR(Q150="RoRo",Q150="Vehicle carrier"),S150*Alukset_fx!$B$72,IF(Q150="RoPax",S150*Alukset_fx!$B$73,IF(Q150="Container ship",S150*Alukset_fx!$B$70,S150*Alukset_fx!$B$75))))))),"-")</f>
        <v>0</v>
      </c>
      <c r="U150" s="208">
        <f t="shared" si="30"/>
        <v>0</v>
      </c>
      <c r="V150" s="208">
        <f t="shared" si="31"/>
        <v>0</v>
      </c>
      <c r="W150" s="202">
        <f>Alukset_Käynnit!N157</f>
        <v>0</v>
      </c>
      <c r="X150" s="211">
        <f>IF(Q150="Other dry cargo", Alukset_fx!$C$52, IF(OR(Q150="Dry bulk",Q150="Bulk carrier"),Alukset_fx!$C$35,IF(OR(Q150="Tanker",Q150="Gas tanker",Q150="Oil tanker"),Alukset_fx!$C$57,IF(Q150="Chemical tanker",Alukset_fx!$C$56,IF(OR(Q150="Tugboat",Q150="Barge"),0,IF(Q150="Other vessel",Alukset_fx!$C$54,IF(Q150="Container ship",Alukset_fx!$C$37,IF(OR(Q150="RoPax",Q150="RoRo",Q150="Vehicle carrier"),Alukset_fx!$C$55,0))))))))</f>
        <v>0</v>
      </c>
      <c r="Y150" s="211">
        <f>IF(Q150="Other dry cargo", Alukset_fx!$Q$52, IF(OR(Q150="Dry bulk",Q150="Bulk carrier"),Alukset_fx!$Q$35,IF(OR(Q150="Tanker",Q150="Gas tanker",Q150="Oil tanker"),Alukset_fx!$Q$57,IF(Q150="Chemical tanker",Alukset_fx!$Q$56,IF(OR(Q150="Tugboat",Q150="Barge"),0,IF(Q150="Other vessel",Alukset_fx!$Q$54,IF(Q150="Container ship",Alukset_fx!$Q$37,IF(OR(Q150="RoPax",Q150="RoRo",Q150="Vehicle carrier"),Alukset_fx!$Q$55,0))))))))</f>
        <v>0</v>
      </c>
      <c r="Z150" t="str">
        <f t="shared" si="32"/>
        <v>MDO/MGO</v>
      </c>
      <c r="AA150" t="str">
        <f t="shared" si="33"/>
        <v>MSD</v>
      </c>
      <c r="AB150" t="str">
        <f t="shared" si="34"/>
        <v>MDO/MGO</v>
      </c>
      <c r="AC150" t="str">
        <f t="shared" si="35"/>
        <v>MSD</v>
      </c>
      <c r="AD150" t="str">
        <f t="shared" si="36"/>
        <v>MDO/MGO</v>
      </c>
      <c r="AE150" t="str">
        <f t="shared" si="37"/>
        <v>ST</v>
      </c>
      <c r="AG150">
        <f>Alukset_Käynnit!O157</f>
        <v>0</v>
      </c>
      <c r="AH150" s="207">
        <f>IF(AA150="SSD",((U150*Alukset_fx!$B$24)*Alukset_Käynnit_Lask!W150*(Alukset_fx!$K$49)/1000),IF(AA150="MSD",((U150*Alukset_fx!$B$24)*Alukset_Käynnit_Lask!W150*(Alukset_fx!$K$52)/1000),IF(AA150="HSD",((U150*Alukset_fx!$B$24)*Alukset_Käynnit_Lask!W150*(Alukset_fx!$K$55)/1000),0)))</f>
        <v>0</v>
      </c>
      <c r="AI150" s="207">
        <f>IF(AC150="MSD",((V150*Alukset_fx!$B$25)*Alukset_Käynnit_Lask!W150*(Alukset_fx!$L$52)/1000),IF(AC150="HSD",((V150*Alukset_fx!$B$25)*Alukset_Käynnit_Lask!W150*(Alukset_fx!$L$55)/1000),0))</f>
        <v>0</v>
      </c>
      <c r="AJ150" s="207">
        <f>X150*W150*Alukset_fx!$K$61/1000</f>
        <v>0</v>
      </c>
      <c r="AK150">
        <v>0</v>
      </c>
      <c r="AL150" s="207">
        <f>IF(AG150="Käytetty",0,IF(AC150="MSD",((V150*Alukset_fx!$O$25)*Alukset_Käynnit_Lask!O150*(Alukset_fx!$L$52)/1000),IF(AC150="HSD",((V150*Alukset_fx!$O$25)*Alukset_Käynnit_Lask!O150*(Alukset_fx!$L$55)/1000),0)))</f>
        <v>0</v>
      </c>
      <c r="AM150" s="207">
        <f>IF(AG150="Käytetty",0,Y150*O150*Alukset_fx!$K$61/1000)</f>
        <v>0</v>
      </c>
      <c r="AN150" s="213">
        <f t="shared" si="38"/>
        <v>0</v>
      </c>
    </row>
    <row r="151" spans="1:40" x14ac:dyDescent="0.25">
      <c r="A151" s="203">
        <f>Alukset_Käynnit!A158</f>
        <v>0</v>
      </c>
      <c r="B151" s="203">
        <f>Alukset_Käynnit!B158</f>
        <v>0</v>
      </c>
      <c r="C151" s="262">
        <f>Alukset_Käynnit!C158</f>
        <v>0</v>
      </c>
      <c r="D151" s="266">
        <f>Alukset_Käynnit!D158</f>
        <v>0</v>
      </c>
      <c r="E151" s="262">
        <f>Alukset_Käynnit!E158</f>
        <v>0</v>
      </c>
      <c r="F151" s="262">
        <f>Alukset_Käynnit!F158</f>
        <v>0</v>
      </c>
      <c r="G151" s="262">
        <f>Alukset_Käynnit!G158</f>
        <v>0</v>
      </c>
      <c r="H151" s="262">
        <f>Alukset_Käynnit!H158</f>
        <v>0</v>
      </c>
      <c r="I151" s="262">
        <f>Alukset_Käynnit!I158</f>
        <v>0</v>
      </c>
      <c r="J151" s="262">
        <f>Alukset_Käynnit!J158</f>
        <v>0</v>
      </c>
      <c r="K151" s="262">
        <f>Alukset_Käynnit!K158</f>
        <v>0</v>
      </c>
      <c r="L151" s="205">
        <f>Alukset_Käynnit!L158</f>
        <v>0</v>
      </c>
      <c r="N151" s="273">
        <f t="shared" si="39"/>
        <v>0</v>
      </c>
      <c r="O151" s="274">
        <f t="shared" si="40"/>
        <v>0</v>
      </c>
      <c r="Q151" s="204">
        <f t="shared" si="29"/>
        <v>0</v>
      </c>
      <c r="R151" s="202">
        <f>IF(Q151="Other dry cargo",L151*Alukset_fx!$B$71,IF(OR(Q151="Dry bulk",Q151="Bulk carrier"),L151*Alukset_fx!$B$69,IF(Q151="Tugboat",L151*Alukset_fx!$B$76,IF(OR(Q151="Tanker",Q151="Gas tanker",Q151="Chemical tanker",Q151="Oil tanker"),L151*Alukset_fx!$B$68,IF(OR(Q151="RoRo",Q151="Vehicle carrier"),L151*Alukset_fx!$B$72,IF(Q151="RoPax",L151*Alukset_fx!$B$73,IF(Q151="Container ship",L151*Alukset_fx!$B$70,IF(Q151="Barge",0,L151*Alukset_fx!$B$75))))))))</f>
        <v>0</v>
      </c>
      <c r="S151" s="210">
        <f>IF(L151=0,IF(Q151="Other dry cargo",Alukset_fx!$H$73*(Alukset_Käynnit_Lask!K151^Alukset_fx!$I$73),IF(OR(Q151="Dry Bulk",Q151="Bulk carrier"),Alukset_fx!$H$71*(Alukset_Käynnit_Lask!K151^Alukset_fx!$I$71),IF(Q151="Tugboat",Alukset_fx!$H$78*(Alukset_Käynnit_Lask!K151^Alukset_fx!$I$78),IF(OR(Q151="Tanker",Q151="Gas tanker",Q151="Chemical tanker",Q151="Oil tanker"),Alukset_fx!$H$70*(Alukset_Käynnit_Lask!K151^Alukset_fx!$I$70),IF(Q151="Container ship",Alukset_fx!$H$72*(Alukset_Käynnit_Lask!K151^Alukset_fx!$I$72),IF(Q151="Barge",0,IF(Q151="RoPax",Alukset_fx!$H$75*(Alukset_Käynnit_Lask!K151^Alukset_fx!$I$75),IF(OR(Q151="RoRo",Q151="Vehicle carrier"),Alukset_fx!$H$74*(Alukset_Käynnit_Lask!K151^Alukset_fx!$I$74),Alukset_fx!$H$77*(Alukset_Käynnit_Lask!K151^Alukset_fx!$I$77))))))))),"-")</f>
        <v>0</v>
      </c>
      <c r="T151" s="208">
        <f>IF(R151=0,IF(Q151="Other dry cargo",S151*Alukset_fx!$B$71,IF(OR(Q151="Dry bulk",Q151="Bulk carrier"),S151*Alukset_fx!$B$69,IF(Q151="Tugboat",S151*Alukset_fx!$B$76,IF(OR(Q151="Tanker",Q151="Gas tanker",Q151="Chemical tanker",Q151="Oil tanker"),S151*Alukset_fx!$B$68,IF(OR(Q151="RoRo",Q151="Vehicle carrier"),S151*Alukset_fx!$B$72,IF(Q151="RoPax",S151*Alukset_fx!$B$73,IF(Q151="Container ship",S151*Alukset_fx!$B$70,S151*Alukset_fx!$B$75))))))),"-")</f>
        <v>0</v>
      </c>
      <c r="U151" s="208">
        <f t="shared" si="30"/>
        <v>0</v>
      </c>
      <c r="V151" s="208">
        <f t="shared" si="31"/>
        <v>0</v>
      </c>
      <c r="W151" s="202">
        <f>Alukset_Käynnit!N158</f>
        <v>0</v>
      </c>
      <c r="X151" s="211">
        <f>IF(Q151="Other dry cargo", Alukset_fx!$C$52, IF(OR(Q151="Dry bulk",Q151="Bulk carrier"),Alukset_fx!$C$35,IF(OR(Q151="Tanker",Q151="Gas tanker",Q151="Oil tanker"),Alukset_fx!$C$57,IF(Q151="Chemical tanker",Alukset_fx!$C$56,IF(OR(Q151="Tugboat",Q151="Barge"),0,IF(Q151="Other vessel",Alukset_fx!$C$54,IF(Q151="Container ship",Alukset_fx!$C$37,IF(OR(Q151="RoPax",Q151="RoRo",Q151="Vehicle carrier"),Alukset_fx!$C$55,0))))))))</f>
        <v>0</v>
      </c>
      <c r="Y151" s="211">
        <f>IF(Q151="Other dry cargo", Alukset_fx!$Q$52, IF(OR(Q151="Dry bulk",Q151="Bulk carrier"),Alukset_fx!$Q$35,IF(OR(Q151="Tanker",Q151="Gas tanker",Q151="Oil tanker"),Alukset_fx!$Q$57,IF(Q151="Chemical tanker",Alukset_fx!$Q$56,IF(OR(Q151="Tugboat",Q151="Barge"),0,IF(Q151="Other vessel",Alukset_fx!$Q$54,IF(Q151="Container ship",Alukset_fx!$Q$37,IF(OR(Q151="RoPax",Q151="RoRo",Q151="Vehicle carrier"),Alukset_fx!$Q$55,0))))))))</f>
        <v>0</v>
      </c>
      <c r="Z151" t="str">
        <f t="shared" si="32"/>
        <v>MDO/MGO</v>
      </c>
      <c r="AA151" t="str">
        <f t="shared" si="33"/>
        <v>MSD</v>
      </c>
      <c r="AB151" t="str">
        <f t="shared" si="34"/>
        <v>MDO/MGO</v>
      </c>
      <c r="AC151" t="str">
        <f t="shared" si="35"/>
        <v>MSD</v>
      </c>
      <c r="AD151" t="str">
        <f t="shared" si="36"/>
        <v>MDO/MGO</v>
      </c>
      <c r="AE151" t="str">
        <f t="shared" si="37"/>
        <v>ST</v>
      </c>
      <c r="AG151">
        <f>Alukset_Käynnit!O158</f>
        <v>0</v>
      </c>
      <c r="AH151" s="207">
        <f>IF(AA151="SSD",((U151*Alukset_fx!$B$24)*Alukset_Käynnit_Lask!W151*(Alukset_fx!$K$49)/1000),IF(AA151="MSD",((U151*Alukset_fx!$B$24)*Alukset_Käynnit_Lask!W151*(Alukset_fx!$K$52)/1000),IF(AA151="HSD",((U151*Alukset_fx!$B$24)*Alukset_Käynnit_Lask!W151*(Alukset_fx!$K$55)/1000),0)))</f>
        <v>0</v>
      </c>
      <c r="AI151" s="207">
        <f>IF(AC151="MSD",((V151*Alukset_fx!$B$25)*Alukset_Käynnit_Lask!W151*(Alukset_fx!$L$52)/1000),IF(AC151="HSD",((V151*Alukset_fx!$B$25)*Alukset_Käynnit_Lask!W151*(Alukset_fx!$L$55)/1000),0))</f>
        <v>0</v>
      </c>
      <c r="AJ151" s="207">
        <f>X151*W151*Alukset_fx!$K$61/1000</f>
        <v>0</v>
      </c>
      <c r="AK151">
        <v>0</v>
      </c>
      <c r="AL151" s="207">
        <f>IF(AG151="Käytetty",0,IF(AC151="MSD",((V151*Alukset_fx!$O$25)*Alukset_Käynnit_Lask!O151*(Alukset_fx!$L$52)/1000),IF(AC151="HSD",((V151*Alukset_fx!$O$25)*Alukset_Käynnit_Lask!O151*(Alukset_fx!$L$55)/1000),0)))</f>
        <v>0</v>
      </c>
      <c r="AM151" s="207">
        <f>IF(AG151="Käytetty",0,Y151*O151*Alukset_fx!$K$61/1000)</f>
        <v>0</v>
      </c>
      <c r="AN151" s="213">
        <f t="shared" si="38"/>
        <v>0</v>
      </c>
    </row>
    <row r="152" spans="1:40" x14ac:dyDescent="0.25">
      <c r="A152" s="203">
        <f>Alukset_Käynnit!A159</f>
        <v>0</v>
      </c>
      <c r="B152" s="203">
        <f>Alukset_Käynnit!B159</f>
        <v>0</v>
      </c>
      <c r="C152" s="262">
        <f>Alukset_Käynnit!C159</f>
        <v>0</v>
      </c>
      <c r="D152" s="266">
        <f>Alukset_Käynnit!D159</f>
        <v>0</v>
      </c>
      <c r="E152" s="262">
        <f>Alukset_Käynnit!E159</f>
        <v>0</v>
      </c>
      <c r="F152" s="262">
        <f>Alukset_Käynnit!F159</f>
        <v>0</v>
      </c>
      <c r="G152" s="262">
        <f>Alukset_Käynnit!G159</f>
        <v>0</v>
      </c>
      <c r="H152" s="262">
        <f>Alukset_Käynnit!H159</f>
        <v>0</v>
      </c>
      <c r="I152" s="262">
        <f>Alukset_Käynnit!I159</f>
        <v>0</v>
      </c>
      <c r="J152" s="262">
        <f>Alukset_Käynnit!J159</f>
        <v>0</v>
      </c>
      <c r="K152" s="262">
        <f>Alukset_Käynnit!K159</f>
        <v>0</v>
      </c>
      <c r="L152" s="205">
        <f>Alukset_Käynnit!L159</f>
        <v>0</v>
      </c>
      <c r="N152" s="273">
        <f t="shared" si="39"/>
        <v>0</v>
      </c>
      <c r="O152" s="274">
        <f t="shared" si="40"/>
        <v>0</v>
      </c>
      <c r="Q152" s="204">
        <f t="shared" si="29"/>
        <v>0</v>
      </c>
      <c r="R152" s="202">
        <f>IF(Q152="Other dry cargo",L152*Alukset_fx!$B$71,IF(OR(Q152="Dry bulk",Q152="Bulk carrier"),L152*Alukset_fx!$B$69,IF(Q152="Tugboat",L152*Alukset_fx!$B$76,IF(OR(Q152="Tanker",Q152="Gas tanker",Q152="Chemical tanker",Q152="Oil tanker"),L152*Alukset_fx!$B$68,IF(OR(Q152="RoRo",Q152="Vehicle carrier"),L152*Alukset_fx!$B$72,IF(Q152="RoPax",L152*Alukset_fx!$B$73,IF(Q152="Container ship",L152*Alukset_fx!$B$70,IF(Q152="Barge",0,L152*Alukset_fx!$B$75))))))))</f>
        <v>0</v>
      </c>
      <c r="S152" s="210">
        <f>IF(L152=0,IF(Q152="Other dry cargo",Alukset_fx!$H$73*(Alukset_Käynnit_Lask!K152^Alukset_fx!$I$73),IF(OR(Q152="Dry Bulk",Q152="Bulk carrier"),Alukset_fx!$H$71*(Alukset_Käynnit_Lask!K152^Alukset_fx!$I$71),IF(Q152="Tugboat",Alukset_fx!$H$78*(Alukset_Käynnit_Lask!K152^Alukset_fx!$I$78),IF(OR(Q152="Tanker",Q152="Gas tanker",Q152="Chemical tanker",Q152="Oil tanker"),Alukset_fx!$H$70*(Alukset_Käynnit_Lask!K152^Alukset_fx!$I$70),IF(Q152="Container ship",Alukset_fx!$H$72*(Alukset_Käynnit_Lask!K152^Alukset_fx!$I$72),IF(Q152="Barge",0,IF(Q152="RoPax",Alukset_fx!$H$75*(Alukset_Käynnit_Lask!K152^Alukset_fx!$I$75),IF(OR(Q152="RoRo",Q152="Vehicle carrier"),Alukset_fx!$H$74*(Alukset_Käynnit_Lask!K152^Alukset_fx!$I$74),Alukset_fx!$H$77*(Alukset_Käynnit_Lask!K152^Alukset_fx!$I$77))))))))),"-")</f>
        <v>0</v>
      </c>
      <c r="T152" s="208">
        <f>IF(R152=0,IF(Q152="Other dry cargo",S152*Alukset_fx!$B$71,IF(OR(Q152="Dry bulk",Q152="Bulk carrier"),S152*Alukset_fx!$B$69,IF(Q152="Tugboat",S152*Alukset_fx!$B$76,IF(OR(Q152="Tanker",Q152="Gas tanker",Q152="Chemical tanker",Q152="Oil tanker"),S152*Alukset_fx!$B$68,IF(OR(Q152="RoRo",Q152="Vehicle carrier"),S152*Alukset_fx!$B$72,IF(Q152="RoPax",S152*Alukset_fx!$B$73,IF(Q152="Container ship",S152*Alukset_fx!$B$70,S152*Alukset_fx!$B$75))))))),"-")</f>
        <v>0</v>
      </c>
      <c r="U152" s="208">
        <f t="shared" si="30"/>
        <v>0</v>
      </c>
      <c r="V152" s="208">
        <f t="shared" si="31"/>
        <v>0</v>
      </c>
      <c r="W152" s="202">
        <f>Alukset_Käynnit!N159</f>
        <v>0</v>
      </c>
      <c r="X152" s="211">
        <f>IF(Q152="Other dry cargo", Alukset_fx!$C$52, IF(OR(Q152="Dry bulk",Q152="Bulk carrier"),Alukset_fx!$C$35,IF(OR(Q152="Tanker",Q152="Gas tanker",Q152="Oil tanker"),Alukset_fx!$C$57,IF(Q152="Chemical tanker",Alukset_fx!$C$56,IF(OR(Q152="Tugboat",Q152="Barge"),0,IF(Q152="Other vessel",Alukset_fx!$C$54,IF(Q152="Container ship",Alukset_fx!$C$37,IF(OR(Q152="RoPax",Q152="RoRo",Q152="Vehicle carrier"),Alukset_fx!$C$55,0))))))))</f>
        <v>0</v>
      </c>
      <c r="Y152" s="211">
        <f>IF(Q152="Other dry cargo", Alukset_fx!$Q$52, IF(OR(Q152="Dry bulk",Q152="Bulk carrier"),Alukset_fx!$Q$35,IF(OR(Q152="Tanker",Q152="Gas tanker",Q152="Oil tanker"),Alukset_fx!$Q$57,IF(Q152="Chemical tanker",Alukset_fx!$Q$56,IF(OR(Q152="Tugboat",Q152="Barge"),0,IF(Q152="Other vessel",Alukset_fx!$Q$54,IF(Q152="Container ship",Alukset_fx!$Q$37,IF(OR(Q152="RoPax",Q152="RoRo",Q152="Vehicle carrier"),Alukset_fx!$Q$55,0))))))))</f>
        <v>0</v>
      </c>
      <c r="Z152" t="str">
        <f t="shared" si="32"/>
        <v>MDO/MGO</v>
      </c>
      <c r="AA152" t="str">
        <f t="shared" si="33"/>
        <v>MSD</v>
      </c>
      <c r="AB152" t="str">
        <f t="shared" si="34"/>
        <v>MDO/MGO</v>
      </c>
      <c r="AC152" t="str">
        <f t="shared" si="35"/>
        <v>MSD</v>
      </c>
      <c r="AD152" t="str">
        <f t="shared" si="36"/>
        <v>MDO/MGO</v>
      </c>
      <c r="AE152" t="str">
        <f t="shared" si="37"/>
        <v>ST</v>
      </c>
      <c r="AG152">
        <f>Alukset_Käynnit!O159</f>
        <v>0</v>
      </c>
      <c r="AH152" s="207">
        <f>IF(AA152="SSD",((U152*Alukset_fx!$B$24)*Alukset_Käynnit_Lask!W152*(Alukset_fx!$K$49)/1000),IF(AA152="MSD",((U152*Alukset_fx!$B$24)*Alukset_Käynnit_Lask!W152*(Alukset_fx!$K$52)/1000),IF(AA152="HSD",((U152*Alukset_fx!$B$24)*Alukset_Käynnit_Lask!W152*(Alukset_fx!$K$55)/1000),0)))</f>
        <v>0</v>
      </c>
      <c r="AI152" s="207">
        <f>IF(AC152="MSD",((V152*Alukset_fx!$B$25)*Alukset_Käynnit_Lask!W152*(Alukset_fx!$L$52)/1000),IF(AC152="HSD",((V152*Alukset_fx!$B$25)*Alukset_Käynnit_Lask!W152*(Alukset_fx!$L$55)/1000),0))</f>
        <v>0</v>
      </c>
      <c r="AJ152" s="207">
        <f>X152*W152*Alukset_fx!$K$61/1000</f>
        <v>0</v>
      </c>
      <c r="AK152">
        <v>0</v>
      </c>
      <c r="AL152" s="207">
        <f>IF(AG152="Käytetty",0,IF(AC152="MSD",((V152*Alukset_fx!$O$25)*Alukset_Käynnit_Lask!O152*(Alukset_fx!$L$52)/1000),IF(AC152="HSD",((V152*Alukset_fx!$O$25)*Alukset_Käynnit_Lask!O152*(Alukset_fx!$L$55)/1000),0)))</f>
        <v>0</v>
      </c>
      <c r="AM152" s="207">
        <f>IF(AG152="Käytetty",0,Y152*O152*Alukset_fx!$K$61/1000)</f>
        <v>0</v>
      </c>
      <c r="AN152" s="213">
        <f t="shared" si="38"/>
        <v>0</v>
      </c>
    </row>
    <row r="153" spans="1:40" x14ac:dyDescent="0.25">
      <c r="A153" s="203">
        <f>Alukset_Käynnit!A160</f>
        <v>0</v>
      </c>
      <c r="B153" s="203">
        <f>Alukset_Käynnit!B160</f>
        <v>0</v>
      </c>
      <c r="C153" s="262">
        <f>Alukset_Käynnit!C160</f>
        <v>0</v>
      </c>
      <c r="D153" s="266">
        <f>Alukset_Käynnit!D160</f>
        <v>0</v>
      </c>
      <c r="E153" s="262">
        <f>Alukset_Käynnit!E160</f>
        <v>0</v>
      </c>
      <c r="F153" s="262">
        <f>Alukset_Käynnit!F160</f>
        <v>0</v>
      </c>
      <c r="G153" s="262">
        <f>Alukset_Käynnit!G160</f>
        <v>0</v>
      </c>
      <c r="H153" s="262">
        <f>Alukset_Käynnit!H160</f>
        <v>0</v>
      </c>
      <c r="I153" s="262">
        <f>Alukset_Käynnit!I160</f>
        <v>0</v>
      </c>
      <c r="J153" s="262">
        <f>Alukset_Käynnit!J160</f>
        <v>0</v>
      </c>
      <c r="K153" s="262">
        <f>Alukset_Käynnit!K160</f>
        <v>0</v>
      </c>
      <c r="L153" s="205">
        <f>Alukset_Käynnit!L160</f>
        <v>0</v>
      </c>
      <c r="N153" s="273">
        <f t="shared" si="39"/>
        <v>0</v>
      </c>
      <c r="O153" s="274">
        <f t="shared" si="40"/>
        <v>0</v>
      </c>
      <c r="Q153" s="204">
        <f t="shared" si="29"/>
        <v>0</v>
      </c>
      <c r="R153" s="202">
        <f>IF(Q153="Other dry cargo",L153*Alukset_fx!$B$71,IF(OR(Q153="Dry bulk",Q153="Bulk carrier"),L153*Alukset_fx!$B$69,IF(Q153="Tugboat",L153*Alukset_fx!$B$76,IF(OR(Q153="Tanker",Q153="Gas tanker",Q153="Chemical tanker",Q153="Oil tanker"),L153*Alukset_fx!$B$68,IF(OR(Q153="RoRo",Q153="Vehicle carrier"),L153*Alukset_fx!$B$72,IF(Q153="RoPax",L153*Alukset_fx!$B$73,IF(Q153="Container ship",L153*Alukset_fx!$B$70,IF(Q153="Barge",0,L153*Alukset_fx!$B$75))))))))</f>
        <v>0</v>
      </c>
      <c r="S153" s="210">
        <f>IF(L153=0,IF(Q153="Other dry cargo",Alukset_fx!$H$73*(Alukset_Käynnit_Lask!K153^Alukset_fx!$I$73),IF(OR(Q153="Dry Bulk",Q153="Bulk carrier"),Alukset_fx!$H$71*(Alukset_Käynnit_Lask!K153^Alukset_fx!$I$71),IF(Q153="Tugboat",Alukset_fx!$H$78*(Alukset_Käynnit_Lask!K153^Alukset_fx!$I$78),IF(OR(Q153="Tanker",Q153="Gas tanker",Q153="Chemical tanker",Q153="Oil tanker"),Alukset_fx!$H$70*(Alukset_Käynnit_Lask!K153^Alukset_fx!$I$70),IF(Q153="Container ship",Alukset_fx!$H$72*(Alukset_Käynnit_Lask!K153^Alukset_fx!$I$72),IF(Q153="Barge",0,IF(Q153="RoPax",Alukset_fx!$H$75*(Alukset_Käynnit_Lask!K153^Alukset_fx!$I$75),IF(OR(Q153="RoRo",Q153="Vehicle carrier"),Alukset_fx!$H$74*(Alukset_Käynnit_Lask!K153^Alukset_fx!$I$74),Alukset_fx!$H$77*(Alukset_Käynnit_Lask!K153^Alukset_fx!$I$77))))))))),"-")</f>
        <v>0</v>
      </c>
      <c r="T153" s="208">
        <f>IF(R153=0,IF(Q153="Other dry cargo",S153*Alukset_fx!$B$71,IF(OR(Q153="Dry bulk",Q153="Bulk carrier"),S153*Alukset_fx!$B$69,IF(Q153="Tugboat",S153*Alukset_fx!$B$76,IF(OR(Q153="Tanker",Q153="Gas tanker",Q153="Chemical tanker",Q153="Oil tanker"),S153*Alukset_fx!$B$68,IF(OR(Q153="RoRo",Q153="Vehicle carrier"),S153*Alukset_fx!$B$72,IF(Q153="RoPax",S153*Alukset_fx!$B$73,IF(Q153="Container ship",S153*Alukset_fx!$B$70,S153*Alukset_fx!$B$75))))))),"-")</f>
        <v>0</v>
      </c>
      <c r="U153" s="208">
        <f t="shared" si="30"/>
        <v>0</v>
      </c>
      <c r="V153" s="208">
        <f t="shared" si="31"/>
        <v>0</v>
      </c>
      <c r="W153" s="202">
        <f>Alukset_Käynnit!N160</f>
        <v>0</v>
      </c>
      <c r="X153" s="211">
        <f>IF(Q153="Other dry cargo", Alukset_fx!$C$52, IF(OR(Q153="Dry bulk",Q153="Bulk carrier"),Alukset_fx!$C$35,IF(OR(Q153="Tanker",Q153="Gas tanker",Q153="Oil tanker"),Alukset_fx!$C$57,IF(Q153="Chemical tanker",Alukset_fx!$C$56,IF(OR(Q153="Tugboat",Q153="Barge"),0,IF(Q153="Other vessel",Alukset_fx!$C$54,IF(Q153="Container ship",Alukset_fx!$C$37,IF(OR(Q153="RoPax",Q153="RoRo",Q153="Vehicle carrier"),Alukset_fx!$C$55,0))))))))</f>
        <v>0</v>
      </c>
      <c r="Y153" s="211">
        <f>IF(Q153="Other dry cargo", Alukset_fx!$Q$52, IF(OR(Q153="Dry bulk",Q153="Bulk carrier"),Alukset_fx!$Q$35,IF(OR(Q153="Tanker",Q153="Gas tanker",Q153="Oil tanker"),Alukset_fx!$Q$57,IF(Q153="Chemical tanker",Alukset_fx!$Q$56,IF(OR(Q153="Tugboat",Q153="Barge"),0,IF(Q153="Other vessel",Alukset_fx!$Q$54,IF(Q153="Container ship",Alukset_fx!$Q$37,IF(OR(Q153="RoPax",Q153="RoRo",Q153="Vehicle carrier"),Alukset_fx!$Q$55,0))))))))</f>
        <v>0</v>
      </c>
      <c r="Z153" t="str">
        <f t="shared" si="32"/>
        <v>MDO/MGO</v>
      </c>
      <c r="AA153" t="str">
        <f t="shared" si="33"/>
        <v>MSD</v>
      </c>
      <c r="AB153" t="str">
        <f t="shared" si="34"/>
        <v>MDO/MGO</v>
      </c>
      <c r="AC153" t="str">
        <f t="shared" si="35"/>
        <v>MSD</v>
      </c>
      <c r="AD153" t="str">
        <f t="shared" si="36"/>
        <v>MDO/MGO</v>
      </c>
      <c r="AE153" t="str">
        <f t="shared" si="37"/>
        <v>ST</v>
      </c>
      <c r="AG153">
        <f>Alukset_Käynnit!O160</f>
        <v>0</v>
      </c>
      <c r="AH153" s="207">
        <f>IF(AA153="SSD",((U153*Alukset_fx!$B$24)*Alukset_Käynnit_Lask!W153*(Alukset_fx!$K$49)/1000),IF(AA153="MSD",((U153*Alukset_fx!$B$24)*Alukset_Käynnit_Lask!W153*(Alukset_fx!$K$52)/1000),IF(AA153="HSD",((U153*Alukset_fx!$B$24)*Alukset_Käynnit_Lask!W153*(Alukset_fx!$K$55)/1000),0)))</f>
        <v>0</v>
      </c>
      <c r="AI153" s="207">
        <f>IF(AC153="MSD",((V153*Alukset_fx!$B$25)*Alukset_Käynnit_Lask!W153*(Alukset_fx!$L$52)/1000),IF(AC153="HSD",((V153*Alukset_fx!$B$25)*Alukset_Käynnit_Lask!W153*(Alukset_fx!$L$55)/1000),0))</f>
        <v>0</v>
      </c>
      <c r="AJ153" s="207">
        <f>X153*W153*Alukset_fx!$K$61/1000</f>
        <v>0</v>
      </c>
      <c r="AK153">
        <v>0</v>
      </c>
      <c r="AL153" s="207">
        <f>IF(AG153="Käytetty",0,IF(AC153="MSD",((V153*Alukset_fx!$O$25)*Alukset_Käynnit_Lask!O153*(Alukset_fx!$L$52)/1000),IF(AC153="HSD",((V153*Alukset_fx!$O$25)*Alukset_Käynnit_Lask!O153*(Alukset_fx!$L$55)/1000),0)))</f>
        <v>0</v>
      </c>
      <c r="AM153" s="207">
        <f>IF(AG153="Käytetty",0,Y153*O153*Alukset_fx!$K$61/1000)</f>
        <v>0</v>
      </c>
      <c r="AN153" s="213">
        <f t="shared" si="38"/>
        <v>0</v>
      </c>
    </row>
    <row r="154" spans="1:40" x14ac:dyDescent="0.25">
      <c r="A154" s="203">
        <f>Alukset_Käynnit!A161</f>
        <v>0</v>
      </c>
      <c r="B154" s="203">
        <f>Alukset_Käynnit!B161</f>
        <v>0</v>
      </c>
      <c r="C154" s="262">
        <f>Alukset_Käynnit!C161</f>
        <v>0</v>
      </c>
      <c r="D154" s="266">
        <f>Alukset_Käynnit!D161</f>
        <v>0</v>
      </c>
      <c r="E154" s="262">
        <f>Alukset_Käynnit!E161</f>
        <v>0</v>
      </c>
      <c r="F154" s="262">
        <f>Alukset_Käynnit!F161</f>
        <v>0</v>
      </c>
      <c r="G154" s="262">
        <f>Alukset_Käynnit!G161</f>
        <v>0</v>
      </c>
      <c r="H154" s="262">
        <f>Alukset_Käynnit!H161</f>
        <v>0</v>
      </c>
      <c r="I154" s="262">
        <f>Alukset_Käynnit!I161</f>
        <v>0</v>
      </c>
      <c r="J154" s="262">
        <f>Alukset_Käynnit!J161</f>
        <v>0</v>
      </c>
      <c r="K154" s="262">
        <f>Alukset_Käynnit!K161</f>
        <v>0</v>
      </c>
      <c r="L154" s="205">
        <f>Alukset_Käynnit!L161</f>
        <v>0</v>
      </c>
      <c r="N154" s="273">
        <f t="shared" si="39"/>
        <v>0</v>
      </c>
      <c r="O154" s="274">
        <f t="shared" si="40"/>
        <v>0</v>
      </c>
      <c r="Q154" s="204">
        <f t="shared" si="29"/>
        <v>0</v>
      </c>
      <c r="R154" s="202">
        <f>IF(Q154="Other dry cargo",L154*Alukset_fx!$B$71,IF(OR(Q154="Dry bulk",Q154="Bulk carrier"),L154*Alukset_fx!$B$69,IF(Q154="Tugboat",L154*Alukset_fx!$B$76,IF(OR(Q154="Tanker",Q154="Gas tanker",Q154="Chemical tanker",Q154="Oil tanker"),L154*Alukset_fx!$B$68,IF(OR(Q154="RoRo",Q154="Vehicle carrier"),L154*Alukset_fx!$B$72,IF(Q154="RoPax",L154*Alukset_fx!$B$73,IF(Q154="Container ship",L154*Alukset_fx!$B$70,IF(Q154="Barge",0,L154*Alukset_fx!$B$75))))))))</f>
        <v>0</v>
      </c>
      <c r="S154" s="210">
        <f>IF(L154=0,IF(Q154="Other dry cargo",Alukset_fx!$H$73*(Alukset_Käynnit_Lask!K154^Alukset_fx!$I$73),IF(OR(Q154="Dry Bulk",Q154="Bulk carrier"),Alukset_fx!$H$71*(Alukset_Käynnit_Lask!K154^Alukset_fx!$I$71),IF(Q154="Tugboat",Alukset_fx!$H$78*(Alukset_Käynnit_Lask!K154^Alukset_fx!$I$78),IF(OR(Q154="Tanker",Q154="Gas tanker",Q154="Chemical tanker",Q154="Oil tanker"),Alukset_fx!$H$70*(Alukset_Käynnit_Lask!K154^Alukset_fx!$I$70),IF(Q154="Container ship",Alukset_fx!$H$72*(Alukset_Käynnit_Lask!K154^Alukset_fx!$I$72),IF(Q154="Barge",0,IF(Q154="RoPax",Alukset_fx!$H$75*(Alukset_Käynnit_Lask!K154^Alukset_fx!$I$75),IF(OR(Q154="RoRo",Q154="Vehicle carrier"),Alukset_fx!$H$74*(Alukset_Käynnit_Lask!K154^Alukset_fx!$I$74),Alukset_fx!$H$77*(Alukset_Käynnit_Lask!K154^Alukset_fx!$I$77))))))))),"-")</f>
        <v>0</v>
      </c>
      <c r="T154" s="208">
        <f>IF(R154=0,IF(Q154="Other dry cargo",S154*Alukset_fx!$B$71,IF(OR(Q154="Dry bulk",Q154="Bulk carrier"),S154*Alukset_fx!$B$69,IF(Q154="Tugboat",S154*Alukset_fx!$B$76,IF(OR(Q154="Tanker",Q154="Gas tanker",Q154="Chemical tanker",Q154="Oil tanker"),S154*Alukset_fx!$B$68,IF(OR(Q154="RoRo",Q154="Vehicle carrier"),S154*Alukset_fx!$B$72,IF(Q154="RoPax",S154*Alukset_fx!$B$73,IF(Q154="Container ship",S154*Alukset_fx!$B$70,S154*Alukset_fx!$B$75))))))),"-")</f>
        <v>0</v>
      </c>
      <c r="U154" s="208">
        <f t="shared" si="30"/>
        <v>0</v>
      </c>
      <c r="V154" s="208">
        <f t="shared" si="31"/>
        <v>0</v>
      </c>
      <c r="W154" s="202">
        <f>Alukset_Käynnit!N161</f>
        <v>0</v>
      </c>
      <c r="X154" s="211">
        <f>IF(Q154="Other dry cargo", Alukset_fx!$C$52, IF(OR(Q154="Dry bulk",Q154="Bulk carrier"),Alukset_fx!$C$35,IF(OR(Q154="Tanker",Q154="Gas tanker",Q154="Oil tanker"),Alukset_fx!$C$57,IF(Q154="Chemical tanker",Alukset_fx!$C$56,IF(OR(Q154="Tugboat",Q154="Barge"),0,IF(Q154="Other vessel",Alukset_fx!$C$54,IF(Q154="Container ship",Alukset_fx!$C$37,IF(OR(Q154="RoPax",Q154="RoRo",Q154="Vehicle carrier"),Alukset_fx!$C$55,0))))))))</f>
        <v>0</v>
      </c>
      <c r="Y154" s="211">
        <f>IF(Q154="Other dry cargo", Alukset_fx!$Q$52, IF(OR(Q154="Dry bulk",Q154="Bulk carrier"),Alukset_fx!$Q$35,IF(OR(Q154="Tanker",Q154="Gas tanker",Q154="Oil tanker"),Alukset_fx!$Q$57,IF(Q154="Chemical tanker",Alukset_fx!$Q$56,IF(OR(Q154="Tugboat",Q154="Barge"),0,IF(Q154="Other vessel",Alukset_fx!$Q$54,IF(Q154="Container ship",Alukset_fx!$Q$37,IF(OR(Q154="RoPax",Q154="RoRo",Q154="Vehicle carrier"),Alukset_fx!$Q$55,0))))))))</f>
        <v>0</v>
      </c>
      <c r="Z154" t="str">
        <f t="shared" si="32"/>
        <v>MDO/MGO</v>
      </c>
      <c r="AA154" t="str">
        <f t="shared" si="33"/>
        <v>MSD</v>
      </c>
      <c r="AB154" t="str">
        <f t="shared" si="34"/>
        <v>MDO/MGO</v>
      </c>
      <c r="AC154" t="str">
        <f t="shared" si="35"/>
        <v>MSD</v>
      </c>
      <c r="AD154" t="str">
        <f t="shared" si="36"/>
        <v>MDO/MGO</v>
      </c>
      <c r="AE154" t="str">
        <f t="shared" si="37"/>
        <v>ST</v>
      </c>
      <c r="AG154">
        <f>Alukset_Käynnit!O161</f>
        <v>0</v>
      </c>
      <c r="AH154" s="207">
        <f>IF(AA154="SSD",((U154*Alukset_fx!$B$24)*Alukset_Käynnit_Lask!W154*(Alukset_fx!$K$49)/1000),IF(AA154="MSD",((U154*Alukset_fx!$B$24)*Alukset_Käynnit_Lask!W154*(Alukset_fx!$K$52)/1000),IF(AA154="HSD",((U154*Alukset_fx!$B$24)*Alukset_Käynnit_Lask!W154*(Alukset_fx!$K$55)/1000),0)))</f>
        <v>0</v>
      </c>
      <c r="AI154" s="207">
        <f>IF(AC154="MSD",((V154*Alukset_fx!$B$25)*Alukset_Käynnit_Lask!W154*(Alukset_fx!$L$52)/1000),IF(AC154="HSD",((V154*Alukset_fx!$B$25)*Alukset_Käynnit_Lask!W154*(Alukset_fx!$L$55)/1000),0))</f>
        <v>0</v>
      </c>
      <c r="AJ154" s="207">
        <f>X154*W154*Alukset_fx!$K$61/1000</f>
        <v>0</v>
      </c>
      <c r="AK154">
        <v>0</v>
      </c>
      <c r="AL154" s="207">
        <f>IF(AG154="Käytetty",0,IF(AC154="MSD",((V154*Alukset_fx!$O$25)*Alukset_Käynnit_Lask!O154*(Alukset_fx!$L$52)/1000),IF(AC154="HSD",((V154*Alukset_fx!$O$25)*Alukset_Käynnit_Lask!O154*(Alukset_fx!$L$55)/1000),0)))</f>
        <v>0</v>
      </c>
      <c r="AM154" s="207">
        <f>IF(AG154="Käytetty",0,Y154*O154*Alukset_fx!$K$61/1000)</f>
        <v>0</v>
      </c>
      <c r="AN154" s="213">
        <f t="shared" si="38"/>
        <v>0</v>
      </c>
    </row>
    <row r="155" spans="1:40" x14ac:dyDescent="0.25">
      <c r="A155" s="203">
        <f>Alukset_Käynnit!A162</f>
        <v>0</v>
      </c>
      <c r="B155" s="203">
        <f>Alukset_Käynnit!B162</f>
        <v>0</v>
      </c>
      <c r="C155" s="262">
        <f>Alukset_Käynnit!C162</f>
        <v>0</v>
      </c>
      <c r="D155" s="266">
        <f>Alukset_Käynnit!D162</f>
        <v>0</v>
      </c>
      <c r="E155" s="262">
        <f>Alukset_Käynnit!E162</f>
        <v>0</v>
      </c>
      <c r="F155" s="262">
        <f>Alukset_Käynnit!F162</f>
        <v>0</v>
      </c>
      <c r="G155" s="262">
        <f>Alukset_Käynnit!G162</f>
        <v>0</v>
      </c>
      <c r="H155" s="262">
        <f>Alukset_Käynnit!H162</f>
        <v>0</v>
      </c>
      <c r="I155" s="262">
        <f>Alukset_Käynnit!I162</f>
        <v>0</v>
      </c>
      <c r="J155" s="262">
        <f>Alukset_Käynnit!J162</f>
        <v>0</v>
      </c>
      <c r="K155" s="262">
        <f>Alukset_Käynnit!K162</f>
        <v>0</v>
      </c>
      <c r="L155" s="205">
        <f>Alukset_Käynnit!L162</f>
        <v>0</v>
      </c>
      <c r="N155" s="273">
        <f t="shared" si="39"/>
        <v>0</v>
      </c>
      <c r="O155" s="274">
        <f t="shared" si="40"/>
        <v>0</v>
      </c>
      <c r="Q155" s="204">
        <f t="shared" si="29"/>
        <v>0</v>
      </c>
      <c r="R155" s="202">
        <f>IF(Q155="Other dry cargo",L155*Alukset_fx!$B$71,IF(OR(Q155="Dry bulk",Q155="Bulk carrier"),L155*Alukset_fx!$B$69,IF(Q155="Tugboat",L155*Alukset_fx!$B$76,IF(OR(Q155="Tanker",Q155="Gas tanker",Q155="Chemical tanker",Q155="Oil tanker"),L155*Alukset_fx!$B$68,IF(OR(Q155="RoRo",Q155="Vehicle carrier"),L155*Alukset_fx!$B$72,IF(Q155="RoPax",L155*Alukset_fx!$B$73,IF(Q155="Container ship",L155*Alukset_fx!$B$70,IF(Q155="Barge",0,L155*Alukset_fx!$B$75))))))))</f>
        <v>0</v>
      </c>
      <c r="S155" s="210">
        <f>IF(L155=0,IF(Q155="Other dry cargo",Alukset_fx!$H$73*(Alukset_Käynnit_Lask!K155^Alukset_fx!$I$73),IF(OR(Q155="Dry Bulk",Q155="Bulk carrier"),Alukset_fx!$H$71*(Alukset_Käynnit_Lask!K155^Alukset_fx!$I$71),IF(Q155="Tugboat",Alukset_fx!$H$78*(Alukset_Käynnit_Lask!K155^Alukset_fx!$I$78),IF(OR(Q155="Tanker",Q155="Gas tanker",Q155="Chemical tanker",Q155="Oil tanker"),Alukset_fx!$H$70*(Alukset_Käynnit_Lask!K155^Alukset_fx!$I$70),IF(Q155="Container ship",Alukset_fx!$H$72*(Alukset_Käynnit_Lask!K155^Alukset_fx!$I$72),IF(Q155="Barge",0,IF(Q155="RoPax",Alukset_fx!$H$75*(Alukset_Käynnit_Lask!K155^Alukset_fx!$I$75),IF(OR(Q155="RoRo",Q155="Vehicle carrier"),Alukset_fx!$H$74*(Alukset_Käynnit_Lask!K155^Alukset_fx!$I$74),Alukset_fx!$H$77*(Alukset_Käynnit_Lask!K155^Alukset_fx!$I$77))))))))),"-")</f>
        <v>0</v>
      </c>
      <c r="T155" s="208">
        <f>IF(R155=0,IF(Q155="Other dry cargo",S155*Alukset_fx!$B$71,IF(OR(Q155="Dry bulk",Q155="Bulk carrier"),S155*Alukset_fx!$B$69,IF(Q155="Tugboat",S155*Alukset_fx!$B$76,IF(OR(Q155="Tanker",Q155="Gas tanker",Q155="Chemical tanker",Q155="Oil tanker"),S155*Alukset_fx!$B$68,IF(OR(Q155="RoRo",Q155="Vehicle carrier"),S155*Alukset_fx!$B$72,IF(Q155="RoPax",S155*Alukset_fx!$B$73,IF(Q155="Container ship",S155*Alukset_fx!$B$70,S155*Alukset_fx!$B$75))))))),"-")</f>
        <v>0</v>
      </c>
      <c r="U155" s="208">
        <f t="shared" si="30"/>
        <v>0</v>
      </c>
      <c r="V155" s="208">
        <f t="shared" si="31"/>
        <v>0</v>
      </c>
      <c r="W155" s="202">
        <f>Alukset_Käynnit!N162</f>
        <v>0</v>
      </c>
      <c r="X155" s="211">
        <f>IF(Q155="Other dry cargo", Alukset_fx!$C$52, IF(OR(Q155="Dry bulk",Q155="Bulk carrier"),Alukset_fx!$C$35,IF(OR(Q155="Tanker",Q155="Gas tanker",Q155="Oil tanker"),Alukset_fx!$C$57,IF(Q155="Chemical tanker",Alukset_fx!$C$56,IF(OR(Q155="Tugboat",Q155="Barge"),0,IF(Q155="Other vessel",Alukset_fx!$C$54,IF(Q155="Container ship",Alukset_fx!$C$37,IF(OR(Q155="RoPax",Q155="RoRo",Q155="Vehicle carrier"),Alukset_fx!$C$55,0))))))))</f>
        <v>0</v>
      </c>
      <c r="Y155" s="211">
        <f>IF(Q155="Other dry cargo", Alukset_fx!$Q$52, IF(OR(Q155="Dry bulk",Q155="Bulk carrier"),Alukset_fx!$Q$35,IF(OR(Q155="Tanker",Q155="Gas tanker",Q155="Oil tanker"),Alukset_fx!$Q$57,IF(Q155="Chemical tanker",Alukset_fx!$Q$56,IF(OR(Q155="Tugboat",Q155="Barge"),0,IF(Q155="Other vessel",Alukset_fx!$Q$54,IF(Q155="Container ship",Alukset_fx!$Q$37,IF(OR(Q155="RoPax",Q155="RoRo",Q155="Vehicle carrier"),Alukset_fx!$Q$55,0))))))))</f>
        <v>0</v>
      </c>
      <c r="Z155" t="str">
        <f t="shared" si="32"/>
        <v>MDO/MGO</v>
      </c>
      <c r="AA155" t="str">
        <f t="shared" si="33"/>
        <v>MSD</v>
      </c>
      <c r="AB155" t="str">
        <f t="shared" si="34"/>
        <v>MDO/MGO</v>
      </c>
      <c r="AC155" t="str">
        <f t="shared" si="35"/>
        <v>MSD</v>
      </c>
      <c r="AD155" t="str">
        <f t="shared" si="36"/>
        <v>MDO/MGO</v>
      </c>
      <c r="AE155" t="str">
        <f t="shared" si="37"/>
        <v>ST</v>
      </c>
      <c r="AG155">
        <f>Alukset_Käynnit!O162</f>
        <v>0</v>
      </c>
      <c r="AH155" s="207">
        <f>IF(AA155="SSD",((U155*Alukset_fx!$B$24)*Alukset_Käynnit_Lask!W155*(Alukset_fx!$K$49)/1000),IF(AA155="MSD",((U155*Alukset_fx!$B$24)*Alukset_Käynnit_Lask!W155*(Alukset_fx!$K$52)/1000),IF(AA155="HSD",((U155*Alukset_fx!$B$24)*Alukset_Käynnit_Lask!W155*(Alukset_fx!$K$55)/1000),0)))</f>
        <v>0</v>
      </c>
      <c r="AI155" s="207">
        <f>IF(AC155="MSD",((V155*Alukset_fx!$B$25)*Alukset_Käynnit_Lask!W155*(Alukset_fx!$L$52)/1000),IF(AC155="HSD",((V155*Alukset_fx!$B$25)*Alukset_Käynnit_Lask!W155*(Alukset_fx!$L$55)/1000),0))</f>
        <v>0</v>
      </c>
      <c r="AJ155" s="207">
        <f>X155*W155*Alukset_fx!$K$61/1000</f>
        <v>0</v>
      </c>
      <c r="AK155">
        <v>0</v>
      </c>
      <c r="AL155" s="207">
        <f>IF(AG155="Käytetty",0,IF(AC155="MSD",((V155*Alukset_fx!$O$25)*Alukset_Käynnit_Lask!O155*(Alukset_fx!$L$52)/1000),IF(AC155="HSD",((V155*Alukset_fx!$O$25)*Alukset_Käynnit_Lask!O155*(Alukset_fx!$L$55)/1000),0)))</f>
        <v>0</v>
      </c>
      <c r="AM155" s="207">
        <f>IF(AG155="Käytetty",0,Y155*O155*Alukset_fx!$K$61/1000)</f>
        <v>0</v>
      </c>
      <c r="AN155" s="213">
        <f t="shared" si="38"/>
        <v>0</v>
      </c>
    </row>
    <row r="156" spans="1:40" x14ac:dyDescent="0.25">
      <c r="A156" s="203">
        <f>Alukset_Käynnit!A163</f>
        <v>0</v>
      </c>
      <c r="B156" s="203">
        <f>Alukset_Käynnit!B163</f>
        <v>0</v>
      </c>
      <c r="C156" s="262">
        <f>Alukset_Käynnit!C163</f>
        <v>0</v>
      </c>
      <c r="D156" s="266">
        <f>Alukset_Käynnit!D163</f>
        <v>0</v>
      </c>
      <c r="E156" s="262">
        <f>Alukset_Käynnit!E163</f>
        <v>0</v>
      </c>
      <c r="F156" s="262">
        <f>Alukset_Käynnit!F163</f>
        <v>0</v>
      </c>
      <c r="G156" s="262">
        <f>Alukset_Käynnit!G163</f>
        <v>0</v>
      </c>
      <c r="H156" s="262">
        <f>Alukset_Käynnit!H163</f>
        <v>0</v>
      </c>
      <c r="I156" s="262">
        <f>Alukset_Käynnit!I163</f>
        <v>0</v>
      </c>
      <c r="J156" s="262">
        <f>Alukset_Käynnit!J163</f>
        <v>0</v>
      </c>
      <c r="K156" s="262">
        <f>Alukset_Käynnit!K163</f>
        <v>0</v>
      </c>
      <c r="L156" s="205">
        <f>Alukset_Käynnit!L163</f>
        <v>0</v>
      </c>
      <c r="N156" s="273">
        <f t="shared" si="39"/>
        <v>0</v>
      </c>
      <c r="O156" s="274">
        <f t="shared" si="40"/>
        <v>0</v>
      </c>
      <c r="Q156" s="204">
        <f t="shared" si="29"/>
        <v>0</v>
      </c>
      <c r="R156" s="202">
        <f>IF(Q156="Other dry cargo",L156*Alukset_fx!$B$71,IF(OR(Q156="Dry bulk",Q156="Bulk carrier"),L156*Alukset_fx!$B$69,IF(Q156="Tugboat",L156*Alukset_fx!$B$76,IF(OR(Q156="Tanker",Q156="Gas tanker",Q156="Chemical tanker",Q156="Oil tanker"),L156*Alukset_fx!$B$68,IF(OR(Q156="RoRo",Q156="Vehicle carrier"),L156*Alukset_fx!$B$72,IF(Q156="RoPax",L156*Alukset_fx!$B$73,IF(Q156="Container ship",L156*Alukset_fx!$B$70,IF(Q156="Barge",0,L156*Alukset_fx!$B$75))))))))</f>
        <v>0</v>
      </c>
      <c r="S156" s="210">
        <f>IF(L156=0,IF(Q156="Other dry cargo",Alukset_fx!$H$73*(Alukset_Käynnit_Lask!K156^Alukset_fx!$I$73),IF(OR(Q156="Dry Bulk",Q156="Bulk carrier"),Alukset_fx!$H$71*(Alukset_Käynnit_Lask!K156^Alukset_fx!$I$71),IF(Q156="Tugboat",Alukset_fx!$H$78*(Alukset_Käynnit_Lask!K156^Alukset_fx!$I$78),IF(OR(Q156="Tanker",Q156="Gas tanker",Q156="Chemical tanker",Q156="Oil tanker"),Alukset_fx!$H$70*(Alukset_Käynnit_Lask!K156^Alukset_fx!$I$70),IF(Q156="Container ship",Alukset_fx!$H$72*(Alukset_Käynnit_Lask!K156^Alukset_fx!$I$72),IF(Q156="Barge",0,IF(Q156="RoPax",Alukset_fx!$H$75*(Alukset_Käynnit_Lask!K156^Alukset_fx!$I$75),IF(OR(Q156="RoRo",Q156="Vehicle carrier"),Alukset_fx!$H$74*(Alukset_Käynnit_Lask!K156^Alukset_fx!$I$74),Alukset_fx!$H$77*(Alukset_Käynnit_Lask!K156^Alukset_fx!$I$77))))))))),"-")</f>
        <v>0</v>
      </c>
      <c r="T156" s="208">
        <f>IF(R156=0,IF(Q156="Other dry cargo",S156*Alukset_fx!$B$71,IF(OR(Q156="Dry bulk",Q156="Bulk carrier"),S156*Alukset_fx!$B$69,IF(Q156="Tugboat",S156*Alukset_fx!$B$76,IF(OR(Q156="Tanker",Q156="Gas tanker",Q156="Chemical tanker",Q156="Oil tanker"),S156*Alukset_fx!$B$68,IF(OR(Q156="RoRo",Q156="Vehicle carrier"),S156*Alukset_fx!$B$72,IF(Q156="RoPax",S156*Alukset_fx!$B$73,IF(Q156="Container ship",S156*Alukset_fx!$B$70,S156*Alukset_fx!$B$75))))))),"-")</f>
        <v>0</v>
      </c>
      <c r="U156" s="208">
        <f t="shared" si="30"/>
        <v>0</v>
      </c>
      <c r="V156" s="208">
        <f t="shared" si="31"/>
        <v>0</v>
      </c>
      <c r="W156" s="202">
        <f>Alukset_Käynnit!N163</f>
        <v>0</v>
      </c>
      <c r="X156" s="211">
        <f>IF(Q156="Other dry cargo", Alukset_fx!$C$52, IF(OR(Q156="Dry bulk",Q156="Bulk carrier"),Alukset_fx!$C$35,IF(OR(Q156="Tanker",Q156="Gas tanker",Q156="Oil tanker"),Alukset_fx!$C$57,IF(Q156="Chemical tanker",Alukset_fx!$C$56,IF(OR(Q156="Tugboat",Q156="Barge"),0,IF(Q156="Other vessel",Alukset_fx!$C$54,IF(Q156="Container ship",Alukset_fx!$C$37,IF(OR(Q156="RoPax",Q156="RoRo",Q156="Vehicle carrier"),Alukset_fx!$C$55,0))))))))</f>
        <v>0</v>
      </c>
      <c r="Y156" s="211">
        <f>IF(Q156="Other dry cargo", Alukset_fx!$Q$52, IF(OR(Q156="Dry bulk",Q156="Bulk carrier"),Alukset_fx!$Q$35,IF(OR(Q156="Tanker",Q156="Gas tanker",Q156="Oil tanker"),Alukset_fx!$Q$57,IF(Q156="Chemical tanker",Alukset_fx!$Q$56,IF(OR(Q156="Tugboat",Q156="Barge"),0,IF(Q156="Other vessel",Alukset_fx!$Q$54,IF(Q156="Container ship",Alukset_fx!$Q$37,IF(OR(Q156="RoPax",Q156="RoRo",Q156="Vehicle carrier"),Alukset_fx!$Q$55,0))))))))</f>
        <v>0</v>
      </c>
      <c r="Z156" t="str">
        <f t="shared" si="32"/>
        <v>MDO/MGO</v>
      </c>
      <c r="AA156" t="str">
        <f t="shared" si="33"/>
        <v>MSD</v>
      </c>
      <c r="AB156" t="str">
        <f t="shared" si="34"/>
        <v>MDO/MGO</v>
      </c>
      <c r="AC156" t="str">
        <f t="shared" si="35"/>
        <v>MSD</v>
      </c>
      <c r="AD156" t="str">
        <f t="shared" si="36"/>
        <v>MDO/MGO</v>
      </c>
      <c r="AE156" t="str">
        <f t="shared" si="37"/>
        <v>ST</v>
      </c>
      <c r="AG156">
        <f>Alukset_Käynnit!O163</f>
        <v>0</v>
      </c>
      <c r="AH156" s="207">
        <f>IF(AA156="SSD",((U156*Alukset_fx!$B$24)*Alukset_Käynnit_Lask!W156*(Alukset_fx!$K$49)/1000),IF(AA156="MSD",((U156*Alukset_fx!$B$24)*Alukset_Käynnit_Lask!W156*(Alukset_fx!$K$52)/1000),IF(AA156="HSD",((U156*Alukset_fx!$B$24)*Alukset_Käynnit_Lask!W156*(Alukset_fx!$K$55)/1000),0)))</f>
        <v>0</v>
      </c>
      <c r="AI156" s="207">
        <f>IF(AC156="MSD",((V156*Alukset_fx!$B$25)*Alukset_Käynnit_Lask!W156*(Alukset_fx!$L$52)/1000),IF(AC156="HSD",((V156*Alukset_fx!$B$25)*Alukset_Käynnit_Lask!W156*(Alukset_fx!$L$55)/1000),0))</f>
        <v>0</v>
      </c>
      <c r="AJ156" s="207">
        <f>X156*W156*Alukset_fx!$K$61/1000</f>
        <v>0</v>
      </c>
      <c r="AK156">
        <v>0</v>
      </c>
      <c r="AL156" s="207">
        <f>IF(AG156="Käytetty",0,IF(AC156="MSD",((V156*Alukset_fx!$O$25)*Alukset_Käynnit_Lask!O156*(Alukset_fx!$L$52)/1000),IF(AC156="HSD",((V156*Alukset_fx!$O$25)*Alukset_Käynnit_Lask!O156*(Alukset_fx!$L$55)/1000),0)))</f>
        <v>0</v>
      </c>
      <c r="AM156" s="207">
        <f>IF(AG156="Käytetty",0,Y156*O156*Alukset_fx!$K$61/1000)</f>
        <v>0</v>
      </c>
      <c r="AN156" s="213">
        <f t="shared" si="38"/>
        <v>0</v>
      </c>
    </row>
    <row r="157" spans="1:40" x14ac:dyDescent="0.25">
      <c r="A157" s="203">
        <f>Alukset_Käynnit!A164</f>
        <v>0</v>
      </c>
      <c r="B157" s="203">
        <f>Alukset_Käynnit!B164</f>
        <v>0</v>
      </c>
      <c r="C157" s="262">
        <f>Alukset_Käynnit!C164</f>
        <v>0</v>
      </c>
      <c r="D157" s="266">
        <f>Alukset_Käynnit!D164</f>
        <v>0</v>
      </c>
      <c r="E157" s="262">
        <f>Alukset_Käynnit!E164</f>
        <v>0</v>
      </c>
      <c r="F157" s="262">
        <f>Alukset_Käynnit!F164</f>
        <v>0</v>
      </c>
      <c r="G157" s="262">
        <f>Alukset_Käynnit!G164</f>
        <v>0</v>
      </c>
      <c r="H157" s="262">
        <f>Alukset_Käynnit!H164</f>
        <v>0</v>
      </c>
      <c r="I157" s="262">
        <f>Alukset_Käynnit!I164</f>
        <v>0</v>
      </c>
      <c r="J157" s="262">
        <f>Alukset_Käynnit!J164</f>
        <v>0</v>
      </c>
      <c r="K157" s="262">
        <f>Alukset_Käynnit!K164</f>
        <v>0</v>
      </c>
      <c r="L157" s="205">
        <f>Alukset_Käynnit!L164</f>
        <v>0</v>
      </c>
      <c r="N157" s="273">
        <f t="shared" si="39"/>
        <v>0</v>
      </c>
      <c r="O157" s="274">
        <f t="shared" si="40"/>
        <v>0</v>
      </c>
      <c r="Q157" s="204">
        <f t="shared" si="29"/>
        <v>0</v>
      </c>
      <c r="R157" s="202">
        <f>IF(Q157="Other dry cargo",L157*Alukset_fx!$B$71,IF(OR(Q157="Dry bulk",Q157="Bulk carrier"),L157*Alukset_fx!$B$69,IF(Q157="Tugboat",L157*Alukset_fx!$B$76,IF(OR(Q157="Tanker",Q157="Gas tanker",Q157="Chemical tanker",Q157="Oil tanker"),L157*Alukset_fx!$B$68,IF(OR(Q157="RoRo",Q157="Vehicle carrier"),L157*Alukset_fx!$B$72,IF(Q157="RoPax",L157*Alukset_fx!$B$73,IF(Q157="Container ship",L157*Alukset_fx!$B$70,IF(Q157="Barge",0,L157*Alukset_fx!$B$75))))))))</f>
        <v>0</v>
      </c>
      <c r="S157" s="210">
        <f>IF(L157=0,IF(Q157="Other dry cargo",Alukset_fx!$H$73*(Alukset_Käynnit_Lask!K157^Alukset_fx!$I$73),IF(OR(Q157="Dry Bulk",Q157="Bulk carrier"),Alukset_fx!$H$71*(Alukset_Käynnit_Lask!K157^Alukset_fx!$I$71),IF(Q157="Tugboat",Alukset_fx!$H$78*(Alukset_Käynnit_Lask!K157^Alukset_fx!$I$78),IF(OR(Q157="Tanker",Q157="Gas tanker",Q157="Chemical tanker",Q157="Oil tanker"),Alukset_fx!$H$70*(Alukset_Käynnit_Lask!K157^Alukset_fx!$I$70),IF(Q157="Container ship",Alukset_fx!$H$72*(Alukset_Käynnit_Lask!K157^Alukset_fx!$I$72),IF(Q157="Barge",0,IF(Q157="RoPax",Alukset_fx!$H$75*(Alukset_Käynnit_Lask!K157^Alukset_fx!$I$75),IF(OR(Q157="RoRo",Q157="Vehicle carrier"),Alukset_fx!$H$74*(Alukset_Käynnit_Lask!K157^Alukset_fx!$I$74),Alukset_fx!$H$77*(Alukset_Käynnit_Lask!K157^Alukset_fx!$I$77))))))))),"-")</f>
        <v>0</v>
      </c>
      <c r="T157" s="208">
        <f>IF(R157=0,IF(Q157="Other dry cargo",S157*Alukset_fx!$B$71,IF(OR(Q157="Dry bulk",Q157="Bulk carrier"),S157*Alukset_fx!$B$69,IF(Q157="Tugboat",S157*Alukset_fx!$B$76,IF(OR(Q157="Tanker",Q157="Gas tanker",Q157="Chemical tanker",Q157="Oil tanker"),S157*Alukset_fx!$B$68,IF(OR(Q157="RoRo",Q157="Vehicle carrier"),S157*Alukset_fx!$B$72,IF(Q157="RoPax",S157*Alukset_fx!$B$73,IF(Q157="Container ship",S157*Alukset_fx!$B$70,S157*Alukset_fx!$B$75))))))),"-")</f>
        <v>0</v>
      </c>
      <c r="U157" s="208">
        <f t="shared" si="30"/>
        <v>0</v>
      </c>
      <c r="V157" s="208">
        <f t="shared" si="31"/>
        <v>0</v>
      </c>
      <c r="W157" s="202">
        <f>Alukset_Käynnit!N164</f>
        <v>0</v>
      </c>
      <c r="X157" s="211">
        <f>IF(Q157="Other dry cargo", Alukset_fx!$C$52, IF(OR(Q157="Dry bulk",Q157="Bulk carrier"),Alukset_fx!$C$35,IF(OR(Q157="Tanker",Q157="Gas tanker",Q157="Oil tanker"),Alukset_fx!$C$57,IF(Q157="Chemical tanker",Alukset_fx!$C$56,IF(OR(Q157="Tugboat",Q157="Barge"),0,IF(Q157="Other vessel",Alukset_fx!$C$54,IF(Q157="Container ship",Alukset_fx!$C$37,IF(OR(Q157="RoPax",Q157="RoRo",Q157="Vehicle carrier"),Alukset_fx!$C$55,0))))))))</f>
        <v>0</v>
      </c>
      <c r="Y157" s="211">
        <f>IF(Q157="Other dry cargo", Alukset_fx!$Q$52, IF(OR(Q157="Dry bulk",Q157="Bulk carrier"),Alukset_fx!$Q$35,IF(OR(Q157="Tanker",Q157="Gas tanker",Q157="Oil tanker"),Alukset_fx!$Q$57,IF(Q157="Chemical tanker",Alukset_fx!$Q$56,IF(OR(Q157="Tugboat",Q157="Barge"),0,IF(Q157="Other vessel",Alukset_fx!$Q$54,IF(Q157="Container ship",Alukset_fx!$Q$37,IF(OR(Q157="RoPax",Q157="RoRo",Q157="Vehicle carrier"),Alukset_fx!$Q$55,0))))))))</f>
        <v>0</v>
      </c>
      <c r="Z157" t="str">
        <f t="shared" si="32"/>
        <v>MDO/MGO</v>
      </c>
      <c r="AA157" t="str">
        <f t="shared" si="33"/>
        <v>MSD</v>
      </c>
      <c r="AB157" t="str">
        <f t="shared" si="34"/>
        <v>MDO/MGO</v>
      </c>
      <c r="AC157" t="str">
        <f t="shared" si="35"/>
        <v>MSD</v>
      </c>
      <c r="AD157" t="str">
        <f t="shared" si="36"/>
        <v>MDO/MGO</v>
      </c>
      <c r="AE157" t="str">
        <f t="shared" si="37"/>
        <v>ST</v>
      </c>
      <c r="AG157">
        <f>Alukset_Käynnit!O164</f>
        <v>0</v>
      </c>
      <c r="AH157" s="207">
        <f>IF(AA157="SSD",((U157*Alukset_fx!$B$24)*Alukset_Käynnit_Lask!W157*(Alukset_fx!$K$49)/1000),IF(AA157="MSD",((U157*Alukset_fx!$B$24)*Alukset_Käynnit_Lask!W157*(Alukset_fx!$K$52)/1000),IF(AA157="HSD",((U157*Alukset_fx!$B$24)*Alukset_Käynnit_Lask!W157*(Alukset_fx!$K$55)/1000),0)))</f>
        <v>0</v>
      </c>
      <c r="AI157" s="207">
        <f>IF(AC157="MSD",((V157*Alukset_fx!$B$25)*Alukset_Käynnit_Lask!W157*(Alukset_fx!$L$52)/1000),IF(AC157="HSD",((V157*Alukset_fx!$B$25)*Alukset_Käynnit_Lask!W157*(Alukset_fx!$L$55)/1000),0))</f>
        <v>0</v>
      </c>
      <c r="AJ157" s="207">
        <f>X157*W157*Alukset_fx!$K$61/1000</f>
        <v>0</v>
      </c>
      <c r="AK157">
        <v>0</v>
      </c>
      <c r="AL157" s="207">
        <f>IF(AG157="Käytetty",0,IF(AC157="MSD",((V157*Alukset_fx!$O$25)*Alukset_Käynnit_Lask!O157*(Alukset_fx!$L$52)/1000),IF(AC157="HSD",((V157*Alukset_fx!$O$25)*Alukset_Käynnit_Lask!O157*(Alukset_fx!$L$55)/1000),0)))</f>
        <v>0</v>
      </c>
      <c r="AM157" s="207">
        <f>IF(AG157="Käytetty",0,Y157*O157*Alukset_fx!$K$61/1000)</f>
        <v>0</v>
      </c>
      <c r="AN157" s="213">
        <f t="shared" si="38"/>
        <v>0</v>
      </c>
    </row>
    <row r="158" spans="1:40" x14ac:dyDescent="0.25">
      <c r="A158" s="203">
        <f>Alukset_Käynnit!A165</f>
        <v>0</v>
      </c>
      <c r="B158" s="203">
        <f>Alukset_Käynnit!B165</f>
        <v>0</v>
      </c>
      <c r="C158" s="262">
        <f>Alukset_Käynnit!C165</f>
        <v>0</v>
      </c>
      <c r="D158" s="266">
        <f>Alukset_Käynnit!D165</f>
        <v>0</v>
      </c>
      <c r="E158" s="262">
        <f>Alukset_Käynnit!E165</f>
        <v>0</v>
      </c>
      <c r="F158" s="262">
        <f>Alukset_Käynnit!F165</f>
        <v>0</v>
      </c>
      <c r="G158" s="262">
        <f>Alukset_Käynnit!G165</f>
        <v>0</v>
      </c>
      <c r="H158" s="262">
        <f>Alukset_Käynnit!H165</f>
        <v>0</v>
      </c>
      <c r="I158" s="262">
        <f>Alukset_Käynnit!I165</f>
        <v>0</v>
      </c>
      <c r="J158" s="262">
        <f>Alukset_Käynnit!J165</f>
        <v>0</v>
      </c>
      <c r="K158" s="262">
        <f>Alukset_Käynnit!K165</f>
        <v>0</v>
      </c>
      <c r="L158" s="205">
        <f>Alukset_Käynnit!L165</f>
        <v>0</v>
      </c>
      <c r="N158" s="273">
        <f t="shared" si="39"/>
        <v>0</v>
      </c>
      <c r="O158" s="274">
        <f t="shared" si="40"/>
        <v>0</v>
      </c>
      <c r="Q158" s="204">
        <f t="shared" si="29"/>
        <v>0</v>
      </c>
      <c r="R158" s="202">
        <f>IF(Q158="Other dry cargo",L158*Alukset_fx!$B$71,IF(OR(Q158="Dry bulk",Q158="Bulk carrier"),L158*Alukset_fx!$B$69,IF(Q158="Tugboat",L158*Alukset_fx!$B$76,IF(OR(Q158="Tanker",Q158="Gas tanker",Q158="Chemical tanker",Q158="Oil tanker"),L158*Alukset_fx!$B$68,IF(OR(Q158="RoRo",Q158="Vehicle carrier"),L158*Alukset_fx!$B$72,IF(Q158="RoPax",L158*Alukset_fx!$B$73,IF(Q158="Container ship",L158*Alukset_fx!$B$70,IF(Q158="Barge",0,L158*Alukset_fx!$B$75))))))))</f>
        <v>0</v>
      </c>
      <c r="S158" s="210">
        <f>IF(L158=0,IF(Q158="Other dry cargo",Alukset_fx!$H$73*(Alukset_Käynnit_Lask!K158^Alukset_fx!$I$73),IF(OR(Q158="Dry Bulk",Q158="Bulk carrier"),Alukset_fx!$H$71*(Alukset_Käynnit_Lask!K158^Alukset_fx!$I$71),IF(Q158="Tugboat",Alukset_fx!$H$78*(Alukset_Käynnit_Lask!K158^Alukset_fx!$I$78),IF(OR(Q158="Tanker",Q158="Gas tanker",Q158="Chemical tanker",Q158="Oil tanker"),Alukset_fx!$H$70*(Alukset_Käynnit_Lask!K158^Alukset_fx!$I$70),IF(Q158="Container ship",Alukset_fx!$H$72*(Alukset_Käynnit_Lask!K158^Alukset_fx!$I$72),IF(Q158="Barge",0,IF(Q158="RoPax",Alukset_fx!$H$75*(Alukset_Käynnit_Lask!K158^Alukset_fx!$I$75),IF(OR(Q158="RoRo",Q158="Vehicle carrier"),Alukset_fx!$H$74*(Alukset_Käynnit_Lask!K158^Alukset_fx!$I$74),Alukset_fx!$H$77*(Alukset_Käynnit_Lask!K158^Alukset_fx!$I$77))))))))),"-")</f>
        <v>0</v>
      </c>
      <c r="T158" s="208">
        <f>IF(R158=0,IF(Q158="Other dry cargo",S158*Alukset_fx!$B$71,IF(OR(Q158="Dry bulk",Q158="Bulk carrier"),S158*Alukset_fx!$B$69,IF(Q158="Tugboat",S158*Alukset_fx!$B$76,IF(OR(Q158="Tanker",Q158="Gas tanker",Q158="Chemical tanker",Q158="Oil tanker"),S158*Alukset_fx!$B$68,IF(OR(Q158="RoRo",Q158="Vehicle carrier"),S158*Alukset_fx!$B$72,IF(Q158="RoPax",S158*Alukset_fx!$B$73,IF(Q158="Container ship",S158*Alukset_fx!$B$70,S158*Alukset_fx!$B$75))))))),"-")</f>
        <v>0</v>
      </c>
      <c r="U158" s="208">
        <f t="shared" si="30"/>
        <v>0</v>
      </c>
      <c r="V158" s="208">
        <f t="shared" si="31"/>
        <v>0</v>
      </c>
      <c r="W158" s="202">
        <f>Alukset_Käynnit!N165</f>
        <v>0</v>
      </c>
      <c r="X158" s="211">
        <f>IF(Q158="Other dry cargo", Alukset_fx!$C$52, IF(OR(Q158="Dry bulk",Q158="Bulk carrier"),Alukset_fx!$C$35,IF(OR(Q158="Tanker",Q158="Gas tanker",Q158="Oil tanker"),Alukset_fx!$C$57,IF(Q158="Chemical tanker",Alukset_fx!$C$56,IF(OR(Q158="Tugboat",Q158="Barge"),0,IF(Q158="Other vessel",Alukset_fx!$C$54,IF(Q158="Container ship",Alukset_fx!$C$37,IF(OR(Q158="RoPax",Q158="RoRo",Q158="Vehicle carrier"),Alukset_fx!$C$55,0))))))))</f>
        <v>0</v>
      </c>
      <c r="Y158" s="211">
        <f>IF(Q158="Other dry cargo", Alukset_fx!$Q$52, IF(OR(Q158="Dry bulk",Q158="Bulk carrier"),Alukset_fx!$Q$35,IF(OR(Q158="Tanker",Q158="Gas tanker",Q158="Oil tanker"),Alukset_fx!$Q$57,IF(Q158="Chemical tanker",Alukset_fx!$Q$56,IF(OR(Q158="Tugboat",Q158="Barge"),0,IF(Q158="Other vessel",Alukset_fx!$Q$54,IF(Q158="Container ship",Alukset_fx!$Q$37,IF(OR(Q158="RoPax",Q158="RoRo",Q158="Vehicle carrier"),Alukset_fx!$Q$55,0))))))))</f>
        <v>0</v>
      </c>
      <c r="Z158" t="str">
        <f t="shared" si="32"/>
        <v>MDO/MGO</v>
      </c>
      <c r="AA158" t="str">
        <f t="shared" si="33"/>
        <v>MSD</v>
      </c>
      <c r="AB158" t="str">
        <f t="shared" si="34"/>
        <v>MDO/MGO</v>
      </c>
      <c r="AC158" t="str">
        <f t="shared" si="35"/>
        <v>MSD</v>
      </c>
      <c r="AD158" t="str">
        <f t="shared" si="36"/>
        <v>MDO/MGO</v>
      </c>
      <c r="AE158" t="str">
        <f t="shared" si="37"/>
        <v>ST</v>
      </c>
      <c r="AG158">
        <f>Alukset_Käynnit!O165</f>
        <v>0</v>
      </c>
      <c r="AH158" s="207">
        <f>IF(AA158="SSD",((U158*Alukset_fx!$B$24)*Alukset_Käynnit_Lask!W158*(Alukset_fx!$K$49)/1000),IF(AA158="MSD",((U158*Alukset_fx!$B$24)*Alukset_Käynnit_Lask!W158*(Alukset_fx!$K$52)/1000),IF(AA158="HSD",((U158*Alukset_fx!$B$24)*Alukset_Käynnit_Lask!W158*(Alukset_fx!$K$55)/1000),0)))</f>
        <v>0</v>
      </c>
      <c r="AI158" s="207">
        <f>IF(AC158="MSD",((V158*Alukset_fx!$B$25)*Alukset_Käynnit_Lask!W158*(Alukset_fx!$L$52)/1000),IF(AC158="HSD",((V158*Alukset_fx!$B$25)*Alukset_Käynnit_Lask!W158*(Alukset_fx!$L$55)/1000),0))</f>
        <v>0</v>
      </c>
      <c r="AJ158" s="207">
        <f>X158*W158*Alukset_fx!$K$61/1000</f>
        <v>0</v>
      </c>
      <c r="AK158">
        <v>0</v>
      </c>
      <c r="AL158" s="207">
        <f>IF(AG158="Käytetty",0,IF(AC158="MSD",((V158*Alukset_fx!$O$25)*Alukset_Käynnit_Lask!O158*(Alukset_fx!$L$52)/1000),IF(AC158="HSD",((V158*Alukset_fx!$O$25)*Alukset_Käynnit_Lask!O158*(Alukset_fx!$L$55)/1000),0)))</f>
        <v>0</v>
      </c>
      <c r="AM158" s="207">
        <f>IF(AG158="Käytetty",0,Y158*O158*Alukset_fx!$K$61/1000)</f>
        <v>0</v>
      </c>
      <c r="AN158" s="213">
        <f t="shared" si="38"/>
        <v>0</v>
      </c>
    </row>
    <row r="159" spans="1:40" x14ac:dyDescent="0.25">
      <c r="A159" s="203">
        <f>Alukset_Käynnit!A166</f>
        <v>0</v>
      </c>
      <c r="B159" s="203">
        <f>Alukset_Käynnit!B166</f>
        <v>0</v>
      </c>
      <c r="C159" s="262">
        <f>Alukset_Käynnit!C166</f>
        <v>0</v>
      </c>
      <c r="D159" s="266">
        <f>Alukset_Käynnit!D166</f>
        <v>0</v>
      </c>
      <c r="E159" s="262">
        <f>Alukset_Käynnit!E166</f>
        <v>0</v>
      </c>
      <c r="F159" s="262">
        <f>Alukset_Käynnit!F166</f>
        <v>0</v>
      </c>
      <c r="G159" s="262">
        <f>Alukset_Käynnit!G166</f>
        <v>0</v>
      </c>
      <c r="H159" s="262">
        <f>Alukset_Käynnit!H166</f>
        <v>0</v>
      </c>
      <c r="I159" s="262">
        <f>Alukset_Käynnit!I166</f>
        <v>0</v>
      </c>
      <c r="J159" s="262">
        <f>Alukset_Käynnit!J166</f>
        <v>0</v>
      </c>
      <c r="K159" s="262">
        <f>Alukset_Käynnit!K166</f>
        <v>0</v>
      </c>
      <c r="L159" s="205">
        <f>Alukset_Käynnit!L166</f>
        <v>0</v>
      </c>
      <c r="N159" s="273">
        <f t="shared" si="39"/>
        <v>0</v>
      </c>
      <c r="O159" s="274">
        <f t="shared" si="40"/>
        <v>0</v>
      </c>
      <c r="Q159" s="204">
        <f t="shared" si="29"/>
        <v>0</v>
      </c>
      <c r="R159" s="202">
        <f>IF(Q159="Other dry cargo",L159*Alukset_fx!$B$71,IF(OR(Q159="Dry bulk",Q159="Bulk carrier"),L159*Alukset_fx!$B$69,IF(Q159="Tugboat",L159*Alukset_fx!$B$76,IF(OR(Q159="Tanker",Q159="Gas tanker",Q159="Chemical tanker",Q159="Oil tanker"),L159*Alukset_fx!$B$68,IF(OR(Q159="RoRo",Q159="Vehicle carrier"),L159*Alukset_fx!$B$72,IF(Q159="RoPax",L159*Alukset_fx!$B$73,IF(Q159="Container ship",L159*Alukset_fx!$B$70,IF(Q159="Barge",0,L159*Alukset_fx!$B$75))))))))</f>
        <v>0</v>
      </c>
      <c r="S159" s="210">
        <f>IF(L159=0,IF(Q159="Other dry cargo",Alukset_fx!$H$73*(Alukset_Käynnit_Lask!K159^Alukset_fx!$I$73),IF(OR(Q159="Dry Bulk",Q159="Bulk carrier"),Alukset_fx!$H$71*(Alukset_Käynnit_Lask!K159^Alukset_fx!$I$71),IF(Q159="Tugboat",Alukset_fx!$H$78*(Alukset_Käynnit_Lask!K159^Alukset_fx!$I$78),IF(OR(Q159="Tanker",Q159="Gas tanker",Q159="Chemical tanker",Q159="Oil tanker"),Alukset_fx!$H$70*(Alukset_Käynnit_Lask!K159^Alukset_fx!$I$70),IF(Q159="Container ship",Alukset_fx!$H$72*(Alukset_Käynnit_Lask!K159^Alukset_fx!$I$72),IF(Q159="Barge",0,IF(Q159="RoPax",Alukset_fx!$H$75*(Alukset_Käynnit_Lask!K159^Alukset_fx!$I$75),IF(OR(Q159="RoRo",Q159="Vehicle carrier"),Alukset_fx!$H$74*(Alukset_Käynnit_Lask!K159^Alukset_fx!$I$74),Alukset_fx!$H$77*(Alukset_Käynnit_Lask!K159^Alukset_fx!$I$77))))))))),"-")</f>
        <v>0</v>
      </c>
      <c r="T159" s="208">
        <f>IF(R159=0,IF(Q159="Other dry cargo",S159*Alukset_fx!$B$71,IF(OR(Q159="Dry bulk",Q159="Bulk carrier"),S159*Alukset_fx!$B$69,IF(Q159="Tugboat",S159*Alukset_fx!$B$76,IF(OR(Q159="Tanker",Q159="Gas tanker",Q159="Chemical tanker",Q159="Oil tanker"),S159*Alukset_fx!$B$68,IF(OR(Q159="RoRo",Q159="Vehicle carrier"),S159*Alukset_fx!$B$72,IF(Q159="RoPax",S159*Alukset_fx!$B$73,IF(Q159="Container ship",S159*Alukset_fx!$B$70,S159*Alukset_fx!$B$75))))))),"-")</f>
        <v>0</v>
      </c>
      <c r="U159" s="208">
        <f t="shared" si="30"/>
        <v>0</v>
      </c>
      <c r="V159" s="208">
        <f t="shared" si="31"/>
        <v>0</v>
      </c>
      <c r="W159" s="202">
        <f>Alukset_Käynnit!N166</f>
        <v>0</v>
      </c>
      <c r="X159" s="211">
        <f>IF(Q159="Other dry cargo", Alukset_fx!$C$52, IF(OR(Q159="Dry bulk",Q159="Bulk carrier"),Alukset_fx!$C$35,IF(OR(Q159="Tanker",Q159="Gas tanker",Q159="Oil tanker"),Alukset_fx!$C$57,IF(Q159="Chemical tanker",Alukset_fx!$C$56,IF(OR(Q159="Tugboat",Q159="Barge"),0,IF(Q159="Other vessel",Alukset_fx!$C$54,IF(Q159="Container ship",Alukset_fx!$C$37,IF(OR(Q159="RoPax",Q159="RoRo",Q159="Vehicle carrier"),Alukset_fx!$C$55,0))))))))</f>
        <v>0</v>
      </c>
      <c r="Y159" s="211">
        <f>IF(Q159="Other dry cargo", Alukset_fx!$Q$52, IF(OR(Q159="Dry bulk",Q159="Bulk carrier"),Alukset_fx!$Q$35,IF(OR(Q159="Tanker",Q159="Gas tanker",Q159="Oil tanker"),Alukset_fx!$Q$57,IF(Q159="Chemical tanker",Alukset_fx!$Q$56,IF(OR(Q159="Tugboat",Q159="Barge"),0,IF(Q159="Other vessel",Alukset_fx!$Q$54,IF(Q159="Container ship",Alukset_fx!$Q$37,IF(OR(Q159="RoPax",Q159="RoRo",Q159="Vehicle carrier"),Alukset_fx!$Q$55,0))))))))</f>
        <v>0</v>
      </c>
      <c r="Z159" t="str">
        <f t="shared" si="32"/>
        <v>MDO/MGO</v>
      </c>
      <c r="AA159" t="str">
        <f t="shared" si="33"/>
        <v>MSD</v>
      </c>
      <c r="AB159" t="str">
        <f t="shared" si="34"/>
        <v>MDO/MGO</v>
      </c>
      <c r="AC159" t="str">
        <f t="shared" si="35"/>
        <v>MSD</v>
      </c>
      <c r="AD159" t="str">
        <f t="shared" si="36"/>
        <v>MDO/MGO</v>
      </c>
      <c r="AE159" t="str">
        <f t="shared" si="37"/>
        <v>ST</v>
      </c>
      <c r="AG159">
        <f>Alukset_Käynnit!O166</f>
        <v>0</v>
      </c>
      <c r="AH159" s="207">
        <f>IF(AA159="SSD",((U159*Alukset_fx!$B$24)*Alukset_Käynnit_Lask!W159*(Alukset_fx!$K$49)/1000),IF(AA159="MSD",((U159*Alukset_fx!$B$24)*Alukset_Käynnit_Lask!W159*(Alukset_fx!$K$52)/1000),IF(AA159="HSD",((U159*Alukset_fx!$B$24)*Alukset_Käynnit_Lask!W159*(Alukset_fx!$K$55)/1000),0)))</f>
        <v>0</v>
      </c>
      <c r="AI159" s="207">
        <f>IF(AC159="MSD",((V159*Alukset_fx!$B$25)*Alukset_Käynnit_Lask!W159*(Alukset_fx!$L$52)/1000),IF(AC159="HSD",((V159*Alukset_fx!$B$25)*Alukset_Käynnit_Lask!W159*(Alukset_fx!$L$55)/1000),0))</f>
        <v>0</v>
      </c>
      <c r="AJ159" s="207">
        <f>X159*W159*Alukset_fx!$K$61/1000</f>
        <v>0</v>
      </c>
      <c r="AK159">
        <v>0</v>
      </c>
      <c r="AL159" s="207">
        <f>IF(AG159="Käytetty",0,IF(AC159="MSD",((V159*Alukset_fx!$O$25)*Alukset_Käynnit_Lask!O159*(Alukset_fx!$L$52)/1000),IF(AC159="HSD",((V159*Alukset_fx!$O$25)*Alukset_Käynnit_Lask!O159*(Alukset_fx!$L$55)/1000),0)))</f>
        <v>0</v>
      </c>
      <c r="AM159" s="207">
        <f>IF(AG159="Käytetty",0,Y159*O159*Alukset_fx!$K$61/1000)</f>
        <v>0</v>
      </c>
      <c r="AN159" s="213">
        <f t="shared" si="38"/>
        <v>0</v>
      </c>
    </row>
    <row r="160" spans="1:40" x14ac:dyDescent="0.25">
      <c r="A160" s="203">
        <f>Alukset_Käynnit!A167</f>
        <v>0</v>
      </c>
      <c r="B160" s="203">
        <f>Alukset_Käynnit!B167</f>
        <v>0</v>
      </c>
      <c r="C160" s="262">
        <f>Alukset_Käynnit!C167</f>
        <v>0</v>
      </c>
      <c r="D160" s="266">
        <f>Alukset_Käynnit!D167</f>
        <v>0</v>
      </c>
      <c r="E160" s="262">
        <f>Alukset_Käynnit!E167</f>
        <v>0</v>
      </c>
      <c r="F160" s="262">
        <f>Alukset_Käynnit!F167</f>
        <v>0</v>
      </c>
      <c r="G160" s="262">
        <f>Alukset_Käynnit!G167</f>
        <v>0</v>
      </c>
      <c r="H160" s="262">
        <f>Alukset_Käynnit!H167</f>
        <v>0</v>
      </c>
      <c r="I160" s="262">
        <f>Alukset_Käynnit!I167</f>
        <v>0</v>
      </c>
      <c r="J160" s="262">
        <f>Alukset_Käynnit!J167</f>
        <v>0</v>
      </c>
      <c r="K160" s="262">
        <f>Alukset_Käynnit!K167</f>
        <v>0</v>
      </c>
      <c r="L160" s="205">
        <f>Alukset_Käynnit!L167</f>
        <v>0</v>
      </c>
      <c r="N160" s="273">
        <f t="shared" si="39"/>
        <v>0</v>
      </c>
      <c r="O160" s="274">
        <f t="shared" si="40"/>
        <v>0</v>
      </c>
      <c r="Q160" s="204">
        <f t="shared" si="29"/>
        <v>0</v>
      </c>
      <c r="R160" s="202">
        <f>IF(Q160="Other dry cargo",L160*Alukset_fx!$B$71,IF(OR(Q160="Dry bulk",Q160="Bulk carrier"),L160*Alukset_fx!$B$69,IF(Q160="Tugboat",L160*Alukset_fx!$B$76,IF(OR(Q160="Tanker",Q160="Gas tanker",Q160="Chemical tanker",Q160="Oil tanker"),L160*Alukset_fx!$B$68,IF(OR(Q160="RoRo",Q160="Vehicle carrier"),L160*Alukset_fx!$B$72,IF(Q160="RoPax",L160*Alukset_fx!$B$73,IF(Q160="Container ship",L160*Alukset_fx!$B$70,IF(Q160="Barge",0,L160*Alukset_fx!$B$75))))))))</f>
        <v>0</v>
      </c>
      <c r="S160" s="210">
        <f>IF(L160=0,IF(Q160="Other dry cargo",Alukset_fx!$H$73*(Alukset_Käynnit_Lask!K160^Alukset_fx!$I$73),IF(OR(Q160="Dry Bulk",Q160="Bulk carrier"),Alukset_fx!$H$71*(Alukset_Käynnit_Lask!K160^Alukset_fx!$I$71),IF(Q160="Tugboat",Alukset_fx!$H$78*(Alukset_Käynnit_Lask!K160^Alukset_fx!$I$78),IF(OR(Q160="Tanker",Q160="Gas tanker",Q160="Chemical tanker",Q160="Oil tanker"),Alukset_fx!$H$70*(Alukset_Käynnit_Lask!K160^Alukset_fx!$I$70),IF(Q160="Container ship",Alukset_fx!$H$72*(Alukset_Käynnit_Lask!K160^Alukset_fx!$I$72),IF(Q160="Barge",0,IF(Q160="RoPax",Alukset_fx!$H$75*(Alukset_Käynnit_Lask!K160^Alukset_fx!$I$75),IF(OR(Q160="RoRo",Q160="Vehicle carrier"),Alukset_fx!$H$74*(Alukset_Käynnit_Lask!K160^Alukset_fx!$I$74),Alukset_fx!$H$77*(Alukset_Käynnit_Lask!K160^Alukset_fx!$I$77))))))))),"-")</f>
        <v>0</v>
      </c>
      <c r="T160" s="208">
        <f>IF(R160=0,IF(Q160="Other dry cargo",S160*Alukset_fx!$B$71,IF(OR(Q160="Dry bulk",Q160="Bulk carrier"),S160*Alukset_fx!$B$69,IF(Q160="Tugboat",S160*Alukset_fx!$B$76,IF(OR(Q160="Tanker",Q160="Gas tanker",Q160="Chemical tanker",Q160="Oil tanker"),S160*Alukset_fx!$B$68,IF(OR(Q160="RoRo",Q160="Vehicle carrier"),S160*Alukset_fx!$B$72,IF(Q160="RoPax",S160*Alukset_fx!$B$73,IF(Q160="Container ship",S160*Alukset_fx!$B$70,S160*Alukset_fx!$B$75))))))),"-")</f>
        <v>0</v>
      </c>
      <c r="U160" s="208">
        <f t="shared" si="30"/>
        <v>0</v>
      </c>
      <c r="V160" s="208">
        <f t="shared" si="31"/>
        <v>0</v>
      </c>
      <c r="W160" s="202">
        <f>Alukset_Käynnit!N167</f>
        <v>0</v>
      </c>
      <c r="X160" s="211">
        <f>IF(Q160="Other dry cargo", Alukset_fx!$C$52, IF(OR(Q160="Dry bulk",Q160="Bulk carrier"),Alukset_fx!$C$35,IF(OR(Q160="Tanker",Q160="Gas tanker",Q160="Oil tanker"),Alukset_fx!$C$57,IF(Q160="Chemical tanker",Alukset_fx!$C$56,IF(OR(Q160="Tugboat",Q160="Barge"),0,IF(Q160="Other vessel",Alukset_fx!$C$54,IF(Q160="Container ship",Alukset_fx!$C$37,IF(OR(Q160="RoPax",Q160="RoRo",Q160="Vehicle carrier"),Alukset_fx!$C$55,0))))))))</f>
        <v>0</v>
      </c>
      <c r="Y160" s="211">
        <f>IF(Q160="Other dry cargo", Alukset_fx!$Q$52, IF(OR(Q160="Dry bulk",Q160="Bulk carrier"),Alukset_fx!$Q$35,IF(OR(Q160="Tanker",Q160="Gas tanker",Q160="Oil tanker"),Alukset_fx!$Q$57,IF(Q160="Chemical tanker",Alukset_fx!$Q$56,IF(OR(Q160="Tugboat",Q160="Barge"),0,IF(Q160="Other vessel",Alukset_fx!$Q$54,IF(Q160="Container ship",Alukset_fx!$Q$37,IF(OR(Q160="RoPax",Q160="RoRo",Q160="Vehicle carrier"),Alukset_fx!$Q$55,0))))))))</f>
        <v>0</v>
      </c>
      <c r="Z160" t="str">
        <f t="shared" si="32"/>
        <v>MDO/MGO</v>
      </c>
      <c r="AA160" t="str">
        <f t="shared" si="33"/>
        <v>MSD</v>
      </c>
      <c r="AB160" t="str">
        <f t="shared" si="34"/>
        <v>MDO/MGO</v>
      </c>
      <c r="AC160" t="str">
        <f t="shared" si="35"/>
        <v>MSD</v>
      </c>
      <c r="AD160" t="str">
        <f t="shared" si="36"/>
        <v>MDO/MGO</v>
      </c>
      <c r="AE160" t="str">
        <f t="shared" si="37"/>
        <v>ST</v>
      </c>
      <c r="AG160">
        <f>Alukset_Käynnit!O167</f>
        <v>0</v>
      </c>
      <c r="AH160" s="207">
        <f>IF(AA160="SSD",((U160*Alukset_fx!$B$24)*Alukset_Käynnit_Lask!W160*(Alukset_fx!$K$49)/1000),IF(AA160="MSD",((U160*Alukset_fx!$B$24)*Alukset_Käynnit_Lask!W160*(Alukset_fx!$K$52)/1000),IF(AA160="HSD",((U160*Alukset_fx!$B$24)*Alukset_Käynnit_Lask!W160*(Alukset_fx!$K$55)/1000),0)))</f>
        <v>0</v>
      </c>
      <c r="AI160" s="207">
        <f>IF(AC160="MSD",((V160*Alukset_fx!$B$25)*Alukset_Käynnit_Lask!W160*(Alukset_fx!$L$52)/1000),IF(AC160="HSD",((V160*Alukset_fx!$B$25)*Alukset_Käynnit_Lask!W160*(Alukset_fx!$L$55)/1000),0))</f>
        <v>0</v>
      </c>
      <c r="AJ160" s="207">
        <f>X160*W160*Alukset_fx!$K$61/1000</f>
        <v>0</v>
      </c>
      <c r="AK160">
        <v>0</v>
      </c>
      <c r="AL160" s="207">
        <f>IF(AG160="Käytetty",0,IF(AC160="MSD",((V160*Alukset_fx!$O$25)*Alukset_Käynnit_Lask!O160*(Alukset_fx!$L$52)/1000),IF(AC160="HSD",((V160*Alukset_fx!$O$25)*Alukset_Käynnit_Lask!O160*(Alukset_fx!$L$55)/1000),0)))</f>
        <v>0</v>
      </c>
      <c r="AM160" s="207">
        <f>IF(AG160="Käytetty",0,Y160*O160*Alukset_fx!$K$61/1000)</f>
        <v>0</v>
      </c>
      <c r="AN160" s="213">
        <f t="shared" si="38"/>
        <v>0</v>
      </c>
    </row>
    <row r="161" spans="1:40" x14ac:dyDescent="0.25">
      <c r="A161" s="203">
        <f>Alukset_Käynnit!A168</f>
        <v>0</v>
      </c>
      <c r="B161" s="203">
        <f>Alukset_Käynnit!B168</f>
        <v>0</v>
      </c>
      <c r="C161" s="262">
        <f>Alukset_Käynnit!C168</f>
        <v>0</v>
      </c>
      <c r="D161" s="266">
        <f>Alukset_Käynnit!D168</f>
        <v>0</v>
      </c>
      <c r="E161" s="262">
        <f>Alukset_Käynnit!E168</f>
        <v>0</v>
      </c>
      <c r="F161" s="262">
        <f>Alukset_Käynnit!F168</f>
        <v>0</v>
      </c>
      <c r="G161" s="262">
        <f>Alukset_Käynnit!G168</f>
        <v>0</v>
      </c>
      <c r="H161" s="262">
        <f>Alukset_Käynnit!H168</f>
        <v>0</v>
      </c>
      <c r="I161" s="262">
        <f>Alukset_Käynnit!I168</f>
        <v>0</v>
      </c>
      <c r="J161" s="262">
        <f>Alukset_Käynnit!J168</f>
        <v>0</v>
      </c>
      <c r="K161" s="262">
        <f>Alukset_Käynnit!K168</f>
        <v>0</v>
      </c>
      <c r="L161" s="205">
        <f>Alukset_Käynnit!L168</f>
        <v>0</v>
      </c>
      <c r="N161" s="273">
        <f t="shared" si="39"/>
        <v>0</v>
      </c>
      <c r="O161" s="274">
        <f t="shared" si="40"/>
        <v>0</v>
      </c>
      <c r="Q161" s="204">
        <f t="shared" si="29"/>
        <v>0</v>
      </c>
      <c r="R161" s="202">
        <f>IF(Q161="Other dry cargo",L161*Alukset_fx!$B$71,IF(OR(Q161="Dry bulk",Q161="Bulk carrier"),L161*Alukset_fx!$B$69,IF(Q161="Tugboat",L161*Alukset_fx!$B$76,IF(OR(Q161="Tanker",Q161="Gas tanker",Q161="Chemical tanker",Q161="Oil tanker"),L161*Alukset_fx!$B$68,IF(OR(Q161="RoRo",Q161="Vehicle carrier"),L161*Alukset_fx!$B$72,IF(Q161="RoPax",L161*Alukset_fx!$B$73,IF(Q161="Container ship",L161*Alukset_fx!$B$70,IF(Q161="Barge",0,L161*Alukset_fx!$B$75))))))))</f>
        <v>0</v>
      </c>
      <c r="S161" s="210">
        <f>IF(L161=0,IF(Q161="Other dry cargo",Alukset_fx!$H$73*(Alukset_Käynnit_Lask!K161^Alukset_fx!$I$73),IF(OR(Q161="Dry Bulk",Q161="Bulk carrier"),Alukset_fx!$H$71*(Alukset_Käynnit_Lask!K161^Alukset_fx!$I$71),IF(Q161="Tugboat",Alukset_fx!$H$78*(Alukset_Käynnit_Lask!K161^Alukset_fx!$I$78),IF(OR(Q161="Tanker",Q161="Gas tanker",Q161="Chemical tanker",Q161="Oil tanker"),Alukset_fx!$H$70*(Alukset_Käynnit_Lask!K161^Alukset_fx!$I$70),IF(Q161="Container ship",Alukset_fx!$H$72*(Alukset_Käynnit_Lask!K161^Alukset_fx!$I$72),IF(Q161="Barge",0,IF(Q161="RoPax",Alukset_fx!$H$75*(Alukset_Käynnit_Lask!K161^Alukset_fx!$I$75),IF(OR(Q161="RoRo",Q161="Vehicle carrier"),Alukset_fx!$H$74*(Alukset_Käynnit_Lask!K161^Alukset_fx!$I$74),Alukset_fx!$H$77*(Alukset_Käynnit_Lask!K161^Alukset_fx!$I$77))))))))),"-")</f>
        <v>0</v>
      </c>
      <c r="T161" s="208">
        <f>IF(R161=0,IF(Q161="Other dry cargo",S161*Alukset_fx!$B$71,IF(OR(Q161="Dry bulk",Q161="Bulk carrier"),S161*Alukset_fx!$B$69,IF(Q161="Tugboat",S161*Alukset_fx!$B$76,IF(OR(Q161="Tanker",Q161="Gas tanker",Q161="Chemical tanker",Q161="Oil tanker"),S161*Alukset_fx!$B$68,IF(OR(Q161="RoRo",Q161="Vehicle carrier"),S161*Alukset_fx!$B$72,IF(Q161="RoPax",S161*Alukset_fx!$B$73,IF(Q161="Container ship",S161*Alukset_fx!$B$70,S161*Alukset_fx!$B$75))))))),"-")</f>
        <v>0</v>
      </c>
      <c r="U161" s="208">
        <f t="shared" si="30"/>
        <v>0</v>
      </c>
      <c r="V161" s="208">
        <f t="shared" si="31"/>
        <v>0</v>
      </c>
      <c r="W161" s="202">
        <f>Alukset_Käynnit!N168</f>
        <v>0</v>
      </c>
      <c r="X161" s="211">
        <f>IF(Q161="Other dry cargo", Alukset_fx!$C$52, IF(OR(Q161="Dry bulk",Q161="Bulk carrier"),Alukset_fx!$C$35,IF(OR(Q161="Tanker",Q161="Gas tanker",Q161="Oil tanker"),Alukset_fx!$C$57,IF(Q161="Chemical tanker",Alukset_fx!$C$56,IF(OR(Q161="Tugboat",Q161="Barge"),0,IF(Q161="Other vessel",Alukset_fx!$C$54,IF(Q161="Container ship",Alukset_fx!$C$37,IF(OR(Q161="RoPax",Q161="RoRo",Q161="Vehicle carrier"),Alukset_fx!$C$55,0))))))))</f>
        <v>0</v>
      </c>
      <c r="Y161" s="211">
        <f>IF(Q161="Other dry cargo", Alukset_fx!$Q$52, IF(OR(Q161="Dry bulk",Q161="Bulk carrier"),Alukset_fx!$Q$35,IF(OR(Q161="Tanker",Q161="Gas tanker",Q161="Oil tanker"),Alukset_fx!$Q$57,IF(Q161="Chemical tanker",Alukset_fx!$Q$56,IF(OR(Q161="Tugboat",Q161="Barge"),0,IF(Q161="Other vessel",Alukset_fx!$Q$54,IF(Q161="Container ship",Alukset_fx!$Q$37,IF(OR(Q161="RoPax",Q161="RoRo",Q161="Vehicle carrier"),Alukset_fx!$Q$55,0))))))))</f>
        <v>0</v>
      </c>
      <c r="Z161" t="str">
        <f t="shared" si="32"/>
        <v>MDO/MGO</v>
      </c>
      <c r="AA161" t="str">
        <f t="shared" si="33"/>
        <v>MSD</v>
      </c>
      <c r="AB161" t="str">
        <f t="shared" si="34"/>
        <v>MDO/MGO</v>
      </c>
      <c r="AC161" t="str">
        <f t="shared" si="35"/>
        <v>MSD</v>
      </c>
      <c r="AD161" t="str">
        <f t="shared" si="36"/>
        <v>MDO/MGO</v>
      </c>
      <c r="AE161" t="str">
        <f t="shared" si="37"/>
        <v>ST</v>
      </c>
      <c r="AG161">
        <f>Alukset_Käynnit!O168</f>
        <v>0</v>
      </c>
      <c r="AH161" s="207">
        <f>IF(AA161="SSD",((U161*Alukset_fx!$B$24)*Alukset_Käynnit_Lask!W161*(Alukset_fx!$K$49)/1000),IF(AA161="MSD",((U161*Alukset_fx!$B$24)*Alukset_Käynnit_Lask!W161*(Alukset_fx!$K$52)/1000),IF(AA161="HSD",((U161*Alukset_fx!$B$24)*Alukset_Käynnit_Lask!W161*(Alukset_fx!$K$55)/1000),0)))</f>
        <v>0</v>
      </c>
      <c r="AI161" s="207">
        <f>IF(AC161="MSD",((V161*Alukset_fx!$B$25)*Alukset_Käynnit_Lask!W161*(Alukset_fx!$L$52)/1000),IF(AC161="HSD",((V161*Alukset_fx!$B$25)*Alukset_Käynnit_Lask!W161*(Alukset_fx!$L$55)/1000),0))</f>
        <v>0</v>
      </c>
      <c r="AJ161" s="207">
        <f>X161*W161*Alukset_fx!$K$61/1000</f>
        <v>0</v>
      </c>
      <c r="AK161">
        <v>0</v>
      </c>
      <c r="AL161" s="207">
        <f>IF(AG161="Käytetty",0,IF(AC161="MSD",((V161*Alukset_fx!$O$25)*Alukset_Käynnit_Lask!O161*(Alukset_fx!$L$52)/1000),IF(AC161="HSD",((V161*Alukset_fx!$O$25)*Alukset_Käynnit_Lask!O161*(Alukset_fx!$L$55)/1000),0)))</f>
        <v>0</v>
      </c>
      <c r="AM161" s="207">
        <f>IF(AG161="Käytetty",0,Y161*O161*Alukset_fx!$K$61/1000)</f>
        <v>0</v>
      </c>
      <c r="AN161" s="213">
        <f t="shared" si="38"/>
        <v>0</v>
      </c>
    </row>
    <row r="162" spans="1:40" x14ac:dyDescent="0.25">
      <c r="A162" s="203">
        <f>Alukset_Käynnit!A169</f>
        <v>0</v>
      </c>
      <c r="B162" s="203">
        <f>Alukset_Käynnit!B169</f>
        <v>0</v>
      </c>
      <c r="C162" s="262">
        <f>Alukset_Käynnit!C169</f>
        <v>0</v>
      </c>
      <c r="D162" s="266">
        <f>Alukset_Käynnit!D169</f>
        <v>0</v>
      </c>
      <c r="E162" s="262">
        <f>Alukset_Käynnit!E169</f>
        <v>0</v>
      </c>
      <c r="F162" s="262">
        <f>Alukset_Käynnit!F169</f>
        <v>0</v>
      </c>
      <c r="G162" s="262">
        <f>Alukset_Käynnit!G169</f>
        <v>0</v>
      </c>
      <c r="H162" s="262">
        <f>Alukset_Käynnit!H169</f>
        <v>0</v>
      </c>
      <c r="I162" s="262">
        <f>Alukset_Käynnit!I169</f>
        <v>0</v>
      </c>
      <c r="J162" s="262">
        <f>Alukset_Käynnit!J169</f>
        <v>0</v>
      </c>
      <c r="K162" s="262">
        <f>Alukset_Käynnit!K169</f>
        <v>0</v>
      </c>
      <c r="L162" s="205">
        <f>Alukset_Käynnit!L169</f>
        <v>0</v>
      </c>
      <c r="N162" s="273">
        <f t="shared" si="39"/>
        <v>0</v>
      </c>
      <c r="O162" s="274">
        <f t="shared" si="40"/>
        <v>0</v>
      </c>
      <c r="Q162" s="204">
        <f t="shared" si="29"/>
        <v>0</v>
      </c>
      <c r="R162" s="202">
        <f>IF(Q162="Other dry cargo",L162*Alukset_fx!$B$71,IF(OR(Q162="Dry bulk",Q162="Bulk carrier"),L162*Alukset_fx!$B$69,IF(Q162="Tugboat",L162*Alukset_fx!$B$76,IF(OR(Q162="Tanker",Q162="Gas tanker",Q162="Chemical tanker",Q162="Oil tanker"),L162*Alukset_fx!$B$68,IF(OR(Q162="RoRo",Q162="Vehicle carrier"),L162*Alukset_fx!$B$72,IF(Q162="RoPax",L162*Alukset_fx!$B$73,IF(Q162="Container ship",L162*Alukset_fx!$B$70,IF(Q162="Barge",0,L162*Alukset_fx!$B$75))))))))</f>
        <v>0</v>
      </c>
      <c r="S162" s="210">
        <f>IF(L162=0,IF(Q162="Other dry cargo",Alukset_fx!$H$73*(Alukset_Käynnit_Lask!K162^Alukset_fx!$I$73),IF(OR(Q162="Dry Bulk",Q162="Bulk carrier"),Alukset_fx!$H$71*(Alukset_Käynnit_Lask!K162^Alukset_fx!$I$71),IF(Q162="Tugboat",Alukset_fx!$H$78*(Alukset_Käynnit_Lask!K162^Alukset_fx!$I$78),IF(OR(Q162="Tanker",Q162="Gas tanker",Q162="Chemical tanker",Q162="Oil tanker"),Alukset_fx!$H$70*(Alukset_Käynnit_Lask!K162^Alukset_fx!$I$70),IF(Q162="Container ship",Alukset_fx!$H$72*(Alukset_Käynnit_Lask!K162^Alukset_fx!$I$72),IF(Q162="Barge",0,IF(Q162="RoPax",Alukset_fx!$H$75*(Alukset_Käynnit_Lask!K162^Alukset_fx!$I$75),IF(OR(Q162="RoRo",Q162="Vehicle carrier"),Alukset_fx!$H$74*(Alukset_Käynnit_Lask!K162^Alukset_fx!$I$74),Alukset_fx!$H$77*(Alukset_Käynnit_Lask!K162^Alukset_fx!$I$77))))))))),"-")</f>
        <v>0</v>
      </c>
      <c r="T162" s="208">
        <f>IF(R162=0,IF(Q162="Other dry cargo",S162*Alukset_fx!$B$71,IF(OR(Q162="Dry bulk",Q162="Bulk carrier"),S162*Alukset_fx!$B$69,IF(Q162="Tugboat",S162*Alukset_fx!$B$76,IF(OR(Q162="Tanker",Q162="Gas tanker",Q162="Chemical tanker",Q162="Oil tanker"),S162*Alukset_fx!$B$68,IF(OR(Q162="RoRo",Q162="Vehicle carrier"),S162*Alukset_fx!$B$72,IF(Q162="RoPax",S162*Alukset_fx!$B$73,IF(Q162="Container ship",S162*Alukset_fx!$B$70,S162*Alukset_fx!$B$75))))))),"-")</f>
        <v>0</v>
      </c>
      <c r="U162" s="208">
        <f t="shared" si="30"/>
        <v>0</v>
      </c>
      <c r="V162" s="208">
        <f t="shared" si="31"/>
        <v>0</v>
      </c>
      <c r="W162" s="202">
        <f>Alukset_Käynnit!N169</f>
        <v>0</v>
      </c>
      <c r="X162" s="211">
        <f>IF(Q162="Other dry cargo", Alukset_fx!$C$52, IF(OR(Q162="Dry bulk",Q162="Bulk carrier"),Alukset_fx!$C$35,IF(OR(Q162="Tanker",Q162="Gas tanker",Q162="Oil tanker"),Alukset_fx!$C$57,IF(Q162="Chemical tanker",Alukset_fx!$C$56,IF(OR(Q162="Tugboat",Q162="Barge"),0,IF(Q162="Other vessel",Alukset_fx!$C$54,IF(Q162="Container ship",Alukset_fx!$C$37,IF(OR(Q162="RoPax",Q162="RoRo",Q162="Vehicle carrier"),Alukset_fx!$C$55,0))))))))</f>
        <v>0</v>
      </c>
      <c r="Y162" s="211">
        <f>IF(Q162="Other dry cargo", Alukset_fx!$Q$52, IF(OR(Q162="Dry bulk",Q162="Bulk carrier"),Alukset_fx!$Q$35,IF(OR(Q162="Tanker",Q162="Gas tanker",Q162="Oil tanker"),Alukset_fx!$Q$57,IF(Q162="Chemical tanker",Alukset_fx!$Q$56,IF(OR(Q162="Tugboat",Q162="Barge"),0,IF(Q162="Other vessel",Alukset_fx!$Q$54,IF(Q162="Container ship",Alukset_fx!$Q$37,IF(OR(Q162="RoPax",Q162="RoRo",Q162="Vehicle carrier"),Alukset_fx!$Q$55,0))))))))</f>
        <v>0</v>
      </c>
      <c r="Z162" t="str">
        <f t="shared" si="32"/>
        <v>MDO/MGO</v>
      </c>
      <c r="AA162" t="str">
        <f t="shared" si="33"/>
        <v>MSD</v>
      </c>
      <c r="AB162" t="str">
        <f t="shared" si="34"/>
        <v>MDO/MGO</v>
      </c>
      <c r="AC162" t="str">
        <f t="shared" si="35"/>
        <v>MSD</v>
      </c>
      <c r="AD162" t="str">
        <f t="shared" si="36"/>
        <v>MDO/MGO</v>
      </c>
      <c r="AE162" t="str">
        <f t="shared" si="37"/>
        <v>ST</v>
      </c>
      <c r="AG162">
        <f>Alukset_Käynnit!O169</f>
        <v>0</v>
      </c>
      <c r="AH162" s="207">
        <f>IF(AA162="SSD",((U162*Alukset_fx!$B$24)*Alukset_Käynnit_Lask!W162*(Alukset_fx!$K$49)/1000),IF(AA162="MSD",((U162*Alukset_fx!$B$24)*Alukset_Käynnit_Lask!W162*(Alukset_fx!$K$52)/1000),IF(AA162="HSD",((U162*Alukset_fx!$B$24)*Alukset_Käynnit_Lask!W162*(Alukset_fx!$K$55)/1000),0)))</f>
        <v>0</v>
      </c>
      <c r="AI162" s="207">
        <f>IF(AC162="MSD",((V162*Alukset_fx!$B$25)*Alukset_Käynnit_Lask!W162*(Alukset_fx!$L$52)/1000),IF(AC162="HSD",((V162*Alukset_fx!$B$25)*Alukset_Käynnit_Lask!W162*(Alukset_fx!$L$55)/1000),0))</f>
        <v>0</v>
      </c>
      <c r="AJ162" s="207">
        <f>X162*W162*Alukset_fx!$K$61/1000</f>
        <v>0</v>
      </c>
      <c r="AK162">
        <v>0</v>
      </c>
      <c r="AL162" s="207">
        <f>IF(AG162="Käytetty",0,IF(AC162="MSD",((V162*Alukset_fx!$O$25)*Alukset_Käynnit_Lask!O162*(Alukset_fx!$L$52)/1000),IF(AC162="HSD",((V162*Alukset_fx!$O$25)*Alukset_Käynnit_Lask!O162*(Alukset_fx!$L$55)/1000),0)))</f>
        <v>0</v>
      </c>
      <c r="AM162" s="207">
        <f>IF(AG162="Käytetty",0,Y162*O162*Alukset_fx!$K$61/1000)</f>
        <v>0</v>
      </c>
      <c r="AN162" s="213">
        <f t="shared" si="38"/>
        <v>0</v>
      </c>
    </row>
    <row r="163" spans="1:40" x14ac:dyDescent="0.25">
      <c r="A163" s="203">
        <f>Alukset_Käynnit!A170</f>
        <v>0</v>
      </c>
      <c r="B163" s="203">
        <f>Alukset_Käynnit!B170</f>
        <v>0</v>
      </c>
      <c r="C163" s="262">
        <f>Alukset_Käynnit!C170</f>
        <v>0</v>
      </c>
      <c r="D163" s="266">
        <f>Alukset_Käynnit!D170</f>
        <v>0</v>
      </c>
      <c r="E163" s="262">
        <f>Alukset_Käynnit!E170</f>
        <v>0</v>
      </c>
      <c r="F163" s="262">
        <f>Alukset_Käynnit!F170</f>
        <v>0</v>
      </c>
      <c r="G163" s="262">
        <f>Alukset_Käynnit!G170</f>
        <v>0</v>
      </c>
      <c r="H163" s="262">
        <f>Alukset_Käynnit!H170</f>
        <v>0</v>
      </c>
      <c r="I163" s="262">
        <f>Alukset_Käynnit!I170</f>
        <v>0</v>
      </c>
      <c r="J163" s="262">
        <f>Alukset_Käynnit!J170</f>
        <v>0</v>
      </c>
      <c r="K163" s="262">
        <f>Alukset_Käynnit!K170</f>
        <v>0</v>
      </c>
      <c r="L163" s="205">
        <f>Alukset_Käynnit!L170</f>
        <v>0</v>
      </c>
      <c r="N163" s="273">
        <f t="shared" si="39"/>
        <v>0</v>
      </c>
      <c r="O163" s="274">
        <f t="shared" si="40"/>
        <v>0</v>
      </c>
      <c r="Q163" s="204">
        <f t="shared" si="29"/>
        <v>0</v>
      </c>
      <c r="R163" s="202">
        <f>IF(Q163="Other dry cargo",L163*Alukset_fx!$B$71,IF(OR(Q163="Dry bulk",Q163="Bulk carrier"),L163*Alukset_fx!$B$69,IF(Q163="Tugboat",L163*Alukset_fx!$B$76,IF(OR(Q163="Tanker",Q163="Gas tanker",Q163="Chemical tanker",Q163="Oil tanker"),L163*Alukset_fx!$B$68,IF(OR(Q163="RoRo",Q163="Vehicle carrier"),L163*Alukset_fx!$B$72,IF(Q163="RoPax",L163*Alukset_fx!$B$73,IF(Q163="Container ship",L163*Alukset_fx!$B$70,IF(Q163="Barge",0,L163*Alukset_fx!$B$75))))))))</f>
        <v>0</v>
      </c>
      <c r="S163" s="210">
        <f>IF(L163=0,IF(Q163="Other dry cargo",Alukset_fx!$H$73*(Alukset_Käynnit_Lask!K163^Alukset_fx!$I$73),IF(OR(Q163="Dry Bulk",Q163="Bulk carrier"),Alukset_fx!$H$71*(Alukset_Käynnit_Lask!K163^Alukset_fx!$I$71),IF(Q163="Tugboat",Alukset_fx!$H$78*(Alukset_Käynnit_Lask!K163^Alukset_fx!$I$78),IF(OR(Q163="Tanker",Q163="Gas tanker",Q163="Chemical tanker",Q163="Oil tanker"),Alukset_fx!$H$70*(Alukset_Käynnit_Lask!K163^Alukset_fx!$I$70),IF(Q163="Container ship",Alukset_fx!$H$72*(Alukset_Käynnit_Lask!K163^Alukset_fx!$I$72),IF(Q163="Barge",0,IF(Q163="RoPax",Alukset_fx!$H$75*(Alukset_Käynnit_Lask!K163^Alukset_fx!$I$75),IF(OR(Q163="RoRo",Q163="Vehicle carrier"),Alukset_fx!$H$74*(Alukset_Käynnit_Lask!K163^Alukset_fx!$I$74),Alukset_fx!$H$77*(Alukset_Käynnit_Lask!K163^Alukset_fx!$I$77))))))))),"-")</f>
        <v>0</v>
      </c>
      <c r="T163" s="208">
        <f>IF(R163=0,IF(Q163="Other dry cargo",S163*Alukset_fx!$B$71,IF(OR(Q163="Dry bulk",Q163="Bulk carrier"),S163*Alukset_fx!$B$69,IF(Q163="Tugboat",S163*Alukset_fx!$B$76,IF(OR(Q163="Tanker",Q163="Gas tanker",Q163="Chemical tanker",Q163="Oil tanker"),S163*Alukset_fx!$B$68,IF(OR(Q163="RoRo",Q163="Vehicle carrier"),S163*Alukset_fx!$B$72,IF(Q163="RoPax",S163*Alukset_fx!$B$73,IF(Q163="Container ship",S163*Alukset_fx!$B$70,S163*Alukset_fx!$B$75))))))),"-")</f>
        <v>0</v>
      </c>
      <c r="U163" s="208">
        <f t="shared" si="30"/>
        <v>0</v>
      </c>
      <c r="V163" s="208">
        <f t="shared" si="31"/>
        <v>0</v>
      </c>
      <c r="W163" s="202">
        <f>Alukset_Käynnit!N170</f>
        <v>0</v>
      </c>
      <c r="X163" s="211">
        <f>IF(Q163="Other dry cargo", Alukset_fx!$C$52, IF(OR(Q163="Dry bulk",Q163="Bulk carrier"),Alukset_fx!$C$35,IF(OR(Q163="Tanker",Q163="Gas tanker",Q163="Oil tanker"),Alukset_fx!$C$57,IF(Q163="Chemical tanker",Alukset_fx!$C$56,IF(OR(Q163="Tugboat",Q163="Barge"),0,IF(Q163="Other vessel",Alukset_fx!$C$54,IF(Q163="Container ship",Alukset_fx!$C$37,IF(OR(Q163="RoPax",Q163="RoRo",Q163="Vehicle carrier"),Alukset_fx!$C$55,0))))))))</f>
        <v>0</v>
      </c>
      <c r="Y163" s="211">
        <f>IF(Q163="Other dry cargo", Alukset_fx!$Q$52, IF(OR(Q163="Dry bulk",Q163="Bulk carrier"),Alukset_fx!$Q$35,IF(OR(Q163="Tanker",Q163="Gas tanker",Q163="Oil tanker"),Alukset_fx!$Q$57,IF(Q163="Chemical tanker",Alukset_fx!$Q$56,IF(OR(Q163="Tugboat",Q163="Barge"),0,IF(Q163="Other vessel",Alukset_fx!$Q$54,IF(Q163="Container ship",Alukset_fx!$Q$37,IF(OR(Q163="RoPax",Q163="RoRo",Q163="Vehicle carrier"),Alukset_fx!$Q$55,0))))))))</f>
        <v>0</v>
      </c>
      <c r="Z163" t="str">
        <f t="shared" si="32"/>
        <v>MDO/MGO</v>
      </c>
      <c r="AA163" t="str">
        <f t="shared" si="33"/>
        <v>MSD</v>
      </c>
      <c r="AB163" t="str">
        <f t="shared" si="34"/>
        <v>MDO/MGO</v>
      </c>
      <c r="AC163" t="str">
        <f t="shared" si="35"/>
        <v>MSD</v>
      </c>
      <c r="AD163" t="str">
        <f t="shared" si="36"/>
        <v>MDO/MGO</v>
      </c>
      <c r="AE163" t="str">
        <f t="shared" si="37"/>
        <v>ST</v>
      </c>
      <c r="AG163">
        <f>Alukset_Käynnit!O170</f>
        <v>0</v>
      </c>
      <c r="AH163" s="207">
        <f>IF(AA163="SSD",((U163*Alukset_fx!$B$24)*Alukset_Käynnit_Lask!W163*(Alukset_fx!$K$49)/1000),IF(AA163="MSD",((U163*Alukset_fx!$B$24)*Alukset_Käynnit_Lask!W163*(Alukset_fx!$K$52)/1000),IF(AA163="HSD",((U163*Alukset_fx!$B$24)*Alukset_Käynnit_Lask!W163*(Alukset_fx!$K$55)/1000),0)))</f>
        <v>0</v>
      </c>
      <c r="AI163" s="207">
        <f>IF(AC163="MSD",((V163*Alukset_fx!$B$25)*Alukset_Käynnit_Lask!W163*(Alukset_fx!$L$52)/1000),IF(AC163="HSD",((V163*Alukset_fx!$B$25)*Alukset_Käynnit_Lask!W163*(Alukset_fx!$L$55)/1000),0))</f>
        <v>0</v>
      </c>
      <c r="AJ163" s="207">
        <f>X163*W163*Alukset_fx!$K$61/1000</f>
        <v>0</v>
      </c>
      <c r="AK163">
        <v>0</v>
      </c>
      <c r="AL163" s="207">
        <f>IF(AG163="Käytetty",0,IF(AC163="MSD",((V163*Alukset_fx!$O$25)*Alukset_Käynnit_Lask!O163*(Alukset_fx!$L$52)/1000),IF(AC163="HSD",((V163*Alukset_fx!$O$25)*Alukset_Käynnit_Lask!O163*(Alukset_fx!$L$55)/1000),0)))</f>
        <v>0</v>
      </c>
      <c r="AM163" s="207">
        <f>IF(AG163="Käytetty",0,Y163*O163*Alukset_fx!$K$61/1000)</f>
        <v>0</v>
      </c>
      <c r="AN163" s="213">
        <f t="shared" si="38"/>
        <v>0</v>
      </c>
    </row>
    <row r="164" spans="1:40" x14ac:dyDescent="0.25">
      <c r="A164" s="203">
        <f>Alukset_Käynnit!A171</f>
        <v>0</v>
      </c>
      <c r="B164" s="203">
        <f>Alukset_Käynnit!B171</f>
        <v>0</v>
      </c>
      <c r="C164" s="262">
        <f>Alukset_Käynnit!C171</f>
        <v>0</v>
      </c>
      <c r="D164" s="266">
        <f>Alukset_Käynnit!D171</f>
        <v>0</v>
      </c>
      <c r="E164" s="262">
        <f>Alukset_Käynnit!E171</f>
        <v>0</v>
      </c>
      <c r="F164" s="262">
        <f>Alukset_Käynnit!F171</f>
        <v>0</v>
      </c>
      <c r="G164" s="262">
        <f>Alukset_Käynnit!G171</f>
        <v>0</v>
      </c>
      <c r="H164" s="262">
        <f>Alukset_Käynnit!H171</f>
        <v>0</v>
      </c>
      <c r="I164" s="262">
        <f>Alukset_Käynnit!I171</f>
        <v>0</v>
      </c>
      <c r="J164" s="262">
        <f>Alukset_Käynnit!J171</f>
        <v>0</v>
      </c>
      <c r="K164" s="262">
        <f>Alukset_Käynnit!K171</f>
        <v>0</v>
      </c>
      <c r="L164" s="205">
        <f>Alukset_Käynnit!L171</f>
        <v>0</v>
      </c>
      <c r="N164" s="273">
        <f t="shared" si="39"/>
        <v>0</v>
      </c>
      <c r="O164" s="274">
        <f t="shared" si="40"/>
        <v>0</v>
      </c>
      <c r="Q164" s="204">
        <f t="shared" si="29"/>
        <v>0</v>
      </c>
      <c r="R164" s="202">
        <f>IF(Q164="Other dry cargo",L164*Alukset_fx!$B$71,IF(OR(Q164="Dry bulk",Q164="Bulk carrier"),L164*Alukset_fx!$B$69,IF(Q164="Tugboat",L164*Alukset_fx!$B$76,IF(OR(Q164="Tanker",Q164="Gas tanker",Q164="Chemical tanker",Q164="Oil tanker"),L164*Alukset_fx!$B$68,IF(OR(Q164="RoRo",Q164="Vehicle carrier"),L164*Alukset_fx!$B$72,IF(Q164="RoPax",L164*Alukset_fx!$B$73,IF(Q164="Container ship",L164*Alukset_fx!$B$70,IF(Q164="Barge",0,L164*Alukset_fx!$B$75))))))))</f>
        <v>0</v>
      </c>
      <c r="S164" s="210">
        <f>IF(L164=0,IF(Q164="Other dry cargo",Alukset_fx!$H$73*(Alukset_Käynnit_Lask!K164^Alukset_fx!$I$73),IF(OR(Q164="Dry Bulk",Q164="Bulk carrier"),Alukset_fx!$H$71*(Alukset_Käynnit_Lask!K164^Alukset_fx!$I$71),IF(Q164="Tugboat",Alukset_fx!$H$78*(Alukset_Käynnit_Lask!K164^Alukset_fx!$I$78),IF(OR(Q164="Tanker",Q164="Gas tanker",Q164="Chemical tanker",Q164="Oil tanker"),Alukset_fx!$H$70*(Alukset_Käynnit_Lask!K164^Alukset_fx!$I$70),IF(Q164="Container ship",Alukset_fx!$H$72*(Alukset_Käynnit_Lask!K164^Alukset_fx!$I$72),IF(Q164="Barge",0,IF(Q164="RoPax",Alukset_fx!$H$75*(Alukset_Käynnit_Lask!K164^Alukset_fx!$I$75),IF(OR(Q164="RoRo",Q164="Vehicle carrier"),Alukset_fx!$H$74*(Alukset_Käynnit_Lask!K164^Alukset_fx!$I$74),Alukset_fx!$H$77*(Alukset_Käynnit_Lask!K164^Alukset_fx!$I$77))))))))),"-")</f>
        <v>0</v>
      </c>
      <c r="T164" s="208">
        <f>IF(R164=0,IF(Q164="Other dry cargo",S164*Alukset_fx!$B$71,IF(OR(Q164="Dry bulk",Q164="Bulk carrier"),S164*Alukset_fx!$B$69,IF(Q164="Tugboat",S164*Alukset_fx!$B$76,IF(OR(Q164="Tanker",Q164="Gas tanker",Q164="Chemical tanker",Q164="Oil tanker"),S164*Alukset_fx!$B$68,IF(OR(Q164="RoRo",Q164="Vehicle carrier"),S164*Alukset_fx!$B$72,IF(Q164="RoPax",S164*Alukset_fx!$B$73,IF(Q164="Container ship",S164*Alukset_fx!$B$70,S164*Alukset_fx!$B$75))))))),"-")</f>
        <v>0</v>
      </c>
      <c r="U164" s="208">
        <f t="shared" si="30"/>
        <v>0</v>
      </c>
      <c r="V164" s="208">
        <f t="shared" si="31"/>
        <v>0</v>
      </c>
      <c r="W164" s="202">
        <f>Alukset_Käynnit!N171</f>
        <v>0</v>
      </c>
      <c r="X164" s="211">
        <f>IF(Q164="Other dry cargo", Alukset_fx!$C$52, IF(OR(Q164="Dry bulk",Q164="Bulk carrier"),Alukset_fx!$C$35,IF(OR(Q164="Tanker",Q164="Gas tanker",Q164="Oil tanker"),Alukset_fx!$C$57,IF(Q164="Chemical tanker",Alukset_fx!$C$56,IF(OR(Q164="Tugboat",Q164="Barge"),0,IF(Q164="Other vessel",Alukset_fx!$C$54,IF(Q164="Container ship",Alukset_fx!$C$37,IF(OR(Q164="RoPax",Q164="RoRo",Q164="Vehicle carrier"),Alukset_fx!$C$55,0))))))))</f>
        <v>0</v>
      </c>
      <c r="Y164" s="211">
        <f>IF(Q164="Other dry cargo", Alukset_fx!$Q$52, IF(OR(Q164="Dry bulk",Q164="Bulk carrier"),Alukset_fx!$Q$35,IF(OR(Q164="Tanker",Q164="Gas tanker",Q164="Oil tanker"),Alukset_fx!$Q$57,IF(Q164="Chemical tanker",Alukset_fx!$Q$56,IF(OR(Q164="Tugboat",Q164="Barge"),0,IF(Q164="Other vessel",Alukset_fx!$Q$54,IF(Q164="Container ship",Alukset_fx!$Q$37,IF(OR(Q164="RoPax",Q164="RoRo",Q164="Vehicle carrier"),Alukset_fx!$Q$55,0))))))))</f>
        <v>0</v>
      </c>
      <c r="Z164" t="str">
        <f t="shared" si="32"/>
        <v>MDO/MGO</v>
      </c>
      <c r="AA164" t="str">
        <f t="shared" si="33"/>
        <v>MSD</v>
      </c>
      <c r="AB164" t="str">
        <f t="shared" si="34"/>
        <v>MDO/MGO</v>
      </c>
      <c r="AC164" t="str">
        <f t="shared" si="35"/>
        <v>MSD</v>
      </c>
      <c r="AD164" t="str">
        <f t="shared" si="36"/>
        <v>MDO/MGO</v>
      </c>
      <c r="AE164" t="str">
        <f t="shared" si="37"/>
        <v>ST</v>
      </c>
      <c r="AG164">
        <f>Alukset_Käynnit!O171</f>
        <v>0</v>
      </c>
      <c r="AH164" s="207">
        <f>IF(AA164="SSD",((U164*Alukset_fx!$B$24)*Alukset_Käynnit_Lask!W164*(Alukset_fx!$K$49)/1000),IF(AA164="MSD",((U164*Alukset_fx!$B$24)*Alukset_Käynnit_Lask!W164*(Alukset_fx!$K$52)/1000),IF(AA164="HSD",((U164*Alukset_fx!$B$24)*Alukset_Käynnit_Lask!W164*(Alukset_fx!$K$55)/1000),0)))</f>
        <v>0</v>
      </c>
      <c r="AI164" s="207">
        <f>IF(AC164="MSD",((V164*Alukset_fx!$B$25)*Alukset_Käynnit_Lask!W164*(Alukset_fx!$L$52)/1000),IF(AC164="HSD",((V164*Alukset_fx!$B$25)*Alukset_Käynnit_Lask!W164*(Alukset_fx!$L$55)/1000),0))</f>
        <v>0</v>
      </c>
      <c r="AJ164" s="207">
        <f>X164*W164*Alukset_fx!$K$61/1000</f>
        <v>0</v>
      </c>
      <c r="AK164">
        <v>0</v>
      </c>
      <c r="AL164" s="207">
        <f>IF(AG164="Käytetty",0,IF(AC164="MSD",((V164*Alukset_fx!$O$25)*Alukset_Käynnit_Lask!O164*(Alukset_fx!$L$52)/1000),IF(AC164="HSD",((V164*Alukset_fx!$O$25)*Alukset_Käynnit_Lask!O164*(Alukset_fx!$L$55)/1000),0)))</f>
        <v>0</v>
      </c>
      <c r="AM164" s="207">
        <f>IF(AG164="Käytetty",0,Y164*O164*Alukset_fx!$K$61/1000)</f>
        <v>0</v>
      </c>
      <c r="AN164" s="213">
        <f t="shared" si="38"/>
        <v>0</v>
      </c>
    </row>
    <row r="165" spans="1:40" x14ac:dyDescent="0.25">
      <c r="A165" s="203">
        <f>Alukset_Käynnit!A172</f>
        <v>0</v>
      </c>
      <c r="B165" s="203">
        <f>Alukset_Käynnit!B172</f>
        <v>0</v>
      </c>
      <c r="C165" s="262">
        <f>Alukset_Käynnit!C172</f>
        <v>0</v>
      </c>
      <c r="D165" s="266">
        <f>Alukset_Käynnit!D172</f>
        <v>0</v>
      </c>
      <c r="E165" s="262">
        <f>Alukset_Käynnit!E172</f>
        <v>0</v>
      </c>
      <c r="F165" s="262">
        <f>Alukset_Käynnit!F172</f>
        <v>0</v>
      </c>
      <c r="G165" s="262">
        <f>Alukset_Käynnit!G172</f>
        <v>0</v>
      </c>
      <c r="H165" s="262">
        <f>Alukset_Käynnit!H172</f>
        <v>0</v>
      </c>
      <c r="I165" s="262">
        <f>Alukset_Käynnit!I172</f>
        <v>0</v>
      </c>
      <c r="J165" s="262">
        <f>Alukset_Käynnit!J172</f>
        <v>0</v>
      </c>
      <c r="K165" s="262">
        <f>Alukset_Käynnit!K172</f>
        <v>0</v>
      </c>
      <c r="L165" s="205">
        <f>Alukset_Käynnit!L172</f>
        <v>0</v>
      </c>
      <c r="N165" s="273">
        <f t="shared" si="39"/>
        <v>0</v>
      </c>
      <c r="O165" s="274">
        <f t="shared" si="40"/>
        <v>0</v>
      </c>
      <c r="Q165" s="204">
        <f t="shared" si="29"/>
        <v>0</v>
      </c>
      <c r="R165" s="202">
        <f>IF(Q165="Other dry cargo",L165*Alukset_fx!$B$71,IF(OR(Q165="Dry bulk",Q165="Bulk carrier"),L165*Alukset_fx!$B$69,IF(Q165="Tugboat",L165*Alukset_fx!$B$76,IF(OR(Q165="Tanker",Q165="Gas tanker",Q165="Chemical tanker",Q165="Oil tanker"),L165*Alukset_fx!$B$68,IF(OR(Q165="RoRo",Q165="Vehicle carrier"),L165*Alukset_fx!$B$72,IF(Q165="RoPax",L165*Alukset_fx!$B$73,IF(Q165="Container ship",L165*Alukset_fx!$B$70,IF(Q165="Barge",0,L165*Alukset_fx!$B$75))))))))</f>
        <v>0</v>
      </c>
      <c r="S165" s="210">
        <f>IF(L165=0,IF(Q165="Other dry cargo",Alukset_fx!$H$73*(Alukset_Käynnit_Lask!K165^Alukset_fx!$I$73),IF(OR(Q165="Dry Bulk",Q165="Bulk carrier"),Alukset_fx!$H$71*(Alukset_Käynnit_Lask!K165^Alukset_fx!$I$71),IF(Q165="Tugboat",Alukset_fx!$H$78*(Alukset_Käynnit_Lask!K165^Alukset_fx!$I$78),IF(OR(Q165="Tanker",Q165="Gas tanker",Q165="Chemical tanker",Q165="Oil tanker"),Alukset_fx!$H$70*(Alukset_Käynnit_Lask!K165^Alukset_fx!$I$70),IF(Q165="Container ship",Alukset_fx!$H$72*(Alukset_Käynnit_Lask!K165^Alukset_fx!$I$72),IF(Q165="Barge",0,IF(Q165="RoPax",Alukset_fx!$H$75*(Alukset_Käynnit_Lask!K165^Alukset_fx!$I$75),IF(OR(Q165="RoRo",Q165="Vehicle carrier"),Alukset_fx!$H$74*(Alukset_Käynnit_Lask!K165^Alukset_fx!$I$74),Alukset_fx!$H$77*(Alukset_Käynnit_Lask!K165^Alukset_fx!$I$77))))))))),"-")</f>
        <v>0</v>
      </c>
      <c r="T165" s="208">
        <f>IF(R165=0,IF(Q165="Other dry cargo",S165*Alukset_fx!$B$71,IF(OR(Q165="Dry bulk",Q165="Bulk carrier"),S165*Alukset_fx!$B$69,IF(Q165="Tugboat",S165*Alukset_fx!$B$76,IF(OR(Q165="Tanker",Q165="Gas tanker",Q165="Chemical tanker",Q165="Oil tanker"),S165*Alukset_fx!$B$68,IF(OR(Q165="RoRo",Q165="Vehicle carrier"),S165*Alukset_fx!$B$72,IF(Q165="RoPax",S165*Alukset_fx!$B$73,IF(Q165="Container ship",S165*Alukset_fx!$B$70,S165*Alukset_fx!$B$75))))))),"-")</f>
        <v>0</v>
      </c>
      <c r="U165" s="208">
        <f t="shared" si="30"/>
        <v>0</v>
      </c>
      <c r="V165" s="208">
        <f t="shared" si="31"/>
        <v>0</v>
      </c>
      <c r="W165" s="202">
        <f>Alukset_Käynnit!N172</f>
        <v>0</v>
      </c>
      <c r="X165" s="211">
        <f>IF(Q165="Other dry cargo", Alukset_fx!$C$52, IF(OR(Q165="Dry bulk",Q165="Bulk carrier"),Alukset_fx!$C$35,IF(OR(Q165="Tanker",Q165="Gas tanker",Q165="Oil tanker"),Alukset_fx!$C$57,IF(Q165="Chemical tanker",Alukset_fx!$C$56,IF(OR(Q165="Tugboat",Q165="Barge"),0,IF(Q165="Other vessel",Alukset_fx!$C$54,IF(Q165="Container ship",Alukset_fx!$C$37,IF(OR(Q165="RoPax",Q165="RoRo",Q165="Vehicle carrier"),Alukset_fx!$C$55,0))))))))</f>
        <v>0</v>
      </c>
      <c r="Y165" s="211">
        <f>IF(Q165="Other dry cargo", Alukset_fx!$Q$52, IF(OR(Q165="Dry bulk",Q165="Bulk carrier"),Alukset_fx!$Q$35,IF(OR(Q165="Tanker",Q165="Gas tanker",Q165="Oil tanker"),Alukset_fx!$Q$57,IF(Q165="Chemical tanker",Alukset_fx!$Q$56,IF(OR(Q165="Tugboat",Q165="Barge"),0,IF(Q165="Other vessel",Alukset_fx!$Q$54,IF(Q165="Container ship",Alukset_fx!$Q$37,IF(OR(Q165="RoPax",Q165="RoRo",Q165="Vehicle carrier"),Alukset_fx!$Q$55,0))))))))</f>
        <v>0</v>
      </c>
      <c r="Z165" t="str">
        <f t="shared" si="32"/>
        <v>MDO/MGO</v>
      </c>
      <c r="AA165" t="str">
        <f t="shared" si="33"/>
        <v>MSD</v>
      </c>
      <c r="AB165" t="str">
        <f t="shared" si="34"/>
        <v>MDO/MGO</v>
      </c>
      <c r="AC165" t="str">
        <f t="shared" si="35"/>
        <v>MSD</v>
      </c>
      <c r="AD165" t="str">
        <f t="shared" si="36"/>
        <v>MDO/MGO</v>
      </c>
      <c r="AE165" t="str">
        <f t="shared" si="37"/>
        <v>ST</v>
      </c>
      <c r="AG165">
        <f>Alukset_Käynnit!O172</f>
        <v>0</v>
      </c>
      <c r="AH165" s="207">
        <f>IF(AA165="SSD",((U165*Alukset_fx!$B$24)*Alukset_Käynnit_Lask!W165*(Alukset_fx!$K$49)/1000),IF(AA165="MSD",((U165*Alukset_fx!$B$24)*Alukset_Käynnit_Lask!W165*(Alukset_fx!$K$52)/1000),IF(AA165="HSD",((U165*Alukset_fx!$B$24)*Alukset_Käynnit_Lask!W165*(Alukset_fx!$K$55)/1000),0)))</f>
        <v>0</v>
      </c>
      <c r="AI165" s="207">
        <f>IF(AC165="MSD",((V165*Alukset_fx!$B$25)*Alukset_Käynnit_Lask!W165*(Alukset_fx!$L$52)/1000),IF(AC165="HSD",((V165*Alukset_fx!$B$25)*Alukset_Käynnit_Lask!W165*(Alukset_fx!$L$55)/1000),0))</f>
        <v>0</v>
      </c>
      <c r="AJ165" s="207">
        <f>X165*W165*Alukset_fx!$K$61/1000</f>
        <v>0</v>
      </c>
      <c r="AK165">
        <v>0</v>
      </c>
      <c r="AL165" s="207">
        <f>IF(AG165="Käytetty",0,IF(AC165="MSD",((V165*Alukset_fx!$O$25)*Alukset_Käynnit_Lask!O165*(Alukset_fx!$L$52)/1000),IF(AC165="HSD",((V165*Alukset_fx!$O$25)*Alukset_Käynnit_Lask!O165*(Alukset_fx!$L$55)/1000),0)))</f>
        <v>0</v>
      </c>
      <c r="AM165" s="207">
        <f>IF(AG165="Käytetty",0,Y165*O165*Alukset_fx!$K$61/1000)</f>
        <v>0</v>
      </c>
      <c r="AN165" s="213">
        <f t="shared" si="38"/>
        <v>0</v>
      </c>
    </row>
    <row r="166" spans="1:40" x14ac:dyDescent="0.25">
      <c r="A166" s="203">
        <f>Alukset_Käynnit!A173</f>
        <v>0</v>
      </c>
      <c r="B166" s="203">
        <f>Alukset_Käynnit!B173</f>
        <v>0</v>
      </c>
      <c r="C166" s="262">
        <f>Alukset_Käynnit!C173</f>
        <v>0</v>
      </c>
      <c r="D166" s="266">
        <f>Alukset_Käynnit!D173</f>
        <v>0</v>
      </c>
      <c r="E166" s="262">
        <f>Alukset_Käynnit!E173</f>
        <v>0</v>
      </c>
      <c r="F166" s="262">
        <f>Alukset_Käynnit!F173</f>
        <v>0</v>
      </c>
      <c r="G166" s="262">
        <f>Alukset_Käynnit!G173</f>
        <v>0</v>
      </c>
      <c r="H166" s="262">
        <f>Alukset_Käynnit!H173</f>
        <v>0</v>
      </c>
      <c r="I166" s="262">
        <f>Alukset_Käynnit!I173</f>
        <v>0</v>
      </c>
      <c r="J166" s="262">
        <f>Alukset_Käynnit!J173</f>
        <v>0</v>
      </c>
      <c r="K166" s="262">
        <f>Alukset_Käynnit!K173</f>
        <v>0</v>
      </c>
      <c r="L166" s="205">
        <f>Alukset_Käynnit!L173</f>
        <v>0</v>
      </c>
      <c r="N166" s="273">
        <f t="shared" si="39"/>
        <v>0</v>
      </c>
      <c r="O166" s="274">
        <f t="shared" si="40"/>
        <v>0</v>
      </c>
      <c r="Q166" s="204">
        <f t="shared" si="29"/>
        <v>0</v>
      </c>
      <c r="R166" s="202">
        <f>IF(Q166="Other dry cargo",L166*Alukset_fx!$B$71,IF(OR(Q166="Dry bulk",Q166="Bulk carrier"),L166*Alukset_fx!$B$69,IF(Q166="Tugboat",L166*Alukset_fx!$B$76,IF(OR(Q166="Tanker",Q166="Gas tanker",Q166="Chemical tanker",Q166="Oil tanker"),L166*Alukset_fx!$B$68,IF(OR(Q166="RoRo",Q166="Vehicle carrier"),L166*Alukset_fx!$B$72,IF(Q166="RoPax",L166*Alukset_fx!$B$73,IF(Q166="Container ship",L166*Alukset_fx!$B$70,IF(Q166="Barge",0,L166*Alukset_fx!$B$75))))))))</f>
        <v>0</v>
      </c>
      <c r="S166" s="210">
        <f>IF(L166=0,IF(Q166="Other dry cargo",Alukset_fx!$H$73*(Alukset_Käynnit_Lask!K166^Alukset_fx!$I$73),IF(OR(Q166="Dry Bulk",Q166="Bulk carrier"),Alukset_fx!$H$71*(Alukset_Käynnit_Lask!K166^Alukset_fx!$I$71),IF(Q166="Tugboat",Alukset_fx!$H$78*(Alukset_Käynnit_Lask!K166^Alukset_fx!$I$78),IF(OR(Q166="Tanker",Q166="Gas tanker",Q166="Chemical tanker",Q166="Oil tanker"),Alukset_fx!$H$70*(Alukset_Käynnit_Lask!K166^Alukset_fx!$I$70),IF(Q166="Container ship",Alukset_fx!$H$72*(Alukset_Käynnit_Lask!K166^Alukset_fx!$I$72),IF(Q166="Barge",0,IF(Q166="RoPax",Alukset_fx!$H$75*(Alukset_Käynnit_Lask!K166^Alukset_fx!$I$75),IF(OR(Q166="RoRo",Q166="Vehicle carrier"),Alukset_fx!$H$74*(Alukset_Käynnit_Lask!K166^Alukset_fx!$I$74),Alukset_fx!$H$77*(Alukset_Käynnit_Lask!K166^Alukset_fx!$I$77))))))))),"-")</f>
        <v>0</v>
      </c>
      <c r="T166" s="208">
        <f>IF(R166=0,IF(Q166="Other dry cargo",S166*Alukset_fx!$B$71,IF(OR(Q166="Dry bulk",Q166="Bulk carrier"),S166*Alukset_fx!$B$69,IF(Q166="Tugboat",S166*Alukset_fx!$B$76,IF(OR(Q166="Tanker",Q166="Gas tanker",Q166="Chemical tanker",Q166="Oil tanker"),S166*Alukset_fx!$B$68,IF(OR(Q166="RoRo",Q166="Vehicle carrier"),S166*Alukset_fx!$B$72,IF(Q166="RoPax",S166*Alukset_fx!$B$73,IF(Q166="Container ship",S166*Alukset_fx!$B$70,S166*Alukset_fx!$B$75))))))),"-")</f>
        <v>0</v>
      </c>
      <c r="U166" s="208">
        <f t="shared" si="30"/>
        <v>0</v>
      </c>
      <c r="V166" s="208">
        <f t="shared" si="31"/>
        <v>0</v>
      </c>
      <c r="W166" s="202">
        <f>Alukset_Käynnit!N173</f>
        <v>0</v>
      </c>
      <c r="X166" s="211">
        <f>IF(Q166="Other dry cargo", Alukset_fx!$C$52, IF(OR(Q166="Dry bulk",Q166="Bulk carrier"),Alukset_fx!$C$35,IF(OR(Q166="Tanker",Q166="Gas tanker",Q166="Oil tanker"),Alukset_fx!$C$57,IF(Q166="Chemical tanker",Alukset_fx!$C$56,IF(OR(Q166="Tugboat",Q166="Barge"),0,IF(Q166="Other vessel",Alukset_fx!$C$54,IF(Q166="Container ship",Alukset_fx!$C$37,IF(OR(Q166="RoPax",Q166="RoRo",Q166="Vehicle carrier"),Alukset_fx!$C$55,0))))))))</f>
        <v>0</v>
      </c>
      <c r="Y166" s="211">
        <f>IF(Q166="Other dry cargo", Alukset_fx!$Q$52, IF(OR(Q166="Dry bulk",Q166="Bulk carrier"),Alukset_fx!$Q$35,IF(OR(Q166="Tanker",Q166="Gas tanker",Q166="Oil tanker"),Alukset_fx!$Q$57,IF(Q166="Chemical tanker",Alukset_fx!$Q$56,IF(OR(Q166="Tugboat",Q166="Barge"),0,IF(Q166="Other vessel",Alukset_fx!$Q$54,IF(Q166="Container ship",Alukset_fx!$Q$37,IF(OR(Q166="RoPax",Q166="RoRo",Q166="Vehicle carrier"),Alukset_fx!$Q$55,0))))))))</f>
        <v>0</v>
      </c>
      <c r="Z166" t="str">
        <f t="shared" si="32"/>
        <v>MDO/MGO</v>
      </c>
      <c r="AA166" t="str">
        <f t="shared" si="33"/>
        <v>MSD</v>
      </c>
      <c r="AB166" t="str">
        <f t="shared" si="34"/>
        <v>MDO/MGO</v>
      </c>
      <c r="AC166" t="str">
        <f t="shared" si="35"/>
        <v>MSD</v>
      </c>
      <c r="AD166" t="str">
        <f t="shared" si="36"/>
        <v>MDO/MGO</v>
      </c>
      <c r="AE166" t="str">
        <f t="shared" si="37"/>
        <v>ST</v>
      </c>
      <c r="AG166">
        <f>Alukset_Käynnit!O173</f>
        <v>0</v>
      </c>
      <c r="AH166" s="207">
        <f>IF(AA166="SSD",((U166*Alukset_fx!$B$24)*Alukset_Käynnit_Lask!W166*(Alukset_fx!$K$49)/1000),IF(AA166="MSD",((U166*Alukset_fx!$B$24)*Alukset_Käynnit_Lask!W166*(Alukset_fx!$K$52)/1000),IF(AA166="HSD",((U166*Alukset_fx!$B$24)*Alukset_Käynnit_Lask!W166*(Alukset_fx!$K$55)/1000),0)))</f>
        <v>0</v>
      </c>
      <c r="AI166" s="207">
        <f>IF(AC166="MSD",((V166*Alukset_fx!$B$25)*Alukset_Käynnit_Lask!W166*(Alukset_fx!$L$52)/1000),IF(AC166="HSD",((V166*Alukset_fx!$B$25)*Alukset_Käynnit_Lask!W166*(Alukset_fx!$L$55)/1000),0))</f>
        <v>0</v>
      </c>
      <c r="AJ166" s="207">
        <f>X166*W166*Alukset_fx!$K$61/1000</f>
        <v>0</v>
      </c>
      <c r="AK166">
        <v>0</v>
      </c>
      <c r="AL166" s="207">
        <f>IF(AG166="Käytetty",0,IF(AC166="MSD",((V166*Alukset_fx!$O$25)*Alukset_Käynnit_Lask!O166*(Alukset_fx!$L$52)/1000),IF(AC166="HSD",((V166*Alukset_fx!$O$25)*Alukset_Käynnit_Lask!O166*(Alukset_fx!$L$55)/1000),0)))</f>
        <v>0</v>
      </c>
      <c r="AM166" s="207">
        <f>IF(AG166="Käytetty",0,Y166*O166*Alukset_fx!$K$61/1000)</f>
        <v>0</v>
      </c>
      <c r="AN166" s="213">
        <f t="shared" si="38"/>
        <v>0</v>
      </c>
    </row>
    <row r="167" spans="1:40" x14ac:dyDescent="0.25">
      <c r="A167" s="203">
        <f>Alukset_Käynnit!A174</f>
        <v>0</v>
      </c>
      <c r="B167" s="203">
        <f>Alukset_Käynnit!B174</f>
        <v>0</v>
      </c>
      <c r="C167" s="262">
        <f>Alukset_Käynnit!C174</f>
        <v>0</v>
      </c>
      <c r="D167" s="266">
        <f>Alukset_Käynnit!D174</f>
        <v>0</v>
      </c>
      <c r="E167" s="262">
        <f>Alukset_Käynnit!E174</f>
        <v>0</v>
      </c>
      <c r="F167" s="262">
        <f>Alukset_Käynnit!F174</f>
        <v>0</v>
      </c>
      <c r="G167" s="262">
        <f>Alukset_Käynnit!G174</f>
        <v>0</v>
      </c>
      <c r="H167" s="262">
        <f>Alukset_Käynnit!H174</f>
        <v>0</v>
      </c>
      <c r="I167" s="262">
        <f>Alukset_Käynnit!I174</f>
        <v>0</v>
      </c>
      <c r="J167" s="262">
        <f>Alukset_Käynnit!J174</f>
        <v>0</v>
      </c>
      <c r="K167" s="262">
        <f>Alukset_Käynnit!K174</f>
        <v>0</v>
      </c>
      <c r="L167" s="205">
        <f>Alukset_Käynnit!L174</f>
        <v>0</v>
      </c>
      <c r="N167" s="273">
        <f t="shared" si="39"/>
        <v>0</v>
      </c>
      <c r="O167" s="274">
        <f t="shared" si="40"/>
        <v>0</v>
      </c>
      <c r="Q167" s="204">
        <f t="shared" si="29"/>
        <v>0</v>
      </c>
      <c r="R167" s="202">
        <f>IF(Q167="Other dry cargo",L167*Alukset_fx!$B$71,IF(OR(Q167="Dry bulk",Q167="Bulk carrier"),L167*Alukset_fx!$B$69,IF(Q167="Tugboat",L167*Alukset_fx!$B$76,IF(OR(Q167="Tanker",Q167="Gas tanker",Q167="Chemical tanker",Q167="Oil tanker"),L167*Alukset_fx!$B$68,IF(OR(Q167="RoRo",Q167="Vehicle carrier"),L167*Alukset_fx!$B$72,IF(Q167="RoPax",L167*Alukset_fx!$B$73,IF(Q167="Container ship",L167*Alukset_fx!$B$70,IF(Q167="Barge",0,L167*Alukset_fx!$B$75))))))))</f>
        <v>0</v>
      </c>
      <c r="S167" s="210">
        <f>IF(L167=0,IF(Q167="Other dry cargo",Alukset_fx!$H$73*(Alukset_Käynnit_Lask!K167^Alukset_fx!$I$73),IF(OR(Q167="Dry Bulk",Q167="Bulk carrier"),Alukset_fx!$H$71*(Alukset_Käynnit_Lask!K167^Alukset_fx!$I$71),IF(Q167="Tugboat",Alukset_fx!$H$78*(Alukset_Käynnit_Lask!K167^Alukset_fx!$I$78),IF(OR(Q167="Tanker",Q167="Gas tanker",Q167="Chemical tanker",Q167="Oil tanker"),Alukset_fx!$H$70*(Alukset_Käynnit_Lask!K167^Alukset_fx!$I$70),IF(Q167="Container ship",Alukset_fx!$H$72*(Alukset_Käynnit_Lask!K167^Alukset_fx!$I$72),IF(Q167="Barge",0,IF(Q167="RoPax",Alukset_fx!$H$75*(Alukset_Käynnit_Lask!K167^Alukset_fx!$I$75),IF(OR(Q167="RoRo",Q167="Vehicle carrier"),Alukset_fx!$H$74*(Alukset_Käynnit_Lask!K167^Alukset_fx!$I$74),Alukset_fx!$H$77*(Alukset_Käynnit_Lask!K167^Alukset_fx!$I$77))))))))),"-")</f>
        <v>0</v>
      </c>
      <c r="T167" s="208">
        <f>IF(R167=0,IF(Q167="Other dry cargo",S167*Alukset_fx!$B$71,IF(OR(Q167="Dry bulk",Q167="Bulk carrier"),S167*Alukset_fx!$B$69,IF(Q167="Tugboat",S167*Alukset_fx!$B$76,IF(OR(Q167="Tanker",Q167="Gas tanker",Q167="Chemical tanker",Q167="Oil tanker"),S167*Alukset_fx!$B$68,IF(OR(Q167="RoRo",Q167="Vehicle carrier"),S167*Alukset_fx!$B$72,IF(Q167="RoPax",S167*Alukset_fx!$B$73,IF(Q167="Container ship",S167*Alukset_fx!$B$70,S167*Alukset_fx!$B$75))))))),"-")</f>
        <v>0</v>
      </c>
      <c r="U167" s="208">
        <f t="shared" si="30"/>
        <v>0</v>
      </c>
      <c r="V167" s="208">
        <f t="shared" si="31"/>
        <v>0</v>
      </c>
      <c r="W167" s="202">
        <f>Alukset_Käynnit!N174</f>
        <v>0</v>
      </c>
      <c r="X167" s="211">
        <f>IF(Q167="Other dry cargo", Alukset_fx!$C$52, IF(OR(Q167="Dry bulk",Q167="Bulk carrier"),Alukset_fx!$C$35,IF(OR(Q167="Tanker",Q167="Gas tanker",Q167="Oil tanker"),Alukset_fx!$C$57,IF(Q167="Chemical tanker",Alukset_fx!$C$56,IF(OR(Q167="Tugboat",Q167="Barge"),0,IF(Q167="Other vessel",Alukset_fx!$C$54,IF(Q167="Container ship",Alukset_fx!$C$37,IF(OR(Q167="RoPax",Q167="RoRo",Q167="Vehicle carrier"),Alukset_fx!$C$55,0))))))))</f>
        <v>0</v>
      </c>
      <c r="Y167" s="211">
        <f>IF(Q167="Other dry cargo", Alukset_fx!$Q$52, IF(OR(Q167="Dry bulk",Q167="Bulk carrier"),Alukset_fx!$Q$35,IF(OR(Q167="Tanker",Q167="Gas tanker",Q167="Oil tanker"),Alukset_fx!$Q$57,IF(Q167="Chemical tanker",Alukset_fx!$Q$56,IF(OR(Q167="Tugboat",Q167="Barge"),0,IF(Q167="Other vessel",Alukset_fx!$Q$54,IF(Q167="Container ship",Alukset_fx!$Q$37,IF(OR(Q167="RoPax",Q167="RoRo",Q167="Vehicle carrier"),Alukset_fx!$Q$55,0))))))))</f>
        <v>0</v>
      </c>
      <c r="Z167" t="str">
        <f t="shared" si="32"/>
        <v>MDO/MGO</v>
      </c>
      <c r="AA167" t="str">
        <f t="shared" si="33"/>
        <v>MSD</v>
      </c>
      <c r="AB167" t="str">
        <f t="shared" si="34"/>
        <v>MDO/MGO</v>
      </c>
      <c r="AC167" t="str">
        <f t="shared" si="35"/>
        <v>MSD</v>
      </c>
      <c r="AD167" t="str">
        <f t="shared" si="36"/>
        <v>MDO/MGO</v>
      </c>
      <c r="AE167" t="str">
        <f t="shared" si="37"/>
        <v>ST</v>
      </c>
      <c r="AG167">
        <f>Alukset_Käynnit!O174</f>
        <v>0</v>
      </c>
      <c r="AH167" s="207">
        <f>IF(AA167="SSD",((U167*Alukset_fx!$B$24)*Alukset_Käynnit_Lask!W167*(Alukset_fx!$K$49)/1000),IF(AA167="MSD",((U167*Alukset_fx!$B$24)*Alukset_Käynnit_Lask!W167*(Alukset_fx!$K$52)/1000),IF(AA167="HSD",((U167*Alukset_fx!$B$24)*Alukset_Käynnit_Lask!W167*(Alukset_fx!$K$55)/1000),0)))</f>
        <v>0</v>
      </c>
      <c r="AI167" s="207">
        <f>IF(AC167="MSD",((V167*Alukset_fx!$B$25)*Alukset_Käynnit_Lask!W167*(Alukset_fx!$L$52)/1000),IF(AC167="HSD",((V167*Alukset_fx!$B$25)*Alukset_Käynnit_Lask!W167*(Alukset_fx!$L$55)/1000),0))</f>
        <v>0</v>
      </c>
      <c r="AJ167" s="207">
        <f>X167*W167*Alukset_fx!$K$61/1000</f>
        <v>0</v>
      </c>
      <c r="AK167">
        <v>0</v>
      </c>
      <c r="AL167" s="207">
        <f>IF(AG167="Käytetty",0,IF(AC167="MSD",((V167*Alukset_fx!$O$25)*Alukset_Käynnit_Lask!O167*(Alukset_fx!$L$52)/1000),IF(AC167="HSD",((V167*Alukset_fx!$O$25)*Alukset_Käynnit_Lask!O167*(Alukset_fx!$L$55)/1000),0)))</f>
        <v>0</v>
      </c>
      <c r="AM167" s="207">
        <f>IF(AG167="Käytetty",0,Y167*O167*Alukset_fx!$K$61/1000)</f>
        <v>0</v>
      </c>
      <c r="AN167" s="213">
        <f t="shared" si="38"/>
        <v>0</v>
      </c>
    </row>
    <row r="168" spans="1:40" x14ac:dyDescent="0.25">
      <c r="A168" s="203">
        <f>Alukset_Käynnit!A175</f>
        <v>0</v>
      </c>
      <c r="B168" s="203">
        <f>Alukset_Käynnit!B175</f>
        <v>0</v>
      </c>
      <c r="C168" s="262">
        <f>Alukset_Käynnit!C175</f>
        <v>0</v>
      </c>
      <c r="D168" s="266">
        <f>Alukset_Käynnit!D175</f>
        <v>0</v>
      </c>
      <c r="E168" s="262">
        <f>Alukset_Käynnit!E175</f>
        <v>0</v>
      </c>
      <c r="F168" s="262">
        <f>Alukset_Käynnit!F175</f>
        <v>0</v>
      </c>
      <c r="G168" s="262">
        <f>Alukset_Käynnit!G175</f>
        <v>0</v>
      </c>
      <c r="H168" s="262">
        <f>Alukset_Käynnit!H175</f>
        <v>0</v>
      </c>
      <c r="I168" s="262">
        <f>Alukset_Käynnit!I175</f>
        <v>0</v>
      </c>
      <c r="J168" s="262">
        <f>Alukset_Käynnit!J175</f>
        <v>0</v>
      </c>
      <c r="K168" s="262">
        <f>Alukset_Käynnit!K175</f>
        <v>0</v>
      </c>
      <c r="L168" s="205">
        <f>Alukset_Käynnit!L175</f>
        <v>0</v>
      </c>
      <c r="N168" s="273">
        <f t="shared" si="39"/>
        <v>0</v>
      </c>
      <c r="O168" s="274">
        <f t="shared" si="40"/>
        <v>0</v>
      </c>
      <c r="Q168" s="204">
        <f t="shared" si="29"/>
        <v>0</v>
      </c>
      <c r="R168" s="202">
        <f>IF(Q168="Other dry cargo",L168*Alukset_fx!$B$71,IF(OR(Q168="Dry bulk",Q168="Bulk carrier"),L168*Alukset_fx!$B$69,IF(Q168="Tugboat",L168*Alukset_fx!$B$76,IF(OR(Q168="Tanker",Q168="Gas tanker",Q168="Chemical tanker",Q168="Oil tanker"),L168*Alukset_fx!$B$68,IF(OR(Q168="RoRo",Q168="Vehicle carrier"),L168*Alukset_fx!$B$72,IF(Q168="RoPax",L168*Alukset_fx!$B$73,IF(Q168="Container ship",L168*Alukset_fx!$B$70,IF(Q168="Barge",0,L168*Alukset_fx!$B$75))))))))</f>
        <v>0</v>
      </c>
      <c r="S168" s="210">
        <f>IF(L168=0,IF(Q168="Other dry cargo",Alukset_fx!$H$73*(Alukset_Käynnit_Lask!K168^Alukset_fx!$I$73),IF(OR(Q168="Dry Bulk",Q168="Bulk carrier"),Alukset_fx!$H$71*(Alukset_Käynnit_Lask!K168^Alukset_fx!$I$71),IF(Q168="Tugboat",Alukset_fx!$H$78*(Alukset_Käynnit_Lask!K168^Alukset_fx!$I$78),IF(OR(Q168="Tanker",Q168="Gas tanker",Q168="Chemical tanker",Q168="Oil tanker"),Alukset_fx!$H$70*(Alukset_Käynnit_Lask!K168^Alukset_fx!$I$70),IF(Q168="Container ship",Alukset_fx!$H$72*(Alukset_Käynnit_Lask!K168^Alukset_fx!$I$72),IF(Q168="Barge",0,IF(Q168="RoPax",Alukset_fx!$H$75*(Alukset_Käynnit_Lask!K168^Alukset_fx!$I$75),IF(OR(Q168="RoRo",Q168="Vehicle carrier"),Alukset_fx!$H$74*(Alukset_Käynnit_Lask!K168^Alukset_fx!$I$74),Alukset_fx!$H$77*(Alukset_Käynnit_Lask!K168^Alukset_fx!$I$77))))))))),"-")</f>
        <v>0</v>
      </c>
      <c r="T168" s="208">
        <f>IF(R168=0,IF(Q168="Other dry cargo",S168*Alukset_fx!$B$71,IF(OR(Q168="Dry bulk",Q168="Bulk carrier"),S168*Alukset_fx!$B$69,IF(Q168="Tugboat",S168*Alukset_fx!$B$76,IF(OR(Q168="Tanker",Q168="Gas tanker",Q168="Chemical tanker",Q168="Oil tanker"),S168*Alukset_fx!$B$68,IF(OR(Q168="RoRo",Q168="Vehicle carrier"),S168*Alukset_fx!$B$72,IF(Q168="RoPax",S168*Alukset_fx!$B$73,IF(Q168="Container ship",S168*Alukset_fx!$B$70,S168*Alukset_fx!$B$75))))))),"-")</f>
        <v>0</v>
      </c>
      <c r="U168" s="208">
        <f t="shared" si="30"/>
        <v>0</v>
      </c>
      <c r="V168" s="208">
        <f t="shared" si="31"/>
        <v>0</v>
      </c>
      <c r="W168" s="202">
        <f>Alukset_Käynnit!N175</f>
        <v>0</v>
      </c>
      <c r="X168" s="211">
        <f>IF(Q168="Other dry cargo", Alukset_fx!$C$52, IF(OR(Q168="Dry bulk",Q168="Bulk carrier"),Alukset_fx!$C$35,IF(OR(Q168="Tanker",Q168="Gas tanker",Q168="Oil tanker"),Alukset_fx!$C$57,IF(Q168="Chemical tanker",Alukset_fx!$C$56,IF(OR(Q168="Tugboat",Q168="Barge"),0,IF(Q168="Other vessel",Alukset_fx!$C$54,IF(Q168="Container ship",Alukset_fx!$C$37,IF(OR(Q168="RoPax",Q168="RoRo",Q168="Vehicle carrier"),Alukset_fx!$C$55,0))))))))</f>
        <v>0</v>
      </c>
      <c r="Y168" s="211">
        <f>IF(Q168="Other dry cargo", Alukset_fx!$Q$52, IF(OR(Q168="Dry bulk",Q168="Bulk carrier"),Alukset_fx!$Q$35,IF(OR(Q168="Tanker",Q168="Gas tanker",Q168="Oil tanker"),Alukset_fx!$Q$57,IF(Q168="Chemical tanker",Alukset_fx!$Q$56,IF(OR(Q168="Tugboat",Q168="Barge"),0,IF(Q168="Other vessel",Alukset_fx!$Q$54,IF(Q168="Container ship",Alukset_fx!$Q$37,IF(OR(Q168="RoPax",Q168="RoRo",Q168="Vehicle carrier"),Alukset_fx!$Q$55,0))))))))</f>
        <v>0</v>
      </c>
      <c r="Z168" t="str">
        <f t="shared" si="32"/>
        <v>MDO/MGO</v>
      </c>
      <c r="AA168" t="str">
        <f t="shared" si="33"/>
        <v>MSD</v>
      </c>
      <c r="AB168" t="str">
        <f t="shared" si="34"/>
        <v>MDO/MGO</v>
      </c>
      <c r="AC168" t="str">
        <f t="shared" si="35"/>
        <v>MSD</v>
      </c>
      <c r="AD168" t="str">
        <f t="shared" si="36"/>
        <v>MDO/MGO</v>
      </c>
      <c r="AE168" t="str">
        <f t="shared" si="37"/>
        <v>ST</v>
      </c>
      <c r="AG168">
        <f>Alukset_Käynnit!O175</f>
        <v>0</v>
      </c>
      <c r="AH168" s="207">
        <f>IF(AA168="SSD",((U168*Alukset_fx!$B$24)*Alukset_Käynnit_Lask!W168*(Alukset_fx!$K$49)/1000),IF(AA168="MSD",((U168*Alukset_fx!$B$24)*Alukset_Käynnit_Lask!W168*(Alukset_fx!$K$52)/1000),IF(AA168="HSD",((U168*Alukset_fx!$B$24)*Alukset_Käynnit_Lask!W168*(Alukset_fx!$K$55)/1000),0)))</f>
        <v>0</v>
      </c>
      <c r="AI168" s="207">
        <f>IF(AC168="MSD",((V168*Alukset_fx!$B$25)*Alukset_Käynnit_Lask!W168*(Alukset_fx!$L$52)/1000),IF(AC168="HSD",((V168*Alukset_fx!$B$25)*Alukset_Käynnit_Lask!W168*(Alukset_fx!$L$55)/1000),0))</f>
        <v>0</v>
      </c>
      <c r="AJ168" s="207">
        <f>X168*W168*Alukset_fx!$K$61/1000</f>
        <v>0</v>
      </c>
      <c r="AK168">
        <v>0</v>
      </c>
      <c r="AL168" s="207">
        <f>IF(AG168="Käytetty",0,IF(AC168="MSD",((V168*Alukset_fx!$O$25)*Alukset_Käynnit_Lask!O168*(Alukset_fx!$L$52)/1000),IF(AC168="HSD",((V168*Alukset_fx!$O$25)*Alukset_Käynnit_Lask!O168*(Alukset_fx!$L$55)/1000),0)))</f>
        <v>0</v>
      </c>
      <c r="AM168" s="207">
        <f>IF(AG168="Käytetty",0,Y168*O168*Alukset_fx!$K$61/1000)</f>
        <v>0</v>
      </c>
      <c r="AN168" s="213">
        <f t="shared" si="38"/>
        <v>0</v>
      </c>
    </row>
    <row r="169" spans="1:40" x14ac:dyDescent="0.25">
      <c r="A169" s="203">
        <f>Alukset_Käynnit!A176</f>
        <v>0</v>
      </c>
      <c r="B169" s="203">
        <f>Alukset_Käynnit!B176</f>
        <v>0</v>
      </c>
      <c r="C169" s="262">
        <f>Alukset_Käynnit!C176</f>
        <v>0</v>
      </c>
      <c r="D169" s="266">
        <f>Alukset_Käynnit!D176</f>
        <v>0</v>
      </c>
      <c r="E169" s="262">
        <f>Alukset_Käynnit!E176</f>
        <v>0</v>
      </c>
      <c r="F169" s="262">
        <f>Alukset_Käynnit!F176</f>
        <v>0</v>
      </c>
      <c r="G169" s="262">
        <f>Alukset_Käynnit!G176</f>
        <v>0</v>
      </c>
      <c r="H169" s="262">
        <f>Alukset_Käynnit!H176</f>
        <v>0</v>
      </c>
      <c r="I169" s="262">
        <f>Alukset_Käynnit!I176</f>
        <v>0</v>
      </c>
      <c r="J169" s="262">
        <f>Alukset_Käynnit!J176</f>
        <v>0</v>
      </c>
      <c r="K169" s="262">
        <f>Alukset_Käynnit!K176</f>
        <v>0</v>
      </c>
      <c r="L169" s="205">
        <f>Alukset_Käynnit!L176</f>
        <v>0</v>
      </c>
      <c r="N169" s="273">
        <f t="shared" si="39"/>
        <v>0</v>
      </c>
      <c r="O169" s="274">
        <f t="shared" si="40"/>
        <v>0</v>
      </c>
      <c r="Q169" s="204">
        <f t="shared" si="29"/>
        <v>0</v>
      </c>
      <c r="R169" s="202">
        <f>IF(Q169="Other dry cargo",L169*Alukset_fx!$B$71,IF(OR(Q169="Dry bulk",Q169="Bulk carrier"),L169*Alukset_fx!$B$69,IF(Q169="Tugboat",L169*Alukset_fx!$B$76,IF(OR(Q169="Tanker",Q169="Gas tanker",Q169="Chemical tanker",Q169="Oil tanker"),L169*Alukset_fx!$B$68,IF(OR(Q169="RoRo",Q169="Vehicle carrier"),L169*Alukset_fx!$B$72,IF(Q169="RoPax",L169*Alukset_fx!$B$73,IF(Q169="Container ship",L169*Alukset_fx!$B$70,IF(Q169="Barge",0,L169*Alukset_fx!$B$75))))))))</f>
        <v>0</v>
      </c>
      <c r="S169" s="210">
        <f>IF(L169=0,IF(Q169="Other dry cargo",Alukset_fx!$H$73*(Alukset_Käynnit_Lask!K169^Alukset_fx!$I$73),IF(OR(Q169="Dry Bulk",Q169="Bulk carrier"),Alukset_fx!$H$71*(Alukset_Käynnit_Lask!K169^Alukset_fx!$I$71),IF(Q169="Tugboat",Alukset_fx!$H$78*(Alukset_Käynnit_Lask!K169^Alukset_fx!$I$78),IF(OR(Q169="Tanker",Q169="Gas tanker",Q169="Chemical tanker",Q169="Oil tanker"),Alukset_fx!$H$70*(Alukset_Käynnit_Lask!K169^Alukset_fx!$I$70),IF(Q169="Container ship",Alukset_fx!$H$72*(Alukset_Käynnit_Lask!K169^Alukset_fx!$I$72),IF(Q169="Barge",0,IF(Q169="RoPax",Alukset_fx!$H$75*(Alukset_Käynnit_Lask!K169^Alukset_fx!$I$75),IF(OR(Q169="RoRo",Q169="Vehicle carrier"),Alukset_fx!$H$74*(Alukset_Käynnit_Lask!K169^Alukset_fx!$I$74),Alukset_fx!$H$77*(Alukset_Käynnit_Lask!K169^Alukset_fx!$I$77))))))))),"-")</f>
        <v>0</v>
      </c>
      <c r="T169" s="208">
        <f>IF(R169=0,IF(Q169="Other dry cargo",S169*Alukset_fx!$B$71,IF(OR(Q169="Dry bulk",Q169="Bulk carrier"),S169*Alukset_fx!$B$69,IF(Q169="Tugboat",S169*Alukset_fx!$B$76,IF(OR(Q169="Tanker",Q169="Gas tanker",Q169="Chemical tanker",Q169="Oil tanker"),S169*Alukset_fx!$B$68,IF(OR(Q169="RoRo",Q169="Vehicle carrier"),S169*Alukset_fx!$B$72,IF(Q169="RoPax",S169*Alukset_fx!$B$73,IF(Q169="Container ship",S169*Alukset_fx!$B$70,S169*Alukset_fx!$B$75))))))),"-")</f>
        <v>0</v>
      </c>
      <c r="U169" s="208">
        <f t="shared" si="30"/>
        <v>0</v>
      </c>
      <c r="V169" s="208">
        <f t="shared" si="31"/>
        <v>0</v>
      </c>
      <c r="W169" s="202">
        <f>Alukset_Käynnit!N176</f>
        <v>0</v>
      </c>
      <c r="X169" s="211">
        <f>IF(Q169="Other dry cargo", Alukset_fx!$C$52, IF(OR(Q169="Dry bulk",Q169="Bulk carrier"),Alukset_fx!$C$35,IF(OR(Q169="Tanker",Q169="Gas tanker",Q169="Oil tanker"),Alukset_fx!$C$57,IF(Q169="Chemical tanker",Alukset_fx!$C$56,IF(OR(Q169="Tugboat",Q169="Barge"),0,IF(Q169="Other vessel",Alukset_fx!$C$54,IF(Q169="Container ship",Alukset_fx!$C$37,IF(OR(Q169="RoPax",Q169="RoRo",Q169="Vehicle carrier"),Alukset_fx!$C$55,0))))))))</f>
        <v>0</v>
      </c>
      <c r="Y169" s="211">
        <f>IF(Q169="Other dry cargo", Alukset_fx!$Q$52, IF(OR(Q169="Dry bulk",Q169="Bulk carrier"),Alukset_fx!$Q$35,IF(OR(Q169="Tanker",Q169="Gas tanker",Q169="Oil tanker"),Alukset_fx!$Q$57,IF(Q169="Chemical tanker",Alukset_fx!$Q$56,IF(OR(Q169="Tugboat",Q169="Barge"),0,IF(Q169="Other vessel",Alukset_fx!$Q$54,IF(Q169="Container ship",Alukset_fx!$Q$37,IF(OR(Q169="RoPax",Q169="RoRo",Q169="Vehicle carrier"),Alukset_fx!$Q$55,0))))))))</f>
        <v>0</v>
      </c>
      <c r="Z169" t="str">
        <f t="shared" si="32"/>
        <v>MDO/MGO</v>
      </c>
      <c r="AA169" t="str">
        <f t="shared" si="33"/>
        <v>MSD</v>
      </c>
      <c r="AB169" t="str">
        <f t="shared" si="34"/>
        <v>MDO/MGO</v>
      </c>
      <c r="AC169" t="str">
        <f t="shared" si="35"/>
        <v>MSD</v>
      </c>
      <c r="AD169" t="str">
        <f t="shared" si="36"/>
        <v>MDO/MGO</v>
      </c>
      <c r="AE169" t="str">
        <f t="shared" si="37"/>
        <v>ST</v>
      </c>
      <c r="AG169">
        <f>Alukset_Käynnit!O176</f>
        <v>0</v>
      </c>
      <c r="AH169" s="207">
        <f>IF(AA169="SSD",((U169*Alukset_fx!$B$24)*Alukset_Käynnit_Lask!W169*(Alukset_fx!$K$49)/1000),IF(AA169="MSD",((U169*Alukset_fx!$B$24)*Alukset_Käynnit_Lask!W169*(Alukset_fx!$K$52)/1000),IF(AA169="HSD",((U169*Alukset_fx!$B$24)*Alukset_Käynnit_Lask!W169*(Alukset_fx!$K$55)/1000),0)))</f>
        <v>0</v>
      </c>
      <c r="AI169" s="207">
        <f>IF(AC169="MSD",((V169*Alukset_fx!$B$25)*Alukset_Käynnit_Lask!W169*(Alukset_fx!$L$52)/1000),IF(AC169="HSD",((V169*Alukset_fx!$B$25)*Alukset_Käynnit_Lask!W169*(Alukset_fx!$L$55)/1000),0))</f>
        <v>0</v>
      </c>
      <c r="AJ169" s="207">
        <f>X169*W169*Alukset_fx!$K$61/1000</f>
        <v>0</v>
      </c>
      <c r="AK169">
        <v>0</v>
      </c>
      <c r="AL169" s="207">
        <f>IF(AG169="Käytetty",0,IF(AC169="MSD",((V169*Alukset_fx!$O$25)*Alukset_Käynnit_Lask!O169*(Alukset_fx!$L$52)/1000),IF(AC169="HSD",((V169*Alukset_fx!$O$25)*Alukset_Käynnit_Lask!O169*(Alukset_fx!$L$55)/1000),0)))</f>
        <v>0</v>
      </c>
      <c r="AM169" s="207">
        <f>IF(AG169="Käytetty",0,Y169*O169*Alukset_fx!$K$61/1000)</f>
        <v>0</v>
      </c>
      <c r="AN169" s="213">
        <f t="shared" si="38"/>
        <v>0</v>
      </c>
    </row>
    <row r="170" spans="1:40" x14ac:dyDescent="0.25">
      <c r="A170" s="203">
        <f>Alukset_Käynnit!A177</f>
        <v>0</v>
      </c>
      <c r="B170" s="203">
        <f>Alukset_Käynnit!B177</f>
        <v>0</v>
      </c>
      <c r="C170" s="262">
        <f>Alukset_Käynnit!C177</f>
        <v>0</v>
      </c>
      <c r="D170" s="266">
        <f>Alukset_Käynnit!D177</f>
        <v>0</v>
      </c>
      <c r="E170" s="262">
        <f>Alukset_Käynnit!E177</f>
        <v>0</v>
      </c>
      <c r="F170" s="262">
        <f>Alukset_Käynnit!F177</f>
        <v>0</v>
      </c>
      <c r="G170" s="262">
        <f>Alukset_Käynnit!G177</f>
        <v>0</v>
      </c>
      <c r="H170" s="262">
        <f>Alukset_Käynnit!H177</f>
        <v>0</v>
      </c>
      <c r="I170" s="262">
        <f>Alukset_Käynnit!I177</f>
        <v>0</v>
      </c>
      <c r="J170" s="262">
        <f>Alukset_Käynnit!J177</f>
        <v>0</v>
      </c>
      <c r="K170" s="262">
        <f>Alukset_Käynnit!K177</f>
        <v>0</v>
      </c>
      <c r="L170" s="205">
        <f>Alukset_Käynnit!L177</f>
        <v>0</v>
      </c>
      <c r="N170" s="273">
        <f t="shared" si="39"/>
        <v>0</v>
      </c>
      <c r="O170" s="274">
        <f t="shared" si="40"/>
        <v>0</v>
      </c>
      <c r="Q170" s="204">
        <f t="shared" si="29"/>
        <v>0</v>
      </c>
      <c r="R170" s="202">
        <f>IF(Q170="Other dry cargo",L170*Alukset_fx!$B$71,IF(OR(Q170="Dry bulk",Q170="Bulk carrier"),L170*Alukset_fx!$B$69,IF(Q170="Tugboat",L170*Alukset_fx!$B$76,IF(OR(Q170="Tanker",Q170="Gas tanker",Q170="Chemical tanker",Q170="Oil tanker"),L170*Alukset_fx!$B$68,IF(OR(Q170="RoRo",Q170="Vehicle carrier"),L170*Alukset_fx!$B$72,IF(Q170="RoPax",L170*Alukset_fx!$B$73,IF(Q170="Container ship",L170*Alukset_fx!$B$70,IF(Q170="Barge",0,L170*Alukset_fx!$B$75))))))))</f>
        <v>0</v>
      </c>
      <c r="S170" s="210">
        <f>IF(L170=0,IF(Q170="Other dry cargo",Alukset_fx!$H$73*(Alukset_Käynnit_Lask!K170^Alukset_fx!$I$73),IF(OR(Q170="Dry Bulk",Q170="Bulk carrier"),Alukset_fx!$H$71*(Alukset_Käynnit_Lask!K170^Alukset_fx!$I$71),IF(Q170="Tugboat",Alukset_fx!$H$78*(Alukset_Käynnit_Lask!K170^Alukset_fx!$I$78),IF(OR(Q170="Tanker",Q170="Gas tanker",Q170="Chemical tanker",Q170="Oil tanker"),Alukset_fx!$H$70*(Alukset_Käynnit_Lask!K170^Alukset_fx!$I$70),IF(Q170="Container ship",Alukset_fx!$H$72*(Alukset_Käynnit_Lask!K170^Alukset_fx!$I$72),IF(Q170="Barge",0,IF(Q170="RoPax",Alukset_fx!$H$75*(Alukset_Käynnit_Lask!K170^Alukset_fx!$I$75),IF(OR(Q170="RoRo",Q170="Vehicle carrier"),Alukset_fx!$H$74*(Alukset_Käynnit_Lask!K170^Alukset_fx!$I$74),Alukset_fx!$H$77*(Alukset_Käynnit_Lask!K170^Alukset_fx!$I$77))))))))),"-")</f>
        <v>0</v>
      </c>
      <c r="T170" s="208">
        <f>IF(R170=0,IF(Q170="Other dry cargo",S170*Alukset_fx!$B$71,IF(OR(Q170="Dry bulk",Q170="Bulk carrier"),S170*Alukset_fx!$B$69,IF(Q170="Tugboat",S170*Alukset_fx!$B$76,IF(OR(Q170="Tanker",Q170="Gas tanker",Q170="Chemical tanker",Q170="Oil tanker"),S170*Alukset_fx!$B$68,IF(OR(Q170="RoRo",Q170="Vehicle carrier"),S170*Alukset_fx!$B$72,IF(Q170="RoPax",S170*Alukset_fx!$B$73,IF(Q170="Container ship",S170*Alukset_fx!$B$70,S170*Alukset_fx!$B$75))))))),"-")</f>
        <v>0</v>
      </c>
      <c r="U170" s="208">
        <f t="shared" si="30"/>
        <v>0</v>
      </c>
      <c r="V170" s="208">
        <f t="shared" si="31"/>
        <v>0</v>
      </c>
      <c r="W170" s="202">
        <f>Alukset_Käynnit!N177</f>
        <v>0</v>
      </c>
      <c r="X170" s="211">
        <f>IF(Q170="Other dry cargo", Alukset_fx!$C$52, IF(OR(Q170="Dry bulk",Q170="Bulk carrier"),Alukset_fx!$C$35,IF(OR(Q170="Tanker",Q170="Gas tanker",Q170="Oil tanker"),Alukset_fx!$C$57,IF(Q170="Chemical tanker",Alukset_fx!$C$56,IF(OR(Q170="Tugboat",Q170="Barge"),0,IF(Q170="Other vessel",Alukset_fx!$C$54,IF(Q170="Container ship",Alukset_fx!$C$37,IF(OR(Q170="RoPax",Q170="RoRo",Q170="Vehicle carrier"),Alukset_fx!$C$55,0))))))))</f>
        <v>0</v>
      </c>
      <c r="Y170" s="211">
        <f>IF(Q170="Other dry cargo", Alukset_fx!$Q$52, IF(OR(Q170="Dry bulk",Q170="Bulk carrier"),Alukset_fx!$Q$35,IF(OR(Q170="Tanker",Q170="Gas tanker",Q170="Oil tanker"),Alukset_fx!$Q$57,IF(Q170="Chemical tanker",Alukset_fx!$Q$56,IF(OR(Q170="Tugboat",Q170="Barge"),0,IF(Q170="Other vessel",Alukset_fx!$Q$54,IF(Q170="Container ship",Alukset_fx!$Q$37,IF(OR(Q170="RoPax",Q170="RoRo",Q170="Vehicle carrier"),Alukset_fx!$Q$55,0))))))))</f>
        <v>0</v>
      </c>
      <c r="Z170" t="str">
        <f t="shared" si="32"/>
        <v>MDO/MGO</v>
      </c>
      <c r="AA170" t="str">
        <f t="shared" si="33"/>
        <v>MSD</v>
      </c>
      <c r="AB170" t="str">
        <f t="shared" si="34"/>
        <v>MDO/MGO</v>
      </c>
      <c r="AC170" t="str">
        <f t="shared" si="35"/>
        <v>MSD</v>
      </c>
      <c r="AD170" t="str">
        <f t="shared" si="36"/>
        <v>MDO/MGO</v>
      </c>
      <c r="AE170" t="str">
        <f t="shared" si="37"/>
        <v>ST</v>
      </c>
      <c r="AG170">
        <f>Alukset_Käynnit!O177</f>
        <v>0</v>
      </c>
      <c r="AH170" s="207">
        <f>IF(AA170="SSD",((U170*Alukset_fx!$B$24)*Alukset_Käynnit_Lask!W170*(Alukset_fx!$K$49)/1000),IF(AA170="MSD",((U170*Alukset_fx!$B$24)*Alukset_Käynnit_Lask!W170*(Alukset_fx!$K$52)/1000),IF(AA170="HSD",((U170*Alukset_fx!$B$24)*Alukset_Käynnit_Lask!W170*(Alukset_fx!$K$55)/1000),0)))</f>
        <v>0</v>
      </c>
      <c r="AI170" s="207">
        <f>IF(AC170="MSD",((V170*Alukset_fx!$B$25)*Alukset_Käynnit_Lask!W170*(Alukset_fx!$L$52)/1000),IF(AC170="HSD",((V170*Alukset_fx!$B$25)*Alukset_Käynnit_Lask!W170*(Alukset_fx!$L$55)/1000),0))</f>
        <v>0</v>
      </c>
      <c r="AJ170" s="207">
        <f>X170*W170*Alukset_fx!$K$61/1000</f>
        <v>0</v>
      </c>
      <c r="AK170">
        <v>0</v>
      </c>
      <c r="AL170" s="207">
        <f>IF(AG170="Käytetty",0,IF(AC170="MSD",((V170*Alukset_fx!$O$25)*Alukset_Käynnit_Lask!O170*(Alukset_fx!$L$52)/1000),IF(AC170="HSD",((V170*Alukset_fx!$O$25)*Alukset_Käynnit_Lask!O170*(Alukset_fx!$L$55)/1000),0)))</f>
        <v>0</v>
      </c>
      <c r="AM170" s="207">
        <f>IF(AG170="Käytetty",0,Y170*O170*Alukset_fx!$K$61/1000)</f>
        <v>0</v>
      </c>
      <c r="AN170" s="213">
        <f t="shared" si="38"/>
        <v>0</v>
      </c>
    </row>
    <row r="171" spans="1:40" x14ac:dyDescent="0.25">
      <c r="A171" s="203">
        <f>Alukset_Käynnit!A178</f>
        <v>0</v>
      </c>
      <c r="B171" s="203">
        <f>Alukset_Käynnit!B178</f>
        <v>0</v>
      </c>
      <c r="C171" s="262">
        <f>Alukset_Käynnit!C178</f>
        <v>0</v>
      </c>
      <c r="D171" s="266">
        <f>Alukset_Käynnit!D178</f>
        <v>0</v>
      </c>
      <c r="E171" s="262">
        <f>Alukset_Käynnit!E178</f>
        <v>0</v>
      </c>
      <c r="F171" s="262">
        <f>Alukset_Käynnit!F178</f>
        <v>0</v>
      </c>
      <c r="G171" s="262">
        <f>Alukset_Käynnit!G178</f>
        <v>0</v>
      </c>
      <c r="H171" s="262">
        <f>Alukset_Käynnit!H178</f>
        <v>0</v>
      </c>
      <c r="I171" s="262">
        <f>Alukset_Käynnit!I178</f>
        <v>0</v>
      </c>
      <c r="J171" s="262">
        <f>Alukset_Käynnit!J178</f>
        <v>0</v>
      </c>
      <c r="K171" s="262">
        <f>Alukset_Käynnit!K178</f>
        <v>0</v>
      </c>
      <c r="L171" s="205">
        <f>Alukset_Käynnit!L178</f>
        <v>0</v>
      </c>
      <c r="N171" s="273">
        <f t="shared" si="39"/>
        <v>0</v>
      </c>
      <c r="O171" s="274">
        <f t="shared" si="40"/>
        <v>0</v>
      </c>
      <c r="Q171" s="204">
        <f t="shared" si="29"/>
        <v>0</v>
      </c>
      <c r="R171" s="202">
        <f>IF(Q171="Other dry cargo",L171*Alukset_fx!$B$71,IF(OR(Q171="Dry bulk",Q171="Bulk carrier"),L171*Alukset_fx!$B$69,IF(Q171="Tugboat",L171*Alukset_fx!$B$76,IF(OR(Q171="Tanker",Q171="Gas tanker",Q171="Chemical tanker",Q171="Oil tanker"),L171*Alukset_fx!$B$68,IF(OR(Q171="RoRo",Q171="Vehicle carrier"),L171*Alukset_fx!$B$72,IF(Q171="RoPax",L171*Alukset_fx!$B$73,IF(Q171="Container ship",L171*Alukset_fx!$B$70,IF(Q171="Barge",0,L171*Alukset_fx!$B$75))))))))</f>
        <v>0</v>
      </c>
      <c r="S171" s="210">
        <f>IF(L171=0,IF(Q171="Other dry cargo",Alukset_fx!$H$73*(Alukset_Käynnit_Lask!K171^Alukset_fx!$I$73),IF(OR(Q171="Dry Bulk",Q171="Bulk carrier"),Alukset_fx!$H$71*(Alukset_Käynnit_Lask!K171^Alukset_fx!$I$71),IF(Q171="Tugboat",Alukset_fx!$H$78*(Alukset_Käynnit_Lask!K171^Alukset_fx!$I$78),IF(OR(Q171="Tanker",Q171="Gas tanker",Q171="Chemical tanker",Q171="Oil tanker"),Alukset_fx!$H$70*(Alukset_Käynnit_Lask!K171^Alukset_fx!$I$70),IF(Q171="Container ship",Alukset_fx!$H$72*(Alukset_Käynnit_Lask!K171^Alukset_fx!$I$72),IF(Q171="Barge",0,IF(Q171="RoPax",Alukset_fx!$H$75*(Alukset_Käynnit_Lask!K171^Alukset_fx!$I$75),IF(OR(Q171="RoRo",Q171="Vehicle carrier"),Alukset_fx!$H$74*(Alukset_Käynnit_Lask!K171^Alukset_fx!$I$74),Alukset_fx!$H$77*(Alukset_Käynnit_Lask!K171^Alukset_fx!$I$77))))))))),"-")</f>
        <v>0</v>
      </c>
      <c r="T171" s="208">
        <f>IF(R171=0,IF(Q171="Other dry cargo",S171*Alukset_fx!$B$71,IF(OR(Q171="Dry bulk",Q171="Bulk carrier"),S171*Alukset_fx!$B$69,IF(Q171="Tugboat",S171*Alukset_fx!$B$76,IF(OR(Q171="Tanker",Q171="Gas tanker",Q171="Chemical tanker",Q171="Oil tanker"),S171*Alukset_fx!$B$68,IF(OR(Q171="RoRo",Q171="Vehicle carrier"),S171*Alukset_fx!$B$72,IF(Q171="RoPax",S171*Alukset_fx!$B$73,IF(Q171="Container ship",S171*Alukset_fx!$B$70,S171*Alukset_fx!$B$75))))))),"-")</f>
        <v>0</v>
      </c>
      <c r="U171" s="208">
        <f t="shared" si="30"/>
        <v>0</v>
      </c>
      <c r="V171" s="208">
        <f t="shared" si="31"/>
        <v>0</v>
      </c>
      <c r="W171" s="202">
        <f>Alukset_Käynnit!N178</f>
        <v>0</v>
      </c>
      <c r="X171" s="211">
        <f>IF(Q171="Other dry cargo", Alukset_fx!$C$52, IF(OR(Q171="Dry bulk",Q171="Bulk carrier"),Alukset_fx!$C$35,IF(OR(Q171="Tanker",Q171="Gas tanker",Q171="Oil tanker"),Alukset_fx!$C$57,IF(Q171="Chemical tanker",Alukset_fx!$C$56,IF(OR(Q171="Tugboat",Q171="Barge"),0,IF(Q171="Other vessel",Alukset_fx!$C$54,IF(Q171="Container ship",Alukset_fx!$C$37,IF(OR(Q171="RoPax",Q171="RoRo",Q171="Vehicle carrier"),Alukset_fx!$C$55,0))))))))</f>
        <v>0</v>
      </c>
      <c r="Y171" s="211">
        <f>IF(Q171="Other dry cargo", Alukset_fx!$Q$52, IF(OR(Q171="Dry bulk",Q171="Bulk carrier"),Alukset_fx!$Q$35,IF(OR(Q171="Tanker",Q171="Gas tanker",Q171="Oil tanker"),Alukset_fx!$Q$57,IF(Q171="Chemical tanker",Alukset_fx!$Q$56,IF(OR(Q171="Tugboat",Q171="Barge"),0,IF(Q171="Other vessel",Alukset_fx!$Q$54,IF(Q171="Container ship",Alukset_fx!$Q$37,IF(OR(Q171="RoPax",Q171="RoRo",Q171="Vehicle carrier"),Alukset_fx!$Q$55,0))))))))</f>
        <v>0</v>
      </c>
      <c r="Z171" t="str">
        <f t="shared" si="32"/>
        <v>MDO/MGO</v>
      </c>
      <c r="AA171" t="str">
        <f t="shared" si="33"/>
        <v>MSD</v>
      </c>
      <c r="AB171" t="str">
        <f t="shared" si="34"/>
        <v>MDO/MGO</v>
      </c>
      <c r="AC171" t="str">
        <f t="shared" si="35"/>
        <v>MSD</v>
      </c>
      <c r="AD171" t="str">
        <f t="shared" si="36"/>
        <v>MDO/MGO</v>
      </c>
      <c r="AE171" t="str">
        <f t="shared" si="37"/>
        <v>ST</v>
      </c>
      <c r="AG171">
        <f>Alukset_Käynnit!O178</f>
        <v>0</v>
      </c>
      <c r="AH171" s="207">
        <f>IF(AA171="SSD",((U171*Alukset_fx!$B$24)*Alukset_Käynnit_Lask!W171*(Alukset_fx!$K$49)/1000),IF(AA171="MSD",((U171*Alukset_fx!$B$24)*Alukset_Käynnit_Lask!W171*(Alukset_fx!$K$52)/1000),IF(AA171="HSD",((U171*Alukset_fx!$B$24)*Alukset_Käynnit_Lask!W171*(Alukset_fx!$K$55)/1000),0)))</f>
        <v>0</v>
      </c>
      <c r="AI171" s="207">
        <f>IF(AC171="MSD",((V171*Alukset_fx!$B$25)*Alukset_Käynnit_Lask!W171*(Alukset_fx!$L$52)/1000),IF(AC171="HSD",((V171*Alukset_fx!$B$25)*Alukset_Käynnit_Lask!W171*(Alukset_fx!$L$55)/1000),0))</f>
        <v>0</v>
      </c>
      <c r="AJ171" s="207">
        <f>X171*W171*Alukset_fx!$K$61/1000</f>
        <v>0</v>
      </c>
      <c r="AK171">
        <v>0</v>
      </c>
      <c r="AL171" s="207">
        <f>IF(AG171="Käytetty",0,IF(AC171="MSD",((V171*Alukset_fx!$O$25)*Alukset_Käynnit_Lask!O171*(Alukset_fx!$L$52)/1000),IF(AC171="HSD",((V171*Alukset_fx!$O$25)*Alukset_Käynnit_Lask!O171*(Alukset_fx!$L$55)/1000),0)))</f>
        <v>0</v>
      </c>
      <c r="AM171" s="207">
        <f>IF(AG171="Käytetty",0,Y171*O171*Alukset_fx!$K$61/1000)</f>
        <v>0</v>
      </c>
      <c r="AN171" s="213">
        <f t="shared" si="38"/>
        <v>0</v>
      </c>
    </row>
    <row r="172" spans="1:40" x14ac:dyDescent="0.25">
      <c r="A172" s="203">
        <f>Alukset_Käynnit!A179</f>
        <v>0</v>
      </c>
      <c r="B172" s="203">
        <f>Alukset_Käynnit!B179</f>
        <v>0</v>
      </c>
      <c r="C172" s="262">
        <f>Alukset_Käynnit!C179</f>
        <v>0</v>
      </c>
      <c r="D172" s="266">
        <f>Alukset_Käynnit!D179</f>
        <v>0</v>
      </c>
      <c r="E172" s="262">
        <f>Alukset_Käynnit!E179</f>
        <v>0</v>
      </c>
      <c r="F172" s="262">
        <f>Alukset_Käynnit!F179</f>
        <v>0</v>
      </c>
      <c r="G172" s="262">
        <f>Alukset_Käynnit!G179</f>
        <v>0</v>
      </c>
      <c r="H172" s="262">
        <f>Alukset_Käynnit!H179</f>
        <v>0</v>
      </c>
      <c r="I172" s="262">
        <f>Alukset_Käynnit!I179</f>
        <v>0</v>
      </c>
      <c r="J172" s="262">
        <f>Alukset_Käynnit!J179</f>
        <v>0</v>
      </c>
      <c r="K172" s="262">
        <f>Alukset_Käynnit!K179</f>
        <v>0</v>
      </c>
      <c r="L172" s="205">
        <f>Alukset_Käynnit!L179</f>
        <v>0</v>
      </c>
      <c r="N172" s="273">
        <f t="shared" si="39"/>
        <v>0</v>
      </c>
      <c r="O172" s="274">
        <f t="shared" si="40"/>
        <v>0</v>
      </c>
      <c r="Q172" s="204">
        <f t="shared" si="29"/>
        <v>0</v>
      </c>
      <c r="R172" s="202">
        <f>IF(Q172="Other dry cargo",L172*Alukset_fx!$B$71,IF(OR(Q172="Dry bulk",Q172="Bulk carrier"),L172*Alukset_fx!$B$69,IF(Q172="Tugboat",L172*Alukset_fx!$B$76,IF(OR(Q172="Tanker",Q172="Gas tanker",Q172="Chemical tanker",Q172="Oil tanker"),L172*Alukset_fx!$B$68,IF(OR(Q172="RoRo",Q172="Vehicle carrier"),L172*Alukset_fx!$B$72,IF(Q172="RoPax",L172*Alukset_fx!$B$73,IF(Q172="Container ship",L172*Alukset_fx!$B$70,IF(Q172="Barge",0,L172*Alukset_fx!$B$75))))))))</f>
        <v>0</v>
      </c>
      <c r="S172" s="210">
        <f>IF(L172=0,IF(Q172="Other dry cargo",Alukset_fx!$H$73*(Alukset_Käynnit_Lask!K172^Alukset_fx!$I$73),IF(OR(Q172="Dry Bulk",Q172="Bulk carrier"),Alukset_fx!$H$71*(Alukset_Käynnit_Lask!K172^Alukset_fx!$I$71),IF(Q172="Tugboat",Alukset_fx!$H$78*(Alukset_Käynnit_Lask!K172^Alukset_fx!$I$78),IF(OR(Q172="Tanker",Q172="Gas tanker",Q172="Chemical tanker",Q172="Oil tanker"),Alukset_fx!$H$70*(Alukset_Käynnit_Lask!K172^Alukset_fx!$I$70),IF(Q172="Container ship",Alukset_fx!$H$72*(Alukset_Käynnit_Lask!K172^Alukset_fx!$I$72),IF(Q172="Barge",0,IF(Q172="RoPax",Alukset_fx!$H$75*(Alukset_Käynnit_Lask!K172^Alukset_fx!$I$75),IF(OR(Q172="RoRo",Q172="Vehicle carrier"),Alukset_fx!$H$74*(Alukset_Käynnit_Lask!K172^Alukset_fx!$I$74),Alukset_fx!$H$77*(Alukset_Käynnit_Lask!K172^Alukset_fx!$I$77))))))))),"-")</f>
        <v>0</v>
      </c>
      <c r="T172" s="208">
        <f>IF(R172=0,IF(Q172="Other dry cargo",S172*Alukset_fx!$B$71,IF(OR(Q172="Dry bulk",Q172="Bulk carrier"),S172*Alukset_fx!$B$69,IF(Q172="Tugboat",S172*Alukset_fx!$B$76,IF(OR(Q172="Tanker",Q172="Gas tanker",Q172="Chemical tanker",Q172="Oil tanker"),S172*Alukset_fx!$B$68,IF(OR(Q172="RoRo",Q172="Vehicle carrier"),S172*Alukset_fx!$B$72,IF(Q172="RoPax",S172*Alukset_fx!$B$73,IF(Q172="Container ship",S172*Alukset_fx!$B$70,S172*Alukset_fx!$B$75))))))),"-")</f>
        <v>0</v>
      </c>
      <c r="U172" s="208">
        <f t="shared" si="30"/>
        <v>0</v>
      </c>
      <c r="V172" s="208">
        <f t="shared" si="31"/>
        <v>0</v>
      </c>
      <c r="W172" s="202">
        <f>Alukset_Käynnit!N179</f>
        <v>0</v>
      </c>
      <c r="X172" s="211">
        <f>IF(Q172="Other dry cargo", Alukset_fx!$C$52, IF(OR(Q172="Dry bulk",Q172="Bulk carrier"),Alukset_fx!$C$35,IF(OR(Q172="Tanker",Q172="Gas tanker",Q172="Oil tanker"),Alukset_fx!$C$57,IF(Q172="Chemical tanker",Alukset_fx!$C$56,IF(OR(Q172="Tugboat",Q172="Barge"),0,IF(Q172="Other vessel",Alukset_fx!$C$54,IF(Q172="Container ship",Alukset_fx!$C$37,IF(OR(Q172="RoPax",Q172="RoRo",Q172="Vehicle carrier"),Alukset_fx!$C$55,0))))))))</f>
        <v>0</v>
      </c>
      <c r="Y172" s="211">
        <f>IF(Q172="Other dry cargo", Alukset_fx!$Q$52, IF(OR(Q172="Dry bulk",Q172="Bulk carrier"),Alukset_fx!$Q$35,IF(OR(Q172="Tanker",Q172="Gas tanker",Q172="Oil tanker"),Alukset_fx!$Q$57,IF(Q172="Chemical tanker",Alukset_fx!$Q$56,IF(OR(Q172="Tugboat",Q172="Barge"),0,IF(Q172="Other vessel",Alukset_fx!$Q$54,IF(Q172="Container ship",Alukset_fx!$Q$37,IF(OR(Q172="RoPax",Q172="RoRo",Q172="Vehicle carrier"),Alukset_fx!$Q$55,0))))))))</f>
        <v>0</v>
      </c>
      <c r="Z172" t="str">
        <f t="shared" si="32"/>
        <v>MDO/MGO</v>
      </c>
      <c r="AA172" t="str">
        <f t="shared" si="33"/>
        <v>MSD</v>
      </c>
      <c r="AB172" t="str">
        <f t="shared" si="34"/>
        <v>MDO/MGO</v>
      </c>
      <c r="AC172" t="str">
        <f t="shared" si="35"/>
        <v>MSD</v>
      </c>
      <c r="AD172" t="str">
        <f t="shared" si="36"/>
        <v>MDO/MGO</v>
      </c>
      <c r="AE172" t="str">
        <f t="shared" si="37"/>
        <v>ST</v>
      </c>
      <c r="AG172">
        <f>Alukset_Käynnit!O179</f>
        <v>0</v>
      </c>
      <c r="AH172" s="207">
        <f>IF(AA172="SSD",((U172*Alukset_fx!$B$24)*Alukset_Käynnit_Lask!W172*(Alukset_fx!$K$49)/1000),IF(AA172="MSD",((U172*Alukset_fx!$B$24)*Alukset_Käynnit_Lask!W172*(Alukset_fx!$K$52)/1000),IF(AA172="HSD",((U172*Alukset_fx!$B$24)*Alukset_Käynnit_Lask!W172*(Alukset_fx!$K$55)/1000),0)))</f>
        <v>0</v>
      </c>
      <c r="AI172" s="207">
        <f>IF(AC172="MSD",((V172*Alukset_fx!$B$25)*Alukset_Käynnit_Lask!W172*(Alukset_fx!$L$52)/1000),IF(AC172="HSD",((V172*Alukset_fx!$B$25)*Alukset_Käynnit_Lask!W172*(Alukset_fx!$L$55)/1000),0))</f>
        <v>0</v>
      </c>
      <c r="AJ172" s="207">
        <f>X172*W172*Alukset_fx!$K$61/1000</f>
        <v>0</v>
      </c>
      <c r="AK172">
        <v>0</v>
      </c>
      <c r="AL172" s="207">
        <f>IF(AG172="Käytetty",0,IF(AC172="MSD",((V172*Alukset_fx!$O$25)*Alukset_Käynnit_Lask!O172*(Alukset_fx!$L$52)/1000),IF(AC172="HSD",((V172*Alukset_fx!$O$25)*Alukset_Käynnit_Lask!O172*(Alukset_fx!$L$55)/1000),0)))</f>
        <v>0</v>
      </c>
      <c r="AM172" s="207">
        <f>IF(AG172="Käytetty",0,Y172*O172*Alukset_fx!$K$61/1000)</f>
        <v>0</v>
      </c>
      <c r="AN172" s="213">
        <f t="shared" si="38"/>
        <v>0</v>
      </c>
    </row>
    <row r="173" spans="1:40" x14ac:dyDescent="0.25">
      <c r="A173" s="203">
        <f>Alukset_Käynnit!A180</f>
        <v>0</v>
      </c>
      <c r="B173" s="203">
        <f>Alukset_Käynnit!B180</f>
        <v>0</v>
      </c>
      <c r="C173" s="262">
        <f>Alukset_Käynnit!C180</f>
        <v>0</v>
      </c>
      <c r="D173" s="266">
        <f>Alukset_Käynnit!D180</f>
        <v>0</v>
      </c>
      <c r="E173" s="262">
        <f>Alukset_Käynnit!E180</f>
        <v>0</v>
      </c>
      <c r="F173" s="262">
        <f>Alukset_Käynnit!F180</f>
        <v>0</v>
      </c>
      <c r="G173" s="262">
        <f>Alukset_Käynnit!G180</f>
        <v>0</v>
      </c>
      <c r="H173" s="262">
        <f>Alukset_Käynnit!H180</f>
        <v>0</v>
      </c>
      <c r="I173" s="262">
        <f>Alukset_Käynnit!I180</f>
        <v>0</v>
      </c>
      <c r="J173" s="262">
        <f>Alukset_Käynnit!J180</f>
        <v>0</v>
      </c>
      <c r="K173" s="262">
        <f>Alukset_Käynnit!K180</f>
        <v>0</v>
      </c>
      <c r="L173" s="205">
        <f>Alukset_Käynnit!L180</f>
        <v>0</v>
      </c>
      <c r="N173" s="273">
        <f t="shared" si="39"/>
        <v>0</v>
      </c>
      <c r="O173" s="274">
        <f t="shared" si="40"/>
        <v>0</v>
      </c>
      <c r="Q173" s="204">
        <f t="shared" si="29"/>
        <v>0</v>
      </c>
      <c r="R173" s="202">
        <f>IF(Q173="Other dry cargo",L173*Alukset_fx!$B$71,IF(OR(Q173="Dry bulk",Q173="Bulk carrier"),L173*Alukset_fx!$B$69,IF(Q173="Tugboat",L173*Alukset_fx!$B$76,IF(OR(Q173="Tanker",Q173="Gas tanker",Q173="Chemical tanker",Q173="Oil tanker"),L173*Alukset_fx!$B$68,IF(OR(Q173="RoRo",Q173="Vehicle carrier"),L173*Alukset_fx!$B$72,IF(Q173="RoPax",L173*Alukset_fx!$B$73,IF(Q173="Container ship",L173*Alukset_fx!$B$70,IF(Q173="Barge",0,L173*Alukset_fx!$B$75))))))))</f>
        <v>0</v>
      </c>
      <c r="S173" s="210">
        <f>IF(L173=0,IF(Q173="Other dry cargo",Alukset_fx!$H$73*(Alukset_Käynnit_Lask!K173^Alukset_fx!$I$73),IF(OR(Q173="Dry Bulk",Q173="Bulk carrier"),Alukset_fx!$H$71*(Alukset_Käynnit_Lask!K173^Alukset_fx!$I$71),IF(Q173="Tugboat",Alukset_fx!$H$78*(Alukset_Käynnit_Lask!K173^Alukset_fx!$I$78),IF(OR(Q173="Tanker",Q173="Gas tanker",Q173="Chemical tanker",Q173="Oil tanker"),Alukset_fx!$H$70*(Alukset_Käynnit_Lask!K173^Alukset_fx!$I$70),IF(Q173="Container ship",Alukset_fx!$H$72*(Alukset_Käynnit_Lask!K173^Alukset_fx!$I$72),IF(Q173="Barge",0,IF(Q173="RoPax",Alukset_fx!$H$75*(Alukset_Käynnit_Lask!K173^Alukset_fx!$I$75),IF(OR(Q173="RoRo",Q173="Vehicle carrier"),Alukset_fx!$H$74*(Alukset_Käynnit_Lask!K173^Alukset_fx!$I$74),Alukset_fx!$H$77*(Alukset_Käynnit_Lask!K173^Alukset_fx!$I$77))))))))),"-")</f>
        <v>0</v>
      </c>
      <c r="T173" s="208">
        <f>IF(R173=0,IF(Q173="Other dry cargo",S173*Alukset_fx!$B$71,IF(OR(Q173="Dry bulk",Q173="Bulk carrier"),S173*Alukset_fx!$B$69,IF(Q173="Tugboat",S173*Alukset_fx!$B$76,IF(OR(Q173="Tanker",Q173="Gas tanker",Q173="Chemical tanker",Q173="Oil tanker"),S173*Alukset_fx!$B$68,IF(OR(Q173="RoRo",Q173="Vehicle carrier"),S173*Alukset_fx!$B$72,IF(Q173="RoPax",S173*Alukset_fx!$B$73,IF(Q173="Container ship",S173*Alukset_fx!$B$70,S173*Alukset_fx!$B$75))))))),"-")</f>
        <v>0</v>
      </c>
      <c r="U173" s="208">
        <f t="shared" si="30"/>
        <v>0</v>
      </c>
      <c r="V173" s="208">
        <f t="shared" si="31"/>
        <v>0</v>
      </c>
      <c r="W173" s="202">
        <f>Alukset_Käynnit!N180</f>
        <v>0</v>
      </c>
      <c r="X173" s="211">
        <f>IF(Q173="Other dry cargo", Alukset_fx!$C$52, IF(OR(Q173="Dry bulk",Q173="Bulk carrier"),Alukset_fx!$C$35,IF(OR(Q173="Tanker",Q173="Gas tanker",Q173="Oil tanker"),Alukset_fx!$C$57,IF(Q173="Chemical tanker",Alukset_fx!$C$56,IF(OR(Q173="Tugboat",Q173="Barge"),0,IF(Q173="Other vessel",Alukset_fx!$C$54,IF(Q173="Container ship",Alukset_fx!$C$37,IF(OR(Q173="RoPax",Q173="RoRo",Q173="Vehicle carrier"),Alukset_fx!$C$55,0))))))))</f>
        <v>0</v>
      </c>
      <c r="Y173" s="211">
        <f>IF(Q173="Other dry cargo", Alukset_fx!$Q$52, IF(OR(Q173="Dry bulk",Q173="Bulk carrier"),Alukset_fx!$Q$35,IF(OR(Q173="Tanker",Q173="Gas tanker",Q173="Oil tanker"),Alukset_fx!$Q$57,IF(Q173="Chemical tanker",Alukset_fx!$Q$56,IF(OR(Q173="Tugboat",Q173="Barge"),0,IF(Q173="Other vessel",Alukset_fx!$Q$54,IF(Q173="Container ship",Alukset_fx!$Q$37,IF(OR(Q173="RoPax",Q173="RoRo",Q173="Vehicle carrier"),Alukset_fx!$Q$55,0))))))))</f>
        <v>0</v>
      </c>
      <c r="Z173" t="str">
        <f t="shared" si="32"/>
        <v>MDO/MGO</v>
      </c>
      <c r="AA173" t="str">
        <f t="shared" si="33"/>
        <v>MSD</v>
      </c>
      <c r="AB173" t="str">
        <f t="shared" si="34"/>
        <v>MDO/MGO</v>
      </c>
      <c r="AC173" t="str">
        <f t="shared" si="35"/>
        <v>MSD</v>
      </c>
      <c r="AD173" t="str">
        <f t="shared" si="36"/>
        <v>MDO/MGO</v>
      </c>
      <c r="AE173" t="str">
        <f t="shared" si="37"/>
        <v>ST</v>
      </c>
      <c r="AG173">
        <f>Alukset_Käynnit!O180</f>
        <v>0</v>
      </c>
      <c r="AH173" s="207">
        <f>IF(AA173="SSD",((U173*Alukset_fx!$B$24)*Alukset_Käynnit_Lask!W173*(Alukset_fx!$K$49)/1000),IF(AA173="MSD",((U173*Alukset_fx!$B$24)*Alukset_Käynnit_Lask!W173*(Alukset_fx!$K$52)/1000),IF(AA173="HSD",((U173*Alukset_fx!$B$24)*Alukset_Käynnit_Lask!W173*(Alukset_fx!$K$55)/1000),0)))</f>
        <v>0</v>
      </c>
      <c r="AI173" s="207">
        <f>IF(AC173="MSD",((V173*Alukset_fx!$B$25)*Alukset_Käynnit_Lask!W173*(Alukset_fx!$L$52)/1000),IF(AC173="HSD",((V173*Alukset_fx!$B$25)*Alukset_Käynnit_Lask!W173*(Alukset_fx!$L$55)/1000),0))</f>
        <v>0</v>
      </c>
      <c r="AJ173" s="207">
        <f>X173*W173*Alukset_fx!$K$61/1000</f>
        <v>0</v>
      </c>
      <c r="AK173">
        <v>0</v>
      </c>
      <c r="AL173" s="207">
        <f>IF(AG173="Käytetty",0,IF(AC173="MSD",((V173*Alukset_fx!$O$25)*Alukset_Käynnit_Lask!O173*(Alukset_fx!$L$52)/1000),IF(AC173="HSD",((V173*Alukset_fx!$O$25)*Alukset_Käynnit_Lask!O173*(Alukset_fx!$L$55)/1000),0)))</f>
        <v>0</v>
      </c>
      <c r="AM173" s="207">
        <f>IF(AG173="Käytetty",0,Y173*O173*Alukset_fx!$K$61/1000)</f>
        <v>0</v>
      </c>
      <c r="AN173" s="213">
        <f t="shared" si="38"/>
        <v>0</v>
      </c>
    </row>
    <row r="174" spans="1:40" x14ac:dyDescent="0.25">
      <c r="A174" s="203">
        <f>Alukset_Käynnit!A181</f>
        <v>0</v>
      </c>
      <c r="B174" s="203">
        <f>Alukset_Käynnit!B181</f>
        <v>0</v>
      </c>
      <c r="C174" s="262">
        <f>Alukset_Käynnit!C181</f>
        <v>0</v>
      </c>
      <c r="D174" s="266">
        <f>Alukset_Käynnit!D181</f>
        <v>0</v>
      </c>
      <c r="E174" s="262">
        <f>Alukset_Käynnit!E181</f>
        <v>0</v>
      </c>
      <c r="F174" s="262">
        <f>Alukset_Käynnit!F181</f>
        <v>0</v>
      </c>
      <c r="G174" s="262">
        <f>Alukset_Käynnit!G181</f>
        <v>0</v>
      </c>
      <c r="H174" s="262">
        <f>Alukset_Käynnit!H181</f>
        <v>0</v>
      </c>
      <c r="I174" s="262">
        <f>Alukset_Käynnit!I181</f>
        <v>0</v>
      </c>
      <c r="J174" s="262">
        <f>Alukset_Käynnit!J181</f>
        <v>0</v>
      </c>
      <c r="K174" s="262">
        <f>Alukset_Käynnit!K181</f>
        <v>0</v>
      </c>
      <c r="L174" s="205">
        <f>Alukset_Käynnit!L181</f>
        <v>0</v>
      </c>
      <c r="N174" s="273">
        <f t="shared" si="39"/>
        <v>0</v>
      </c>
      <c r="O174" s="274">
        <f t="shared" si="40"/>
        <v>0</v>
      </c>
      <c r="Q174" s="204">
        <f t="shared" si="29"/>
        <v>0</v>
      </c>
      <c r="R174" s="202">
        <f>IF(Q174="Other dry cargo",L174*Alukset_fx!$B$71,IF(OR(Q174="Dry bulk",Q174="Bulk carrier"),L174*Alukset_fx!$B$69,IF(Q174="Tugboat",L174*Alukset_fx!$B$76,IF(OR(Q174="Tanker",Q174="Gas tanker",Q174="Chemical tanker",Q174="Oil tanker"),L174*Alukset_fx!$B$68,IF(OR(Q174="RoRo",Q174="Vehicle carrier"),L174*Alukset_fx!$B$72,IF(Q174="RoPax",L174*Alukset_fx!$B$73,IF(Q174="Container ship",L174*Alukset_fx!$B$70,IF(Q174="Barge",0,L174*Alukset_fx!$B$75))))))))</f>
        <v>0</v>
      </c>
      <c r="S174" s="210">
        <f>IF(L174=0,IF(Q174="Other dry cargo",Alukset_fx!$H$73*(Alukset_Käynnit_Lask!K174^Alukset_fx!$I$73),IF(OR(Q174="Dry Bulk",Q174="Bulk carrier"),Alukset_fx!$H$71*(Alukset_Käynnit_Lask!K174^Alukset_fx!$I$71),IF(Q174="Tugboat",Alukset_fx!$H$78*(Alukset_Käynnit_Lask!K174^Alukset_fx!$I$78),IF(OR(Q174="Tanker",Q174="Gas tanker",Q174="Chemical tanker",Q174="Oil tanker"),Alukset_fx!$H$70*(Alukset_Käynnit_Lask!K174^Alukset_fx!$I$70),IF(Q174="Container ship",Alukset_fx!$H$72*(Alukset_Käynnit_Lask!K174^Alukset_fx!$I$72),IF(Q174="Barge",0,IF(Q174="RoPax",Alukset_fx!$H$75*(Alukset_Käynnit_Lask!K174^Alukset_fx!$I$75),IF(OR(Q174="RoRo",Q174="Vehicle carrier"),Alukset_fx!$H$74*(Alukset_Käynnit_Lask!K174^Alukset_fx!$I$74),Alukset_fx!$H$77*(Alukset_Käynnit_Lask!K174^Alukset_fx!$I$77))))))))),"-")</f>
        <v>0</v>
      </c>
      <c r="T174" s="208">
        <f>IF(R174=0,IF(Q174="Other dry cargo",S174*Alukset_fx!$B$71,IF(OR(Q174="Dry bulk",Q174="Bulk carrier"),S174*Alukset_fx!$B$69,IF(Q174="Tugboat",S174*Alukset_fx!$B$76,IF(OR(Q174="Tanker",Q174="Gas tanker",Q174="Chemical tanker",Q174="Oil tanker"),S174*Alukset_fx!$B$68,IF(OR(Q174="RoRo",Q174="Vehicle carrier"),S174*Alukset_fx!$B$72,IF(Q174="RoPax",S174*Alukset_fx!$B$73,IF(Q174="Container ship",S174*Alukset_fx!$B$70,S174*Alukset_fx!$B$75))))))),"-")</f>
        <v>0</v>
      </c>
      <c r="U174" s="208">
        <f t="shared" si="30"/>
        <v>0</v>
      </c>
      <c r="V174" s="208">
        <f t="shared" si="31"/>
        <v>0</v>
      </c>
      <c r="W174" s="202">
        <f>Alukset_Käynnit!N181</f>
        <v>0</v>
      </c>
      <c r="X174" s="211">
        <f>IF(Q174="Other dry cargo", Alukset_fx!$C$52, IF(OR(Q174="Dry bulk",Q174="Bulk carrier"),Alukset_fx!$C$35,IF(OR(Q174="Tanker",Q174="Gas tanker",Q174="Oil tanker"),Alukset_fx!$C$57,IF(Q174="Chemical tanker",Alukset_fx!$C$56,IF(OR(Q174="Tugboat",Q174="Barge"),0,IF(Q174="Other vessel",Alukset_fx!$C$54,IF(Q174="Container ship",Alukset_fx!$C$37,IF(OR(Q174="RoPax",Q174="RoRo",Q174="Vehicle carrier"),Alukset_fx!$C$55,0))))))))</f>
        <v>0</v>
      </c>
      <c r="Y174" s="211">
        <f>IF(Q174="Other dry cargo", Alukset_fx!$Q$52, IF(OR(Q174="Dry bulk",Q174="Bulk carrier"),Alukset_fx!$Q$35,IF(OR(Q174="Tanker",Q174="Gas tanker",Q174="Oil tanker"),Alukset_fx!$Q$57,IF(Q174="Chemical tanker",Alukset_fx!$Q$56,IF(OR(Q174="Tugboat",Q174="Barge"),0,IF(Q174="Other vessel",Alukset_fx!$Q$54,IF(Q174="Container ship",Alukset_fx!$Q$37,IF(OR(Q174="RoPax",Q174="RoRo",Q174="Vehicle carrier"),Alukset_fx!$Q$55,0))))))))</f>
        <v>0</v>
      </c>
      <c r="Z174" t="str">
        <f t="shared" si="32"/>
        <v>MDO/MGO</v>
      </c>
      <c r="AA174" t="str">
        <f t="shared" si="33"/>
        <v>MSD</v>
      </c>
      <c r="AB174" t="str">
        <f t="shared" si="34"/>
        <v>MDO/MGO</v>
      </c>
      <c r="AC174" t="str">
        <f t="shared" si="35"/>
        <v>MSD</v>
      </c>
      <c r="AD174" t="str">
        <f t="shared" si="36"/>
        <v>MDO/MGO</v>
      </c>
      <c r="AE174" t="str">
        <f t="shared" si="37"/>
        <v>ST</v>
      </c>
      <c r="AG174">
        <f>Alukset_Käynnit!O181</f>
        <v>0</v>
      </c>
      <c r="AH174" s="207">
        <f>IF(AA174="SSD",((U174*Alukset_fx!$B$24)*Alukset_Käynnit_Lask!W174*(Alukset_fx!$K$49)/1000),IF(AA174="MSD",((U174*Alukset_fx!$B$24)*Alukset_Käynnit_Lask!W174*(Alukset_fx!$K$52)/1000),IF(AA174="HSD",((U174*Alukset_fx!$B$24)*Alukset_Käynnit_Lask!W174*(Alukset_fx!$K$55)/1000),0)))</f>
        <v>0</v>
      </c>
      <c r="AI174" s="207">
        <f>IF(AC174="MSD",((V174*Alukset_fx!$B$25)*Alukset_Käynnit_Lask!W174*(Alukset_fx!$L$52)/1000),IF(AC174="HSD",((V174*Alukset_fx!$B$25)*Alukset_Käynnit_Lask!W174*(Alukset_fx!$L$55)/1000),0))</f>
        <v>0</v>
      </c>
      <c r="AJ174" s="207">
        <f>X174*W174*Alukset_fx!$K$61/1000</f>
        <v>0</v>
      </c>
      <c r="AK174">
        <v>0</v>
      </c>
      <c r="AL174" s="207">
        <f>IF(AG174="Käytetty",0,IF(AC174="MSD",((V174*Alukset_fx!$O$25)*Alukset_Käynnit_Lask!O174*(Alukset_fx!$L$52)/1000),IF(AC174="HSD",((V174*Alukset_fx!$O$25)*Alukset_Käynnit_Lask!O174*(Alukset_fx!$L$55)/1000),0)))</f>
        <v>0</v>
      </c>
      <c r="AM174" s="207">
        <f>IF(AG174="Käytetty",0,Y174*O174*Alukset_fx!$K$61/1000)</f>
        <v>0</v>
      </c>
      <c r="AN174" s="213">
        <f t="shared" si="38"/>
        <v>0</v>
      </c>
    </row>
    <row r="175" spans="1:40" x14ac:dyDescent="0.25">
      <c r="A175" s="203">
        <f>Alukset_Käynnit!A182</f>
        <v>0</v>
      </c>
      <c r="B175" s="203">
        <f>Alukset_Käynnit!B182</f>
        <v>0</v>
      </c>
      <c r="C175" s="262">
        <f>Alukset_Käynnit!C182</f>
        <v>0</v>
      </c>
      <c r="D175" s="266">
        <f>Alukset_Käynnit!D182</f>
        <v>0</v>
      </c>
      <c r="E175" s="262">
        <f>Alukset_Käynnit!E182</f>
        <v>0</v>
      </c>
      <c r="F175" s="262">
        <f>Alukset_Käynnit!F182</f>
        <v>0</v>
      </c>
      <c r="G175" s="262">
        <f>Alukset_Käynnit!G182</f>
        <v>0</v>
      </c>
      <c r="H175" s="262">
        <f>Alukset_Käynnit!H182</f>
        <v>0</v>
      </c>
      <c r="I175" s="262">
        <f>Alukset_Käynnit!I182</f>
        <v>0</v>
      </c>
      <c r="J175" s="262">
        <f>Alukset_Käynnit!J182</f>
        <v>0</v>
      </c>
      <c r="K175" s="262">
        <f>Alukset_Käynnit!K182</f>
        <v>0</v>
      </c>
      <c r="L175" s="205">
        <f>Alukset_Käynnit!L182</f>
        <v>0</v>
      </c>
      <c r="N175" s="273">
        <f t="shared" si="39"/>
        <v>0</v>
      </c>
      <c r="O175" s="274">
        <f t="shared" si="40"/>
        <v>0</v>
      </c>
      <c r="Q175" s="204">
        <f t="shared" si="29"/>
        <v>0</v>
      </c>
      <c r="R175" s="202">
        <f>IF(Q175="Other dry cargo",L175*Alukset_fx!$B$71,IF(OR(Q175="Dry bulk",Q175="Bulk carrier"),L175*Alukset_fx!$B$69,IF(Q175="Tugboat",L175*Alukset_fx!$B$76,IF(OR(Q175="Tanker",Q175="Gas tanker",Q175="Chemical tanker",Q175="Oil tanker"),L175*Alukset_fx!$B$68,IF(OR(Q175="RoRo",Q175="Vehicle carrier"),L175*Alukset_fx!$B$72,IF(Q175="RoPax",L175*Alukset_fx!$B$73,IF(Q175="Container ship",L175*Alukset_fx!$B$70,IF(Q175="Barge",0,L175*Alukset_fx!$B$75))))))))</f>
        <v>0</v>
      </c>
      <c r="S175" s="210">
        <f>IF(L175=0,IF(Q175="Other dry cargo",Alukset_fx!$H$73*(Alukset_Käynnit_Lask!K175^Alukset_fx!$I$73),IF(OR(Q175="Dry Bulk",Q175="Bulk carrier"),Alukset_fx!$H$71*(Alukset_Käynnit_Lask!K175^Alukset_fx!$I$71),IF(Q175="Tugboat",Alukset_fx!$H$78*(Alukset_Käynnit_Lask!K175^Alukset_fx!$I$78),IF(OR(Q175="Tanker",Q175="Gas tanker",Q175="Chemical tanker",Q175="Oil tanker"),Alukset_fx!$H$70*(Alukset_Käynnit_Lask!K175^Alukset_fx!$I$70),IF(Q175="Container ship",Alukset_fx!$H$72*(Alukset_Käynnit_Lask!K175^Alukset_fx!$I$72),IF(Q175="Barge",0,IF(Q175="RoPax",Alukset_fx!$H$75*(Alukset_Käynnit_Lask!K175^Alukset_fx!$I$75),IF(OR(Q175="RoRo",Q175="Vehicle carrier"),Alukset_fx!$H$74*(Alukset_Käynnit_Lask!K175^Alukset_fx!$I$74),Alukset_fx!$H$77*(Alukset_Käynnit_Lask!K175^Alukset_fx!$I$77))))))))),"-")</f>
        <v>0</v>
      </c>
      <c r="T175" s="208">
        <f>IF(R175=0,IF(Q175="Other dry cargo",S175*Alukset_fx!$B$71,IF(OR(Q175="Dry bulk",Q175="Bulk carrier"),S175*Alukset_fx!$B$69,IF(Q175="Tugboat",S175*Alukset_fx!$B$76,IF(OR(Q175="Tanker",Q175="Gas tanker",Q175="Chemical tanker",Q175="Oil tanker"),S175*Alukset_fx!$B$68,IF(OR(Q175="RoRo",Q175="Vehicle carrier"),S175*Alukset_fx!$B$72,IF(Q175="RoPax",S175*Alukset_fx!$B$73,IF(Q175="Container ship",S175*Alukset_fx!$B$70,S175*Alukset_fx!$B$75))))))),"-")</f>
        <v>0</v>
      </c>
      <c r="U175" s="208">
        <f t="shared" si="30"/>
        <v>0</v>
      </c>
      <c r="V175" s="208">
        <f t="shared" si="31"/>
        <v>0</v>
      </c>
      <c r="W175" s="202">
        <f>Alukset_Käynnit!N182</f>
        <v>0</v>
      </c>
      <c r="X175" s="211">
        <f>IF(Q175="Other dry cargo", Alukset_fx!$C$52, IF(OR(Q175="Dry bulk",Q175="Bulk carrier"),Alukset_fx!$C$35,IF(OR(Q175="Tanker",Q175="Gas tanker",Q175="Oil tanker"),Alukset_fx!$C$57,IF(Q175="Chemical tanker",Alukset_fx!$C$56,IF(OR(Q175="Tugboat",Q175="Barge"),0,IF(Q175="Other vessel",Alukset_fx!$C$54,IF(Q175="Container ship",Alukset_fx!$C$37,IF(OR(Q175="RoPax",Q175="RoRo",Q175="Vehicle carrier"),Alukset_fx!$C$55,0))))))))</f>
        <v>0</v>
      </c>
      <c r="Y175" s="211">
        <f>IF(Q175="Other dry cargo", Alukset_fx!$Q$52, IF(OR(Q175="Dry bulk",Q175="Bulk carrier"),Alukset_fx!$Q$35,IF(OR(Q175="Tanker",Q175="Gas tanker",Q175="Oil tanker"),Alukset_fx!$Q$57,IF(Q175="Chemical tanker",Alukset_fx!$Q$56,IF(OR(Q175="Tugboat",Q175="Barge"),0,IF(Q175="Other vessel",Alukset_fx!$Q$54,IF(Q175="Container ship",Alukset_fx!$Q$37,IF(OR(Q175="RoPax",Q175="RoRo",Q175="Vehicle carrier"),Alukset_fx!$Q$55,0))))))))</f>
        <v>0</v>
      </c>
      <c r="Z175" t="str">
        <f t="shared" si="32"/>
        <v>MDO/MGO</v>
      </c>
      <c r="AA175" t="str">
        <f t="shared" si="33"/>
        <v>MSD</v>
      </c>
      <c r="AB175" t="str">
        <f t="shared" si="34"/>
        <v>MDO/MGO</v>
      </c>
      <c r="AC175" t="str">
        <f t="shared" si="35"/>
        <v>MSD</v>
      </c>
      <c r="AD175" t="str">
        <f t="shared" si="36"/>
        <v>MDO/MGO</v>
      </c>
      <c r="AE175" t="str">
        <f t="shared" si="37"/>
        <v>ST</v>
      </c>
      <c r="AG175">
        <f>Alukset_Käynnit!O182</f>
        <v>0</v>
      </c>
      <c r="AH175" s="207">
        <f>IF(AA175="SSD",((U175*Alukset_fx!$B$24)*Alukset_Käynnit_Lask!W175*(Alukset_fx!$K$49)/1000),IF(AA175="MSD",((U175*Alukset_fx!$B$24)*Alukset_Käynnit_Lask!W175*(Alukset_fx!$K$52)/1000),IF(AA175="HSD",((U175*Alukset_fx!$B$24)*Alukset_Käynnit_Lask!W175*(Alukset_fx!$K$55)/1000),0)))</f>
        <v>0</v>
      </c>
      <c r="AI175" s="207">
        <f>IF(AC175="MSD",((V175*Alukset_fx!$B$25)*Alukset_Käynnit_Lask!W175*(Alukset_fx!$L$52)/1000),IF(AC175="HSD",((V175*Alukset_fx!$B$25)*Alukset_Käynnit_Lask!W175*(Alukset_fx!$L$55)/1000),0))</f>
        <v>0</v>
      </c>
      <c r="AJ175" s="207">
        <f>X175*W175*Alukset_fx!$K$61/1000</f>
        <v>0</v>
      </c>
      <c r="AK175">
        <v>0</v>
      </c>
      <c r="AL175" s="207">
        <f>IF(AG175="Käytetty",0,IF(AC175="MSD",((V175*Alukset_fx!$O$25)*Alukset_Käynnit_Lask!O175*(Alukset_fx!$L$52)/1000),IF(AC175="HSD",((V175*Alukset_fx!$O$25)*Alukset_Käynnit_Lask!O175*(Alukset_fx!$L$55)/1000),0)))</f>
        <v>0</v>
      </c>
      <c r="AM175" s="207">
        <f>IF(AG175="Käytetty",0,Y175*O175*Alukset_fx!$K$61/1000)</f>
        <v>0</v>
      </c>
      <c r="AN175" s="213">
        <f t="shared" si="38"/>
        <v>0</v>
      </c>
    </row>
    <row r="176" spans="1:40" x14ac:dyDescent="0.25">
      <c r="A176" s="203">
        <f>Alukset_Käynnit!A183</f>
        <v>0</v>
      </c>
      <c r="B176" s="203">
        <f>Alukset_Käynnit!B183</f>
        <v>0</v>
      </c>
      <c r="C176" s="262">
        <f>Alukset_Käynnit!C183</f>
        <v>0</v>
      </c>
      <c r="D176" s="266">
        <f>Alukset_Käynnit!D183</f>
        <v>0</v>
      </c>
      <c r="E176" s="262">
        <f>Alukset_Käynnit!E183</f>
        <v>0</v>
      </c>
      <c r="F176" s="262">
        <f>Alukset_Käynnit!F183</f>
        <v>0</v>
      </c>
      <c r="G176" s="262">
        <f>Alukset_Käynnit!G183</f>
        <v>0</v>
      </c>
      <c r="H176" s="262">
        <f>Alukset_Käynnit!H183</f>
        <v>0</v>
      </c>
      <c r="I176" s="262">
        <f>Alukset_Käynnit!I183</f>
        <v>0</v>
      </c>
      <c r="J176" s="262">
        <f>Alukset_Käynnit!J183</f>
        <v>0</v>
      </c>
      <c r="K176" s="262">
        <f>Alukset_Käynnit!K183</f>
        <v>0</v>
      </c>
      <c r="L176" s="205">
        <f>Alukset_Käynnit!L183</f>
        <v>0</v>
      </c>
      <c r="N176" s="273">
        <f t="shared" si="39"/>
        <v>0</v>
      </c>
      <c r="O176" s="274">
        <f t="shared" si="40"/>
        <v>0</v>
      </c>
      <c r="Q176" s="204">
        <f t="shared" si="29"/>
        <v>0</v>
      </c>
      <c r="R176" s="202">
        <f>IF(Q176="Other dry cargo",L176*Alukset_fx!$B$71,IF(OR(Q176="Dry bulk",Q176="Bulk carrier"),L176*Alukset_fx!$B$69,IF(Q176="Tugboat",L176*Alukset_fx!$B$76,IF(OR(Q176="Tanker",Q176="Gas tanker",Q176="Chemical tanker",Q176="Oil tanker"),L176*Alukset_fx!$B$68,IF(OR(Q176="RoRo",Q176="Vehicle carrier"),L176*Alukset_fx!$B$72,IF(Q176="RoPax",L176*Alukset_fx!$B$73,IF(Q176="Container ship",L176*Alukset_fx!$B$70,IF(Q176="Barge",0,L176*Alukset_fx!$B$75))))))))</f>
        <v>0</v>
      </c>
      <c r="S176" s="210">
        <f>IF(L176=0,IF(Q176="Other dry cargo",Alukset_fx!$H$73*(Alukset_Käynnit_Lask!K176^Alukset_fx!$I$73),IF(OR(Q176="Dry Bulk",Q176="Bulk carrier"),Alukset_fx!$H$71*(Alukset_Käynnit_Lask!K176^Alukset_fx!$I$71),IF(Q176="Tugboat",Alukset_fx!$H$78*(Alukset_Käynnit_Lask!K176^Alukset_fx!$I$78),IF(OR(Q176="Tanker",Q176="Gas tanker",Q176="Chemical tanker",Q176="Oil tanker"),Alukset_fx!$H$70*(Alukset_Käynnit_Lask!K176^Alukset_fx!$I$70),IF(Q176="Container ship",Alukset_fx!$H$72*(Alukset_Käynnit_Lask!K176^Alukset_fx!$I$72),IF(Q176="Barge",0,IF(Q176="RoPax",Alukset_fx!$H$75*(Alukset_Käynnit_Lask!K176^Alukset_fx!$I$75),IF(OR(Q176="RoRo",Q176="Vehicle carrier"),Alukset_fx!$H$74*(Alukset_Käynnit_Lask!K176^Alukset_fx!$I$74),Alukset_fx!$H$77*(Alukset_Käynnit_Lask!K176^Alukset_fx!$I$77))))))))),"-")</f>
        <v>0</v>
      </c>
      <c r="T176" s="208">
        <f>IF(R176=0,IF(Q176="Other dry cargo",S176*Alukset_fx!$B$71,IF(OR(Q176="Dry bulk",Q176="Bulk carrier"),S176*Alukset_fx!$B$69,IF(Q176="Tugboat",S176*Alukset_fx!$B$76,IF(OR(Q176="Tanker",Q176="Gas tanker",Q176="Chemical tanker",Q176="Oil tanker"),S176*Alukset_fx!$B$68,IF(OR(Q176="RoRo",Q176="Vehicle carrier"),S176*Alukset_fx!$B$72,IF(Q176="RoPax",S176*Alukset_fx!$B$73,IF(Q176="Container ship",S176*Alukset_fx!$B$70,S176*Alukset_fx!$B$75))))))),"-")</f>
        <v>0</v>
      </c>
      <c r="U176" s="208">
        <f t="shared" si="30"/>
        <v>0</v>
      </c>
      <c r="V176" s="208">
        <f t="shared" si="31"/>
        <v>0</v>
      </c>
      <c r="W176" s="202">
        <f>Alukset_Käynnit!N183</f>
        <v>0</v>
      </c>
      <c r="X176" s="211">
        <f>IF(Q176="Other dry cargo", Alukset_fx!$C$52, IF(OR(Q176="Dry bulk",Q176="Bulk carrier"),Alukset_fx!$C$35,IF(OR(Q176="Tanker",Q176="Gas tanker",Q176="Oil tanker"),Alukset_fx!$C$57,IF(Q176="Chemical tanker",Alukset_fx!$C$56,IF(OR(Q176="Tugboat",Q176="Barge"),0,IF(Q176="Other vessel",Alukset_fx!$C$54,IF(Q176="Container ship",Alukset_fx!$C$37,IF(OR(Q176="RoPax",Q176="RoRo",Q176="Vehicle carrier"),Alukset_fx!$C$55,0))))))))</f>
        <v>0</v>
      </c>
      <c r="Y176" s="211">
        <f>IF(Q176="Other dry cargo", Alukset_fx!$Q$52, IF(OR(Q176="Dry bulk",Q176="Bulk carrier"),Alukset_fx!$Q$35,IF(OR(Q176="Tanker",Q176="Gas tanker",Q176="Oil tanker"),Alukset_fx!$Q$57,IF(Q176="Chemical tanker",Alukset_fx!$Q$56,IF(OR(Q176="Tugboat",Q176="Barge"),0,IF(Q176="Other vessel",Alukset_fx!$Q$54,IF(Q176="Container ship",Alukset_fx!$Q$37,IF(OR(Q176="RoPax",Q176="RoRo",Q176="Vehicle carrier"),Alukset_fx!$Q$55,0))))))))</f>
        <v>0</v>
      </c>
      <c r="Z176" t="str">
        <f t="shared" si="32"/>
        <v>MDO/MGO</v>
      </c>
      <c r="AA176" t="str">
        <f t="shared" si="33"/>
        <v>MSD</v>
      </c>
      <c r="AB176" t="str">
        <f t="shared" si="34"/>
        <v>MDO/MGO</v>
      </c>
      <c r="AC176" t="str">
        <f t="shared" si="35"/>
        <v>MSD</v>
      </c>
      <c r="AD176" t="str">
        <f t="shared" si="36"/>
        <v>MDO/MGO</v>
      </c>
      <c r="AE176" t="str">
        <f t="shared" si="37"/>
        <v>ST</v>
      </c>
      <c r="AG176">
        <f>Alukset_Käynnit!O183</f>
        <v>0</v>
      </c>
      <c r="AH176" s="207">
        <f>IF(AA176="SSD",((U176*Alukset_fx!$B$24)*Alukset_Käynnit_Lask!W176*(Alukset_fx!$K$49)/1000),IF(AA176="MSD",((U176*Alukset_fx!$B$24)*Alukset_Käynnit_Lask!W176*(Alukset_fx!$K$52)/1000),IF(AA176="HSD",((U176*Alukset_fx!$B$24)*Alukset_Käynnit_Lask!W176*(Alukset_fx!$K$55)/1000),0)))</f>
        <v>0</v>
      </c>
      <c r="AI176" s="207">
        <f>IF(AC176="MSD",((V176*Alukset_fx!$B$25)*Alukset_Käynnit_Lask!W176*(Alukset_fx!$L$52)/1000),IF(AC176="HSD",((V176*Alukset_fx!$B$25)*Alukset_Käynnit_Lask!W176*(Alukset_fx!$L$55)/1000),0))</f>
        <v>0</v>
      </c>
      <c r="AJ176" s="207">
        <f>X176*W176*Alukset_fx!$K$61/1000</f>
        <v>0</v>
      </c>
      <c r="AK176">
        <v>0</v>
      </c>
      <c r="AL176" s="207">
        <f>IF(AG176="Käytetty",0,IF(AC176="MSD",((V176*Alukset_fx!$O$25)*Alukset_Käynnit_Lask!O176*(Alukset_fx!$L$52)/1000),IF(AC176="HSD",((V176*Alukset_fx!$O$25)*Alukset_Käynnit_Lask!O176*(Alukset_fx!$L$55)/1000),0)))</f>
        <v>0</v>
      </c>
      <c r="AM176" s="207">
        <f>IF(AG176="Käytetty",0,Y176*O176*Alukset_fx!$K$61/1000)</f>
        <v>0</v>
      </c>
      <c r="AN176" s="213">
        <f t="shared" si="38"/>
        <v>0</v>
      </c>
    </row>
    <row r="177" spans="1:40" x14ac:dyDescent="0.25">
      <c r="A177" s="203">
        <f>Alukset_Käynnit!A184</f>
        <v>0</v>
      </c>
      <c r="B177" s="203">
        <f>Alukset_Käynnit!B184</f>
        <v>0</v>
      </c>
      <c r="C177" s="262">
        <f>Alukset_Käynnit!C184</f>
        <v>0</v>
      </c>
      <c r="D177" s="266">
        <f>Alukset_Käynnit!D184</f>
        <v>0</v>
      </c>
      <c r="E177" s="262">
        <f>Alukset_Käynnit!E184</f>
        <v>0</v>
      </c>
      <c r="F177" s="262">
        <f>Alukset_Käynnit!F184</f>
        <v>0</v>
      </c>
      <c r="G177" s="262">
        <f>Alukset_Käynnit!G184</f>
        <v>0</v>
      </c>
      <c r="H177" s="262">
        <f>Alukset_Käynnit!H184</f>
        <v>0</v>
      </c>
      <c r="I177" s="262">
        <f>Alukset_Käynnit!I184</f>
        <v>0</v>
      </c>
      <c r="J177" s="262">
        <f>Alukset_Käynnit!J184</f>
        <v>0</v>
      </c>
      <c r="K177" s="262">
        <f>Alukset_Käynnit!K184</f>
        <v>0</v>
      </c>
      <c r="L177" s="205">
        <f>Alukset_Käynnit!L184</f>
        <v>0</v>
      </c>
      <c r="N177" s="273">
        <f t="shared" si="39"/>
        <v>0</v>
      </c>
      <c r="O177" s="274">
        <f t="shared" si="40"/>
        <v>0</v>
      </c>
      <c r="Q177" s="204">
        <f t="shared" si="29"/>
        <v>0</v>
      </c>
      <c r="R177" s="202">
        <f>IF(Q177="Other dry cargo",L177*Alukset_fx!$B$71,IF(OR(Q177="Dry bulk",Q177="Bulk carrier"),L177*Alukset_fx!$B$69,IF(Q177="Tugboat",L177*Alukset_fx!$B$76,IF(OR(Q177="Tanker",Q177="Gas tanker",Q177="Chemical tanker",Q177="Oil tanker"),L177*Alukset_fx!$B$68,IF(OR(Q177="RoRo",Q177="Vehicle carrier"),L177*Alukset_fx!$B$72,IF(Q177="RoPax",L177*Alukset_fx!$B$73,IF(Q177="Container ship",L177*Alukset_fx!$B$70,IF(Q177="Barge",0,L177*Alukset_fx!$B$75))))))))</f>
        <v>0</v>
      </c>
      <c r="S177" s="210">
        <f>IF(L177=0,IF(Q177="Other dry cargo",Alukset_fx!$H$73*(Alukset_Käynnit_Lask!K177^Alukset_fx!$I$73),IF(OR(Q177="Dry Bulk",Q177="Bulk carrier"),Alukset_fx!$H$71*(Alukset_Käynnit_Lask!K177^Alukset_fx!$I$71),IF(Q177="Tugboat",Alukset_fx!$H$78*(Alukset_Käynnit_Lask!K177^Alukset_fx!$I$78),IF(OR(Q177="Tanker",Q177="Gas tanker",Q177="Chemical tanker",Q177="Oil tanker"),Alukset_fx!$H$70*(Alukset_Käynnit_Lask!K177^Alukset_fx!$I$70),IF(Q177="Container ship",Alukset_fx!$H$72*(Alukset_Käynnit_Lask!K177^Alukset_fx!$I$72),IF(Q177="Barge",0,IF(Q177="RoPax",Alukset_fx!$H$75*(Alukset_Käynnit_Lask!K177^Alukset_fx!$I$75),IF(OR(Q177="RoRo",Q177="Vehicle carrier"),Alukset_fx!$H$74*(Alukset_Käynnit_Lask!K177^Alukset_fx!$I$74),Alukset_fx!$H$77*(Alukset_Käynnit_Lask!K177^Alukset_fx!$I$77))))))))),"-")</f>
        <v>0</v>
      </c>
      <c r="T177" s="208">
        <f>IF(R177=0,IF(Q177="Other dry cargo",S177*Alukset_fx!$B$71,IF(OR(Q177="Dry bulk",Q177="Bulk carrier"),S177*Alukset_fx!$B$69,IF(Q177="Tugboat",S177*Alukset_fx!$B$76,IF(OR(Q177="Tanker",Q177="Gas tanker",Q177="Chemical tanker",Q177="Oil tanker"),S177*Alukset_fx!$B$68,IF(OR(Q177="RoRo",Q177="Vehicle carrier"),S177*Alukset_fx!$B$72,IF(Q177="RoPax",S177*Alukset_fx!$B$73,IF(Q177="Container ship",S177*Alukset_fx!$B$70,S177*Alukset_fx!$B$75))))))),"-")</f>
        <v>0</v>
      </c>
      <c r="U177" s="208">
        <f t="shared" si="30"/>
        <v>0</v>
      </c>
      <c r="V177" s="208">
        <f t="shared" si="31"/>
        <v>0</v>
      </c>
      <c r="W177" s="202">
        <f>Alukset_Käynnit!N184</f>
        <v>0</v>
      </c>
      <c r="X177" s="211">
        <f>IF(Q177="Other dry cargo", Alukset_fx!$C$52, IF(OR(Q177="Dry bulk",Q177="Bulk carrier"),Alukset_fx!$C$35,IF(OR(Q177="Tanker",Q177="Gas tanker",Q177="Oil tanker"),Alukset_fx!$C$57,IF(Q177="Chemical tanker",Alukset_fx!$C$56,IF(OR(Q177="Tugboat",Q177="Barge"),0,IF(Q177="Other vessel",Alukset_fx!$C$54,IF(Q177="Container ship",Alukset_fx!$C$37,IF(OR(Q177="RoPax",Q177="RoRo",Q177="Vehicle carrier"),Alukset_fx!$C$55,0))))))))</f>
        <v>0</v>
      </c>
      <c r="Y177" s="211">
        <f>IF(Q177="Other dry cargo", Alukset_fx!$Q$52, IF(OR(Q177="Dry bulk",Q177="Bulk carrier"),Alukset_fx!$Q$35,IF(OR(Q177="Tanker",Q177="Gas tanker",Q177="Oil tanker"),Alukset_fx!$Q$57,IF(Q177="Chemical tanker",Alukset_fx!$Q$56,IF(OR(Q177="Tugboat",Q177="Barge"),0,IF(Q177="Other vessel",Alukset_fx!$Q$54,IF(Q177="Container ship",Alukset_fx!$Q$37,IF(OR(Q177="RoPax",Q177="RoRo",Q177="Vehicle carrier"),Alukset_fx!$Q$55,0))))))))</f>
        <v>0</v>
      </c>
      <c r="Z177" t="str">
        <f t="shared" si="32"/>
        <v>MDO/MGO</v>
      </c>
      <c r="AA177" t="str">
        <f t="shared" si="33"/>
        <v>MSD</v>
      </c>
      <c r="AB177" t="str">
        <f t="shared" si="34"/>
        <v>MDO/MGO</v>
      </c>
      <c r="AC177" t="str">
        <f t="shared" si="35"/>
        <v>MSD</v>
      </c>
      <c r="AD177" t="str">
        <f t="shared" si="36"/>
        <v>MDO/MGO</v>
      </c>
      <c r="AE177" t="str">
        <f t="shared" si="37"/>
        <v>ST</v>
      </c>
      <c r="AG177">
        <f>Alukset_Käynnit!O184</f>
        <v>0</v>
      </c>
      <c r="AH177" s="207">
        <f>IF(AA177="SSD",((U177*Alukset_fx!$B$24)*Alukset_Käynnit_Lask!W177*(Alukset_fx!$K$49)/1000),IF(AA177="MSD",((U177*Alukset_fx!$B$24)*Alukset_Käynnit_Lask!W177*(Alukset_fx!$K$52)/1000),IF(AA177="HSD",((U177*Alukset_fx!$B$24)*Alukset_Käynnit_Lask!W177*(Alukset_fx!$K$55)/1000),0)))</f>
        <v>0</v>
      </c>
      <c r="AI177" s="207">
        <f>IF(AC177="MSD",((V177*Alukset_fx!$B$25)*Alukset_Käynnit_Lask!W177*(Alukset_fx!$L$52)/1000),IF(AC177="HSD",((V177*Alukset_fx!$B$25)*Alukset_Käynnit_Lask!W177*(Alukset_fx!$L$55)/1000),0))</f>
        <v>0</v>
      </c>
      <c r="AJ177" s="207">
        <f>X177*W177*Alukset_fx!$K$61/1000</f>
        <v>0</v>
      </c>
      <c r="AK177">
        <v>0</v>
      </c>
      <c r="AL177" s="207">
        <f>IF(AG177="Käytetty",0,IF(AC177="MSD",((V177*Alukset_fx!$O$25)*Alukset_Käynnit_Lask!O177*(Alukset_fx!$L$52)/1000),IF(AC177="HSD",((V177*Alukset_fx!$O$25)*Alukset_Käynnit_Lask!O177*(Alukset_fx!$L$55)/1000),0)))</f>
        <v>0</v>
      </c>
      <c r="AM177" s="207">
        <f>IF(AG177="Käytetty",0,Y177*O177*Alukset_fx!$K$61/1000)</f>
        <v>0</v>
      </c>
      <c r="AN177" s="213">
        <f t="shared" si="38"/>
        <v>0</v>
      </c>
    </row>
    <row r="178" spans="1:40" x14ac:dyDescent="0.25">
      <c r="A178" s="203">
        <f>Alukset_Käynnit!A185</f>
        <v>0</v>
      </c>
      <c r="B178" s="203">
        <f>Alukset_Käynnit!B185</f>
        <v>0</v>
      </c>
      <c r="C178" s="262">
        <f>Alukset_Käynnit!C185</f>
        <v>0</v>
      </c>
      <c r="D178" s="266">
        <f>Alukset_Käynnit!D185</f>
        <v>0</v>
      </c>
      <c r="E178" s="262">
        <f>Alukset_Käynnit!E185</f>
        <v>0</v>
      </c>
      <c r="F178" s="262">
        <f>Alukset_Käynnit!F185</f>
        <v>0</v>
      </c>
      <c r="G178" s="262">
        <f>Alukset_Käynnit!G185</f>
        <v>0</v>
      </c>
      <c r="H178" s="262">
        <f>Alukset_Käynnit!H185</f>
        <v>0</v>
      </c>
      <c r="I178" s="262">
        <f>Alukset_Käynnit!I185</f>
        <v>0</v>
      </c>
      <c r="J178" s="262">
        <f>Alukset_Käynnit!J185</f>
        <v>0</v>
      </c>
      <c r="K178" s="262">
        <f>Alukset_Käynnit!K185</f>
        <v>0</v>
      </c>
      <c r="L178" s="205">
        <f>Alukset_Käynnit!L185</f>
        <v>0</v>
      </c>
      <c r="N178" s="273">
        <f t="shared" si="39"/>
        <v>0</v>
      </c>
      <c r="O178" s="274">
        <f t="shared" si="40"/>
        <v>0</v>
      </c>
      <c r="Q178" s="204">
        <f t="shared" si="29"/>
        <v>0</v>
      </c>
      <c r="R178" s="202">
        <f>IF(Q178="Other dry cargo",L178*Alukset_fx!$B$71,IF(OR(Q178="Dry bulk",Q178="Bulk carrier"),L178*Alukset_fx!$B$69,IF(Q178="Tugboat",L178*Alukset_fx!$B$76,IF(OR(Q178="Tanker",Q178="Gas tanker",Q178="Chemical tanker",Q178="Oil tanker"),L178*Alukset_fx!$B$68,IF(OR(Q178="RoRo",Q178="Vehicle carrier"),L178*Alukset_fx!$B$72,IF(Q178="RoPax",L178*Alukset_fx!$B$73,IF(Q178="Container ship",L178*Alukset_fx!$B$70,IF(Q178="Barge",0,L178*Alukset_fx!$B$75))))))))</f>
        <v>0</v>
      </c>
      <c r="S178" s="210">
        <f>IF(L178=0,IF(Q178="Other dry cargo",Alukset_fx!$H$73*(Alukset_Käynnit_Lask!K178^Alukset_fx!$I$73),IF(OR(Q178="Dry Bulk",Q178="Bulk carrier"),Alukset_fx!$H$71*(Alukset_Käynnit_Lask!K178^Alukset_fx!$I$71),IF(Q178="Tugboat",Alukset_fx!$H$78*(Alukset_Käynnit_Lask!K178^Alukset_fx!$I$78),IF(OR(Q178="Tanker",Q178="Gas tanker",Q178="Chemical tanker",Q178="Oil tanker"),Alukset_fx!$H$70*(Alukset_Käynnit_Lask!K178^Alukset_fx!$I$70),IF(Q178="Container ship",Alukset_fx!$H$72*(Alukset_Käynnit_Lask!K178^Alukset_fx!$I$72),IF(Q178="Barge",0,IF(Q178="RoPax",Alukset_fx!$H$75*(Alukset_Käynnit_Lask!K178^Alukset_fx!$I$75),IF(OR(Q178="RoRo",Q178="Vehicle carrier"),Alukset_fx!$H$74*(Alukset_Käynnit_Lask!K178^Alukset_fx!$I$74),Alukset_fx!$H$77*(Alukset_Käynnit_Lask!K178^Alukset_fx!$I$77))))))))),"-")</f>
        <v>0</v>
      </c>
      <c r="T178" s="208">
        <f>IF(R178=0,IF(Q178="Other dry cargo",S178*Alukset_fx!$B$71,IF(OR(Q178="Dry bulk",Q178="Bulk carrier"),S178*Alukset_fx!$B$69,IF(Q178="Tugboat",S178*Alukset_fx!$B$76,IF(OR(Q178="Tanker",Q178="Gas tanker",Q178="Chemical tanker",Q178="Oil tanker"),S178*Alukset_fx!$B$68,IF(OR(Q178="RoRo",Q178="Vehicle carrier"),S178*Alukset_fx!$B$72,IF(Q178="RoPax",S178*Alukset_fx!$B$73,IF(Q178="Container ship",S178*Alukset_fx!$B$70,S178*Alukset_fx!$B$75))))))),"-")</f>
        <v>0</v>
      </c>
      <c r="U178" s="208">
        <f t="shared" si="30"/>
        <v>0</v>
      </c>
      <c r="V178" s="208">
        <f t="shared" si="31"/>
        <v>0</v>
      </c>
      <c r="W178" s="202">
        <f>Alukset_Käynnit!N185</f>
        <v>0</v>
      </c>
      <c r="X178" s="211">
        <f>IF(Q178="Other dry cargo", Alukset_fx!$C$52, IF(OR(Q178="Dry bulk",Q178="Bulk carrier"),Alukset_fx!$C$35,IF(OR(Q178="Tanker",Q178="Gas tanker",Q178="Oil tanker"),Alukset_fx!$C$57,IF(Q178="Chemical tanker",Alukset_fx!$C$56,IF(OR(Q178="Tugboat",Q178="Barge"),0,IF(Q178="Other vessel",Alukset_fx!$C$54,IF(Q178="Container ship",Alukset_fx!$C$37,IF(OR(Q178="RoPax",Q178="RoRo",Q178="Vehicle carrier"),Alukset_fx!$C$55,0))))))))</f>
        <v>0</v>
      </c>
      <c r="Y178" s="211">
        <f>IF(Q178="Other dry cargo", Alukset_fx!$Q$52, IF(OR(Q178="Dry bulk",Q178="Bulk carrier"),Alukset_fx!$Q$35,IF(OR(Q178="Tanker",Q178="Gas tanker",Q178="Oil tanker"),Alukset_fx!$Q$57,IF(Q178="Chemical tanker",Alukset_fx!$Q$56,IF(OR(Q178="Tugboat",Q178="Barge"),0,IF(Q178="Other vessel",Alukset_fx!$Q$54,IF(Q178="Container ship",Alukset_fx!$Q$37,IF(OR(Q178="RoPax",Q178="RoRo",Q178="Vehicle carrier"),Alukset_fx!$Q$55,0))))))))</f>
        <v>0</v>
      </c>
      <c r="Z178" t="str">
        <f t="shared" si="32"/>
        <v>MDO/MGO</v>
      </c>
      <c r="AA178" t="str">
        <f t="shared" si="33"/>
        <v>MSD</v>
      </c>
      <c r="AB178" t="str">
        <f t="shared" si="34"/>
        <v>MDO/MGO</v>
      </c>
      <c r="AC178" t="str">
        <f t="shared" si="35"/>
        <v>MSD</v>
      </c>
      <c r="AD178" t="str">
        <f t="shared" si="36"/>
        <v>MDO/MGO</v>
      </c>
      <c r="AE178" t="str">
        <f t="shared" si="37"/>
        <v>ST</v>
      </c>
      <c r="AG178">
        <f>Alukset_Käynnit!O185</f>
        <v>0</v>
      </c>
      <c r="AH178" s="207">
        <f>IF(AA178="SSD",((U178*Alukset_fx!$B$24)*Alukset_Käynnit_Lask!W178*(Alukset_fx!$K$49)/1000),IF(AA178="MSD",((U178*Alukset_fx!$B$24)*Alukset_Käynnit_Lask!W178*(Alukset_fx!$K$52)/1000),IF(AA178="HSD",((U178*Alukset_fx!$B$24)*Alukset_Käynnit_Lask!W178*(Alukset_fx!$K$55)/1000),0)))</f>
        <v>0</v>
      </c>
      <c r="AI178" s="207">
        <f>IF(AC178="MSD",((V178*Alukset_fx!$B$25)*Alukset_Käynnit_Lask!W178*(Alukset_fx!$L$52)/1000),IF(AC178="HSD",((V178*Alukset_fx!$B$25)*Alukset_Käynnit_Lask!W178*(Alukset_fx!$L$55)/1000),0))</f>
        <v>0</v>
      </c>
      <c r="AJ178" s="207">
        <f>X178*W178*Alukset_fx!$K$61/1000</f>
        <v>0</v>
      </c>
      <c r="AK178">
        <v>0</v>
      </c>
      <c r="AL178" s="207">
        <f>IF(AG178="Käytetty",0,IF(AC178="MSD",((V178*Alukset_fx!$O$25)*Alukset_Käynnit_Lask!O178*(Alukset_fx!$L$52)/1000),IF(AC178="HSD",((V178*Alukset_fx!$O$25)*Alukset_Käynnit_Lask!O178*(Alukset_fx!$L$55)/1000),0)))</f>
        <v>0</v>
      </c>
      <c r="AM178" s="207">
        <f>IF(AG178="Käytetty",0,Y178*O178*Alukset_fx!$K$61/1000)</f>
        <v>0</v>
      </c>
      <c r="AN178" s="213">
        <f t="shared" si="38"/>
        <v>0</v>
      </c>
    </row>
    <row r="179" spans="1:40" x14ac:dyDescent="0.25">
      <c r="A179" s="203">
        <f>Alukset_Käynnit!A186</f>
        <v>0</v>
      </c>
      <c r="B179" s="203">
        <f>Alukset_Käynnit!B186</f>
        <v>0</v>
      </c>
      <c r="C179" s="262">
        <f>Alukset_Käynnit!C186</f>
        <v>0</v>
      </c>
      <c r="D179" s="266">
        <f>Alukset_Käynnit!D186</f>
        <v>0</v>
      </c>
      <c r="E179" s="262">
        <f>Alukset_Käynnit!E186</f>
        <v>0</v>
      </c>
      <c r="F179" s="262">
        <f>Alukset_Käynnit!F186</f>
        <v>0</v>
      </c>
      <c r="G179" s="262">
        <f>Alukset_Käynnit!G186</f>
        <v>0</v>
      </c>
      <c r="H179" s="262">
        <f>Alukset_Käynnit!H186</f>
        <v>0</v>
      </c>
      <c r="I179" s="262">
        <f>Alukset_Käynnit!I186</f>
        <v>0</v>
      </c>
      <c r="J179" s="262">
        <f>Alukset_Käynnit!J186</f>
        <v>0</v>
      </c>
      <c r="K179" s="262">
        <f>Alukset_Käynnit!K186</f>
        <v>0</v>
      </c>
      <c r="L179" s="205">
        <f>Alukset_Käynnit!L186</f>
        <v>0</v>
      </c>
      <c r="N179" s="273">
        <f t="shared" si="39"/>
        <v>0</v>
      </c>
      <c r="O179" s="274">
        <f t="shared" si="40"/>
        <v>0</v>
      </c>
      <c r="Q179" s="204">
        <f t="shared" si="29"/>
        <v>0</v>
      </c>
      <c r="R179" s="202">
        <f>IF(Q179="Other dry cargo",L179*Alukset_fx!$B$71,IF(OR(Q179="Dry bulk",Q179="Bulk carrier"),L179*Alukset_fx!$B$69,IF(Q179="Tugboat",L179*Alukset_fx!$B$76,IF(OR(Q179="Tanker",Q179="Gas tanker",Q179="Chemical tanker",Q179="Oil tanker"),L179*Alukset_fx!$B$68,IF(OR(Q179="RoRo",Q179="Vehicle carrier"),L179*Alukset_fx!$B$72,IF(Q179="RoPax",L179*Alukset_fx!$B$73,IF(Q179="Container ship",L179*Alukset_fx!$B$70,IF(Q179="Barge",0,L179*Alukset_fx!$B$75))))))))</f>
        <v>0</v>
      </c>
      <c r="S179" s="210">
        <f>IF(L179=0,IF(Q179="Other dry cargo",Alukset_fx!$H$73*(Alukset_Käynnit_Lask!K179^Alukset_fx!$I$73),IF(OR(Q179="Dry Bulk",Q179="Bulk carrier"),Alukset_fx!$H$71*(Alukset_Käynnit_Lask!K179^Alukset_fx!$I$71),IF(Q179="Tugboat",Alukset_fx!$H$78*(Alukset_Käynnit_Lask!K179^Alukset_fx!$I$78),IF(OR(Q179="Tanker",Q179="Gas tanker",Q179="Chemical tanker",Q179="Oil tanker"),Alukset_fx!$H$70*(Alukset_Käynnit_Lask!K179^Alukset_fx!$I$70),IF(Q179="Container ship",Alukset_fx!$H$72*(Alukset_Käynnit_Lask!K179^Alukset_fx!$I$72),IF(Q179="Barge",0,IF(Q179="RoPax",Alukset_fx!$H$75*(Alukset_Käynnit_Lask!K179^Alukset_fx!$I$75),IF(OR(Q179="RoRo",Q179="Vehicle carrier"),Alukset_fx!$H$74*(Alukset_Käynnit_Lask!K179^Alukset_fx!$I$74),Alukset_fx!$H$77*(Alukset_Käynnit_Lask!K179^Alukset_fx!$I$77))))))))),"-")</f>
        <v>0</v>
      </c>
      <c r="T179" s="208">
        <f>IF(R179=0,IF(Q179="Other dry cargo",S179*Alukset_fx!$B$71,IF(OR(Q179="Dry bulk",Q179="Bulk carrier"),S179*Alukset_fx!$B$69,IF(Q179="Tugboat",S179*Alukset_fx!$B$76,IF(OR(Q179="Tanker",Q179="Gas tanker",Q179="Chemical tanker",Q179="Oil tanker"),S179*Alukset_fx!$B$68,IF(OR(Q179="RoRo",Q179="Vehicle carrier"),S179*Alukset_fx!$B$72,IF(Q179="RoPax",S179*Alukset_fx!$B$73,IF(Q179="Container ship",S179*Alukset_fx!$B$70,S179*Alukset_fx!$B$75))))))),"-")</f>
        <v>0</v>
      </c>
      <c r="U179" s="208">
        <f t="shared" si="30"/>
        <v>0</v>
      </c>
      <c r="V179" s="208">
        <f t="shared" si="31"/>
        <v>0</v>
      </c>
      <c r="W179" s="202">
        <f>Alukset_Käynnit!N186</f>
        <v>0</v>
      </c>
      <c r="X179" s="211">
        <f>IF(Q179="Other dry cargo", Alukset_fx!$C$52, IF(OR(Q179="Dry bulk",Q179="Bulk carrier"),Alukset_fx!$C$35,IF(OR(Q179="Tanker",Q179="Gas tanker",Q179="Oil tanker"),Alukset_fx!$C$57,IF(Q179="Chemical tanker",Alukset_fx!$C$56,IF(OR(Q179="Tugboat",Q179="Barge"),0,IF(Q179="Other vessel",Alukset_fx!$C$54,IF(Q179="Container ship",Alukset_fx!$C$37,IF(OR(Q179="RoPax",Q179="RoRo",Q179="Vehicle carrier"),Alukset_fx!$C$55,0))))))))</f>
        <v>0</v>
      </c>
      <c r="Y179" s="211">
        <f>IF(Q179="Other dry cargo", Alukset_fx!$Q$52, IF(OR(Q179="Dry bulk",Q179="Bulk carrier"),Alukset_fx!$Q$35,IF(OR(Q179="Tanker",Q179="Gas tanker",Q179="Oil tanker"),Alukset_fx!$Q$57,IF(Q179="Chemical tanker",Alukset_fx!$Q$56,IF(OR(Q179="Tugboat",Q179="Barge"),0,IF(Q179="Other vessel",Alukset_fx!$Q$54,IF(Q179="Container ship",Alukset_fx!$Q$37,IF(OR(Q179="RoPax",Q179="RoRo",Q179="Vehicle carrier"),Alukset_fx!$Q$55,0))))))))</f>
        <v>0</v>
      </c>
      <c r="Z179" t="str">
        <f t="shared" si="32"/>
        <v>MDO/MGO</v>
      </c>
      <c r="AA179" t="str">
        <f t="shared" si="33"/>
        <v>MSD</v>
      </c>
      <c r="AB179" t="str">
        <f t="shared" si="34"/>
        <v>MDO/MGO</v>
      </c>
      <c r="AC179" t="str">
        <f t="shared" si="35"/>
        <v>MSD</v>
      </c>
      <c r="AD179" t="str">
        <f t="shared" si="36"/>
        <v>MDO/MGO</v>
      </c>
      <c r="AE179" t="str">
        <f t="shared" si="37"/>
        <v>ST</v>
      </c>
      <c r="AG179">
        <f>Alukset_Käynnit!O186</f>
        <v>0</v>
      </c>
      <c r="AH179" s="207">
        <f>IF(AA179="SSD",((U179*Alukset_fx!$B$24)*Alukset_Käynnit_Lask!W179*(Alukset_fx!$K$49)/1000),IF(AA179="MSD",((U179*Alukset_fx!$B$24)*Alukset_Käynnit_Lask!W179*(Alukset_fx!$K$52)/1000),IF(AA179="HSD",((U179*Alukset_fx!$B$24)*Alukset_Käynnit_Lask!W179*(Alukset_fx!$K$55)/1000),0)))</f>
        <v>0</v>
      </c>
      <c r="AI179" s="207">
        <f>IF(AC179="MSD",((V179*Alukset_fx!$B$25)*Alukset_Käynnit_Lask!W179*(Alukset_fx!$L$52)/1000),IF(AC179="HSD",((V179*Alukset_fx!$B$25)*Alukset_Käynnit_Lask!W179*(Alukset_fx!$L$55)/1000),0))</f>
        <v>0</v>
      </c>
      <c r="AJ179" s="207">
        <f>X179*W179*Alukset_fx!$K$61/1000</f>
        <v>0</v>
      </c>
      <c r="AK179">
        <v>0</v>
      </c>
      <c r="AL179" s="207">
        <f>IF(AG179="Käytetty",0,IF(AC179="MSD",((V179*Alukset_fx!$O$25)*Alukset_Käynnit_Lask!O179*(Alukset_fx!$L$52)/1000),IF(AC179="HSD",((V179*Alukset_fx!$O$25)*Alukset_Käynnit_Lask!O179*(Alukset_fx!$L$55)/1000),0)))</f>
        <v>0</v>
      </c>
      <c r="AM179" s="207">
        <f>IF(AG179="Käytetty",0,Y179*O179*Alukset_fx!$K$61/1000)</f>
        <v>0</v>
      </c>
      <c r="AN179" s="213">
        <f t="shared" si="38"/>
        <v>0</v>
      </c>
    </row>
    <row r="180" spans="1:40" x14ac:dyDescent="0.25">
      <c r="A180" s="203">
        <f>Alukset_Käynnit!A187</f>
        <v>0</v>
      </c>
      <c r="B180" s="203">
        <f>Alukset_Käynnit!B187</f>
        <v>0</v>
      </c>
      <c r="C180" s="262">
        <f>Alukset_Käynnit!C187</f>
        <v>0</v>
      </c>
      <c r="D180" s="266">
        <f>Alukset_Käynnit!D187</f>
        <v>0</v>
      </c>
      <c r="E180" s="262">
        <f>Alukset_Käynnit!E187</f>
        <v>0</v>
      </c>
      <c r="F180" s="262">
        <f>Alukset_Käynnit!F187</f>
        <v>0</v>
      </c>
      <c r="G180" s="262">
        <f>Alukset_Käynnit!G187</f>
        <v>0</v>
      </c>
      <c r="H180" s="262">
        <f>Alukset_Käynnit!H187</f>
        <v>0</v>
      </c>
      <c r="I180" s="262">
        <f>Alukset_Käynnit!I187</f>
        <v>0</v>
      </c>
      <c r="J180" s="262">
        <f>Alukset_Käynnit!J187</f>
        <v>0</v>
      </c>
      <c r="K180" s="262">
        <f>Alukset_Käynnit!K187</f>
        <v>0</v>
      </c>
      <c r="L180" s="205">
        <f>Alukset_Käynnit!L187</f>
        <v>0</v>
      </c>
      <c r="N180" s="273">
        <f t="shared" si="39"/>
        <v>0</v>
      </c>
      <c r="O180" s="274">
        <f t="shared" si="40"/>
        <v>0</v>
      </c>
      <c r="Q180" s="204">
        <f t="shared" si="29"/>
        <v>0</v>
      </c>
      <c r="R180" s="202">
        <f>IF(Q180="Other dry cargo",L180*Alukset_fx!$B$71,IF(OR(Q180="Dry bulk",Q180="Bulk carrier"),L180*Alukset_fx!$B$69,IF(Q180="Tugboat",L180*Alukset_fx!$B$76,IF(OR(Q180="Tanker",Q180="Gas tanker",Q180="Chemical tanker",Q180="Oil tanker"),L180*Alukset_fx!$B$68,IF(OR(Q180="RoRo",Q180="Vehicle carrier"),L180*Alukset_fx!$B$72,IF(Q180="RoPax",L180*Alukset_fx!$B$73,IF(Q180="Container ship",L180*Alukset_fx!$B$70,IF(Q180="Barge",0,L180*Alukset_fx!$B$75))))))))</f>
        <v>0</v>
      </c>
      <c r="S180" s="210">
        <f>IF(L180=0,IF(Q180="Other dry cargo",Alukset_fx!$H$73*(Alukset_Käynnit_Lask!K180^Alukset_fx!$I$73),IF(OR(Q180="Dry Bulk",Q180="Bulk carrier"),Alukset_fx!$H$71*(Alukset_Käynnit_Lask!K180^Alukset_fx!$I$71),IF(Q180="Tugboat",Alukset_fx!$H$78*(Alukset_Käynnit_Lask!K180^Alukset_fx!$I$78),IF(OR(Q180="Tanker",Q180="Gas tanker",Q180="Chemical tanker",Q180="Oil tanker"),Alukset_fx!$H$70*(Alukset_Käynnit_Lask!K180^Alukset_fx!$I$70),IF(Q180="Container ship",Alukset_fx!$H$72*(Alukset_Käynnit_Lask!K180^Alukset_fx!$I$72),IF(Q180="Barge",0,IF(Q180="RoPax",Alukset_fx!$H$75*(Alukset_Käynnit_Lask!K180^Alukset_fx!$I$75),IF(OR(Q180="RoRo",Q180="Vehicle carrier"),Alukset_fx!$H$74*(Alukset_Käynnit_Lask!K180^Alukset_fx!$I$74),Alukset_fx!$H$77*(Alukset_Käynnit_Lask!K180^Alukset_fx!$I$77))))))))),"-")</f>
        <v>0</v>
      </c>
      <c r="T180" s="208">
        <f>IF(R180=0,IF(Q180="Other dry cargo",S180*Alukset_fx!$B$71,IF(OR(Q180="Dry bulk",Q180="Bulk carrier"),S180*Alukset_fx!$B$69,IF(Q180="Tugboat",S180*Alukset_fx!$B$76,IF(OR(Q180="Tanker",Q180="Gas tanker",Q180="Chemical tanker",Q180="Oil tanker"),S180*Alukset_fx!$B$68,IF(OR(Q180="RoRo",Q180="Vehicle carrier"),S180*Alukset_fx!$B$72,IF(Q180="RoPax",S180*Alukset_fx!$B$73,IF(Q180="Container ship",S180*Alukset_fx!$B$70,S180*Alukset_fx!$B$75))))))),"-")</f>
        <v>0</v>
      </c>
      <c r="U180" s="208">
        <f t="shared" si="30"/>
        <v>0</v>
      </c>
      <c r="V180" s="208">
        <f t="shared" si="31"/>
        <v>0</v>
      </c>
      <c r="W180" s="202">
        <f>Alukset_Käynnit!N187</f>
        <v>0</v>
      </c>
      <c r="X180" s="211">
        <f>IF(Q180="Other dry cargo", Alukset_fx!$C$52, IF(OR(Q180="Dry bulk",Q180="Bulk carrier"),Alukset_fx!$C$35,IF(OR(Q180="Tanker",Q180="Gas tanker",Q180="Oil tanker"),Alukset_fx!$C$57,IF(Q180="Chemical tanker",Alukset_fx!$C$56,IF(OR(Q180="Tugboat",Q180="Barge"),0,IF(Q180="Other vessel",Alukset_fx!$C$54,IF(Q180="Container ship",Alukset_fx!$C$37,IF(OR(Q180="RoPax",Q180="RoRo",Q180="Vehicle carrier"),Alukset_fx!$C$55,0))))))))</f>
        <v>0</v>
      </c>
      <c r="Y180" s="211">
        <f>IF(Q180="Other dry cargo", Alukset_fx!$Q$52, IF(OR(Q180="Dry bulk",Q180="Bulk carrier"),Alukset_fx!$Q$35,IF(OR(Q180="Tanker",Q180="Gas tanker",Q180="Oil tanker"),Alukset_fx!$Q$57,IF(Q180="Chemical tanker",Alukset_fx!$Q$56,IF(OR(Q180="Tugboat",Q180="Barge"),0,IF(Q180="Other vessel",Alukset_fx!$Q$54,IF(Q180="Container ship",Alukset_fx!$Q$37,IF(OR(Q180="RoPax",Q180="RoRo",Q180="Vehicle carrier"),Alukset_fx!$Q$55,0))))))))</f>
        <v>0</v>
      </c>
      <c r="Z180" t="str">
        <f t="shared" si="32"/>
        <v>MDO/MGO</v>
      </c>
      <c r="AA180" t="str">
        <f t="shared" si="33"/>
        <v>MSD</v>
      </c>
      <c r="AB180" t="str">
        <f t="shared" si="34"/>
        <v>MDO/MGO</v>
      </c>
      <c r="AC180" t="str">
        <f t="shared" si="35"/>
        <v>MSD</v>
      </c>
      <c r="AD180" t="str">
        <f t="shared" si="36"/>
        <v>MDO/MGO</v>
      </c>
      <c r="AE180" t="str">
        <f t="shared" si="37"/>
        <v>ST</v>
      </c>
      <c r="AG180">
        <f>Alukset_Käynnit!O187</f>
        <v>0</v>
      </c>
      <c r="AH180" s="207">
        <f>IF(AA180="SSD",((U180*Alukset_fx!$B$24)*Alukset_Käynnit_Lask!W180*(Alukset_fx!$K$49)/1000),IF(AA180="MSD",((U180*Alukset_fx!$B$24)*Alukset_Käynnit_Lask!W180*(Alukset_fx!$K$52)/1000),IF(AA180="HSD",((U180*Alukset_fx!$B$24)*Alukset_Käynnit_Lask!W180*(Alukset_fx!$K$55)/1000),0)))</f>
        <v>0</v>
      </c>
      <c r="AI180" s="207">
        <f>IF(AC180="MSD",((V180*Alukset_fx!$B$25)*Alukset_Käynnit_Lask!W180*(Alukset_fx!$L$52)/1000),IF(AC180="HSD",((V180*Alukset_fx!$B$25)*Alukset_Käynnit_Lask!W180*(Alukset_fx!$L$55)/1000),0))</f>
        <v>0</v>
      </c>
      <c r="AJ180" s="207">
        <f>X180*W180*Alukset_fx!$K$61/1000</f>
        <v>0</v>
      </c>
      <c r="AK180">
        <v>0</v>
      </c>
      <c r="AL180" s="207">
        <f>IF(AG180="Käytetty",0,IF(AC180="MSD",((V180*Alukset_fx!$O$25)*Alukset_Käynnit_Lask!O180*(Alukset_fx!$L$52)/1000),IF(AC180="HSD",((V180*Alukset_fx!$O$25)*Alukset_Käynnit_Lask!O180*(Alukset_fx!$L$55)/1000),0)))</f>
        <v>0</v>
      </c>
      <c r="AM180" s="207">
        <f>IF(AG180="Käytetty",0,Y180*O180*Alukset_fx!$K$61/1000)</f>
        <v>0</v>
      </c>
      <c r="AN180" s="213">
        <f t="shared" si="38"/>
        <v>0</v>
      </c>
    </row>
    <row r="181" spans="1:40" x14ac:dyDescent="0.25">
      <c r="A181" s="203">
        <f>Alukset_Käynnit!A188</f>
        <v>0</v>
      </c>
      <c r="B181" s="203">
        <f>Alukset_Käynnit!B188</f>
        <v>0</v>
      </c>
      <c r="C181" s="262">
        <f>Alukset_Käynnit!C188</f>
        <v>0</v>
      </c>
      <c r="D181" s="266">
        <f>Alukset_Käynnit!D188</f>
        <v>0</v>
      </c>
      <c r="E181" s="262">
        <f>Alukset_Käynnit!E188</f>
        <v>0</v>
      </c>
      <c r="F181" s="262">
        <f>Alukset_Käynnit!F188</f>
        <v>0</v>
      </c>
      <c r="G181" s="262">
        <f>Alukset_Käynnit!G188</f>
        <v>0</v>
      </c>
      <c r="H181" s="262">
        <f>Alukset_Käynnit!H188</f>
        <v>0</v>
      </c>
      <c r="I181" s="262">
        <f>Alukset_Käynnit!I188</f>
        <v>0</v>
      </c>
      <c r="J181" s="262">
        <f>Alukset_Käynnit!J188</f>
        <v>0</v>
      </c>
      <c r="K181" s="262">
        <f>Alukset_Käynnit!K188</f>
        <v>0</v>
      </c>
      <c r="L181" s="205">
        <f>Alukset_Käynnit!L188</f>
        <v>0</v>
      </c>
      <c r="N181" s="273">
        <f t="shared" si="39"/>
        <v>0</v>
      </c>
      <c r="O181" s="274">
        <f t="shared" si="40"/>
        <v>0</v>
      </c>
      <c r="Q181" s="204">
        <f t="shared" si="29"/>
        <v>0</v>
      </c>
      <c r="R181" s="202">
        <f>IF(Q181="Other dry cargo",L181*Alukset_fx!$B$71,IF(OR(Q181="Dry bulk",Q181="Bulk carrier"),L181*Alukset_fx!$B$69,IF(Q181="Tugboat",L181*Alukset_fx!$B$76,IF(OR(Q181="Tanker",Q181="Gas tanker",Q181="Chemical tanker",Q181="Oil tanker"),L181*Alukset_fx!$B$68,IF(OR(Q181="RoRo",Q181="Vehicle carrier"),L181*Alukset_fx!$B$72,IF(Q181="RoPax",L181*Alukset_fx!$B$73,IF(Q181="Container ship",L181*Alukset_fx!$B$70,IF(Q181="Barge",0,L181*Alukset_fx!$B$75))))))))</f>
        <v>0</v>
      </c>
      <c r="S181" s="210">
        <f>IF(L181=0,IF(Q181="Other dry cargo",Alukset_fx!$H$73*(Alukset_Käynnit_Lask!K181^Alukset_fx!$I$73),IF(OR(Q181="Dry Bulk",Q181="Bulk carrier"),Alukset_fx!$H$71*(Alukset_Käynnit_Lask!K181^Alukset_fx!$I$71),IF(Q181="Tugboat",Alukset_fx!$H$78*(Alukset_Käynnit_Lask!K181^Alukset_fx!$I$78),IF(OR(Q181="Tanker",Q181="Gas tanker",Q181="Chemical tanker",Q181="Oil tanker"),Alukset_fx!$H$70*(Alukset_Käynnit_Lask!K181^Alukset_fx!$I$70),IF(Q181="Container ship",Alukset_fx!$H$72*(Alukset_Käynnit_Lask!K181^Alukset_fx!$I$72),IF(Q181="Barge",0,IF(Q181="RoPax",Alukset_fx!$H$75*(Alukset_Käynnit_Lask!K181^Alukset_fx!$I$75),IF(OR(Q181="RoRo",Q181="Vehicle carrier"),Alukset_fx!$H$74*(Alukset_Käynnit_Lask!K181^Alukset_fx!$I$74),Alukset_fx!$H$77*(Alukset_Käynnit_Lask!K181^Alukset_fx!$I$77))))))))),"-")</f>
        <v>0</v>
      </c>
      <c r="T181" s="208">
        <f>IF(R181=0,IF(Q181="Other dry cargo",S181*Alukset_fx!$B$71,IF(OR(Q181="Dry bulk",Q181="Bulk carrier"),S181*Alukset_fx!$B$69,IF(Q181="Tugboat",S181*Alukset_fx!$B$76,IF(OR(Q181="Tanker",Q181="Gas tanker",Q181="Chemical tanker",Q181="Oil tanker"),S181*Alukset_fx!$B$68,IF(OR(Q181="RoRo",Q181="Vehicle carrier"),S181*Alukset_fx!$B$72,IF(Q181="RoPax",S181*Alukset_fx!$B$73,IF(Q181="Container ship",S181*Alukset_fx!$B$70,S181*Alukset_fx!$B$75))))))),"-")</f>
        <v>0</v>
      </c>
      <c r="U181" s="208">
        <f t="shared" si="30"/>
        <v>0</v>
      </c>
      <c r="V181" s="208">
        <f t="shared" si="31"/>
        <v>0</v>
      </c>
      <c r="W181" s="202">
        <f>Alukset_Käynnit!N188</f>
        <v>0</v>
      </c>
      <c r="X181" s="211">
        <f>IF(Q181="Other dry cargo", Alukset_fx!$C$52, IF(OR(Q181="Dry bulk",Q181="Bulk carrier"),Alukset_fx!$C$35,IF(OR(Q181="Tanker",Q181="Gas tanker",Q181="Oil tanker"),Alukset_fx!$C$57,IF(Q181="Chemical tanker",Alukset_fx!$C$56,IF(OR(Q181="Tugboat",Q181="Barge"),0,IF(Q181="Other vessel",Alukset_fx!$C$54,IF(Q181="Container ship",Alukset_fx!$C$37,IF(OR(Q181="RoPax",Q181="RoRo",Q181="Vehicle carrier"),Alukset_fx!$C$55,0))))))))</f>
        <v>0</v>
      </c>
      <c r="Y181" s="211">
        <f>IF(Q181="Other dry cargo", Alukset_fx!$Q$52, IF(OR(Q181="Dry bulk",Q181="Bulk carrier"),Alukset_fx!$Q$35,IF(OR(Q181="Tanker",Q181="Gas tanker",Q181="Oil tanker"),Alukset_fx!$Q$57,IF(Q181="Chemical tanker",Alukset_fx!$Q$56,IF(OR(Q181="Tugboat",Q181="Barge"),0,IF(Q181="Other vessel",Alukset_fx!$Q$54,IF(Q181="Container ship",Alukset_fx!$Q$37,IF(OR(Q181="RoPax",Q181="RoRo",Q181="Vehicle carrier"),Alukset_fx!$Q$55,0))))))))</f>
        <v>0</v>
      </c>
      <c r="Z181" t="str">
        <f t="shared" si="32"/>
        <v>MDO/MGO</v>
      </c>
      <c r="AA181" t="str">
        <f t="shared" si="33"/>
        <v>MSD</v>
      </c>
      <c r="AB181" t="str">
        <f t="shared" si="34"/>
        <v>MDO/MGO</v>
      </c>
      <c r="AC181" t="str">
        <f t="shared" si="35"/>
        <v>MSD</v>
      </c>
      <c r="AD181" t="str">
        <f t="shared" si="36"/>
        <v>MDO/MGO</v>
      </c>
      <c r="AE181" t="str">
        <f t="shared" si="37"/>
        <v>ST</v>
      </c>
      <c r="AG181">
        <f>Alukset_Käynnit!O188</f>
        <v>0</v>
      </c>
      <c r="AH181" s="207">
        <f>IF(AA181="SSD",((U181*Alukset_fx!$B$24)*Alukset_Käynnit_Lask!W181*(Alukset_fx!$K$49)/1000),IF(AA181="MSD",((U181*Alukset_fx!$B$24)*Alukset_Käynnit_Lask!W181*(Alukset_fx!$K$52)/1000),IF(AA181="HSD",((U181*Alukset_fx!$B$24)*Alukset_Käynnit_Lask!W181*(Alukset_fx!$K$55)/1000),0)))</f>
        <v>0</v>
      </c>
      <c r="AI181" s="207">
        <f>IF(AC181="MSD",((V181*Alukset_fx!$B$25)*Alukset_Käynnit_Lask!W181*(Alukset_fx!$L$52)/1000),IF(AC181="HSD",((V181*Alukset_fx!$B$25)*Alukset_Käynnit_Lask!W181*(Alukset_fx!$L$55)/1000),0))</f>
        <v>0</v>
      </c>
      <c r="AJ181" s="207">
        <f>X181*W181*Alukset_fx!$K$61/1000</f>
        <v>0</v>
      </c>
      <c r="AK181">
        <v>0</v>
      </c>
      <c r="AL181" s="207">
        <f>IF(AG181="Käytetty",0,IF(AC181="MSD",((V181*Alukset_fx!$O$25)*Alukset_Käynnit_Lask!O181*(Alukset_fx!$L$52)/1000),IF(AC181="HSD",((V181*Alukset_fx!$O$25)*Alukset_Käynnit_Lask!O181*(Alukset_fx!$L$55)/1000),0)))</f>
        <v>0</v>
      </c>
      <c r="AM181" s="207">
        <f>IF(AG181="Käytetty",0,Y181*O181*Alukset_fx!$K$61/1000)</f>
        <v>0</v>
      </c>
      <c r="AN181" s="213">
        <f t="shared" si="38"/>
        <v>0</v>
      </c>
    </row>
    <row r="182" spans="1:40" x14ac:dyDescent="0.25">
      <c r="A182" s="203">
        <f>Alukset_Käynnit!A189</f>
        <v>0</v>
      </c>
      <c r="B182" s="203">
        <f>Alukset_Käynnit!B189</f>
        <v>0</v>
      </c>
      <c r="C182" s="262">
        <f>Alukset_Käynnit!C189</f>
        <v>0</v>
      </c>
      <c r="D182" s="266">
        <f>Alukset_Käynnit!D189</f>
        <v>0</v>
      </c>
      <c r="E182" s="262">
        <f>Alukset_Käynnit!E189</f>
        <v>0</v>
      </c>
      <c r="F182" s="262">
        <f>Alukset_Käynnit!F189</f>
        <v>0</v>
      </c>
      <c r="G182" s="262">
        <f>Alukset_Käynnit!G189</f>
        <v>0</v>
      </c>
      <c r="H182" s="262">
        <f>Alukset_Käynnit!H189</f>
        <v>0</v>
      </c>
      <c r="I182" s="262">
        <f>Alukset_Käynnit!I189</f>
        <v>0</v>
      </c>
      <c r="J182" s="262">
        <f>Alukset_Käynnit!J189</f>
        <v>0</v>
      </c>
      <c r="K182" s="262">
        <f>Alukset_Käynnit!K189</f>
        <v>0</v>
      </c>
      <c r="L182" s="205">
        <f>Alukset_Käynnit!L189</f>
        <v>0</v>
      </c>
      <c r="N182" s="273">
        <f t="shared" si="39"/>
        <v>0</v>
      </c>
      <c r="O182" s="274">
        <f t="shared" si="40"/>
        <v>0</v>
      </c>
      <c r="Q182" s="204">
        <f t="shared" si="29"/>
        <v>0</v>
      </c>
      <c r="R182" s="202">
        <f>IF(Q182="Other dry cargo",L182*Alukset_fx!$B$71,IF(OR(Q182="Dry bulk",Q182="Bulk carrier"),L182*Alukset_fx!$B$69,IF(Q182="Tugboat",L182*Alukset_fx!$B$76,IF(OR(Q182="Tanker",Q182="Gas tanker",Q182="Chemical tanker",Q182="Oil tanker"),L182*Alukset_fx!$B$68,IF(OR(Q182="RoRo",Q182="Vehicle carrier"),L182*Alukset_fx!$B$72,IF(Q182="RoPax",L182*Alukset_fx!$B$73,IF(Q182="Container ship",L182*Alukset_fx!$B$70,IF(Q182="Barge",0,L182*Alukset_fx!$B$75))))))))</f>
        <v>0</v>
      </c>
      <c r="S182" s="210">
        <f>IF(L182=0,IF(Q182="Other dry cargo",Alukset_fx!$H$73*(Alukset_Käynnit_Lask!K182^Alukset_fx!$I$73),IF(OR(Q182="Dry Bulk",Q182="Bulk carrier"),Alukset_fx!$H$71*(Alukset_Käynnit_Lask!K182^Alukset_fx!$I$71),IF(Q182="Tugboat",Alukset_fx!$H$78*(Alukset_Käynnit_Lask!K182^Alukset_fx!$I$78),IF(OR(Q182="Tanker",Q182="Gas tanker",Q182="Chemical tanker",Q182="Oil tanker"),Alukset_fx!$H$70*(Alukset_Käynnit_Lask!K182^Alukset_fx!$I$70),IF(Q182="Container ship",Alukset_fx!$H$72*(Alukset_Käynnit_Lask!K182^Alukset_fx!$I$72),IF(Q182="Barge",0,IF(Q182="RoPax",Alukset_fx!$H$75*(Alukset_Käynnit_Lask!K182^Alukset_fx!$I$75),IF(OR(Q182="RoRo",Q182="Vehicle carrier"),Alukset_fx!$H$74*(Alukset_Käynnit_Lask!K182^Alukset_fx!$I$74),Alukset_fx!$H$77*(Alukset_Käynnit_Lask!K182^Alukset_fx!$I$77))))))))),"-")</f>
        <v>0</v>
      </c>
      <c r="T182" s="208">
        <f>IF(R182=0,IF(Q182="Other dry cargo",S182*Alukset_fx!$B$71,IF(OR(Q182="Dry bulk",Q182="Bulk carrier"),S182*Alukset_fx!$B$69,IF(Q182="Tugboat",S182*Alukset_fx!$B$76,IF(OR(Q182="Tanker",Q182="Gas tanker",Q182="Chemical tanker",Q182="Oil tanker"),S182*Alukset_fx!$B$68,IF(OR(Q182="RoRo",Q182="Vehicle carrier"),S182*Alukset_fx!$B$72,IF(Q182="RoPax",S182*Alukset_fx!$B$73,IF(Q182="Container ship",S182*Alukset_fx!$B$70,S182*Alukset_fx!$B$75))))))),"-")</f>
        <v>0</v>
      </c>
      <c r="U182" s="208">
        <f t="shared" si="30"/>
        <v>0</v>
      </c>
      <c r="V182" s="208">
        <f t="shared" si="31"/>
        <v>0</v>
      </c>
      <c r="W182" s="202">
        <f>Alukset_Käynnit!N189</f>
        <v>0</v>
      </c>
      <c r="X182" s="211">
        <f>IF(Q182="Other dry cargo", Alukset_fx!$C$52, IF(OR(Q182="Dry bulk",Q182="Bulk carrier"),Alukset_fx!$C$35,IF(OR(Q182="Tanker",Q182="Gas tanker",Q182="Oil tanker"),Alukset_fx!$C$57,IF(Q182="Chemical tanker",Alukset_fx!$C$56,IF(OR(Q182="Tugboat",Q182="Barge"),0,IF(Q182="Other vessel",Alukset_fx!$C$54,IF(Q182="Container ship",Alukset_fx!$C$37,IF(OR(Q182="RoPax",Q182="RoRo",Q182="Vehicle carrier"),Alukset_fx!$C$55,0))))))))</f>
        <v>0</v>
      </c>
      <c r="Y182" s="211">
        <f>IF(Q182="Other dry cargo", Alukset_fx!$Q$52, IF(OR(Q182="Dry bulk",Q182="Bulk carrier"),Alukset_fx!$Q$35,IF(OR(Q182="Tanker",Q182="Gas tanker",Q182="Oil tanker"),Alukset_fx!$Q$57,IF(Q182="Chemical tanker",Alukset_fx!$Q$56,IF(OR(Q182="Tugboat",Q182="Barge"),0,IF(Q182="Other vessel",Alukset_fx!$Q$54,IF(Q182="Container ship",Alukset_fx!$Q$37,IF(OR(Q182="RoPax",Q182="RoRo",Q182="Vehicle carrier"),Alukset_fx!$Q$55,0))))))))</f>
        <v>0</v>
      </c>
      <c r="Z182" t="str">
        <f t="shared" si="32"/>
        <v>MDO/MGO</v>
      </c>
      <c r="AA182" t="str">
        <f t="shared" si="33"/>
        <v>MSD</v>
      </c>
      <c r="AB182" t="str">
        <f t="shared" si="34"/>
        <v>MDO/MGO</v>
      </c>
      <c r="AC182" t="str">
        <f t="shared" si="35"/>
        <v>MSD</v>
      </c>
      <c r="AD182" t="str">
        <f t="shared" si="36"/>
        <v>MDO/MGO</v>
      </c>
      <c r="AE182" t="str">
        <f t="shared" si="37"/>
        <v>ST</v>
      </c>
      <c r="AG182">
        <f>Alukset_Käynnit!O189</f>
        <v>0</v>
      </c>
      <c r="AH182" s="207">
        <f>IF(AA182="SSD",((U182*Alukset_fx!$B$24)*Alukset_Käynnit_Lask!W182*(Alukset_fx!$K$49)/1000),IF(AA182="MSD",((U182*Alukset_fx!$B$24)*Alukset_Käynnit_Lask!W182*(Alukset_fx!$K$52)/1000),IF(AA182="HSD",((U182*Alukset_fx!$B$24)*Alukset_Käynnit_Lask!W182*(Alukset_fx!$K$55)/1000),0)))</f>
        <v>0</v>
      </c>
      <c r="AI182" s="207">
        <f>IF(AC182="MSD",((V182*Alukset_fx!$B$25)*Alukset_Käynnit_Lask!W182*(Alukset_fx!$L$52)/1000),IF(AC182="HSD",((V182*Alukset_fx!$B$25)*Alukset_Käynnit_Lask!W182*(Alukset_fx!$L$55)/1000),0))</f>
        <v>0</v>
      </c>
      <c r="AJ182" s="207">
        <f>X182*W182*Alukset_fx!$K$61/1000</f>
        <v>0</v>
      </c>
      <c r="AK182">
        <v>0</v>
      </c>
      <c r="AL182" s="207">
        <f>IF(AG182="Käytetty",0,IF(AC182="MSD",((V182*Alukset_fx!$O$25)*Alukset_Käynnit_Lask!O182*(Alukset_fx!$L$52)/1000),IF(AC182="HSD",((V182*Alukset_fx!$O$25)*Alukset_Käynnit_Lask!O182*(Alukset_fx!$L$55)/1000),0)))</f>
        <v>0</v>
      </c>
      <c r="AM182" s="207">
        <f>IF(AG182="Käytetty",0,Y182*O182*Alukset_fx!$K$61/1000)</f>
        <v>0</v>
      </c>
      <c r="AN182" s="213">
        <f t="shared" si="38"/>
        <v>0</v>
      </c>
    </row>
    <row r="183" spans="1:40" x14ac:dyDescent="0.25">
      <c r="A183" s="203">
        <f>Alukset_Käynnit!A190</f>
        <v>0</v>
      </c>
      <c r="B183" s="203">
        <f>Alukset_Käynnit!B190</f>
        <v>0</v>
      </c>
      <c r="C183" s="262">
        <f>Alukset_Käynnit!C190</f>
        <v>0</v>
      </c>
      <c r="D183" s="266">
        <f>Alukset_Käynnit!D190</f>
        <v>0</v>
      </c>
      <c r="E183" s="262">
        <f>Alukset_Käynnit!E190</f>
        <v>0</v>
      </c>
      <c r="F183" s="262">
        <f>Alukset_Käynnit!F190</f>
        <v>0</v>
      </c>
      <c r="G183" s="262">
        <f>Alukset_Käynnit!G190</f>
        <v>0</v>
      </c>
      <c r="H183" s="262">
        <f>Alukset_Käynnit!H190</f>
        <v>0</v>
      </c>
      <c r="I183" s="262">
        <f>Alukset_Käynnit!I190</f>
        <v>0</v>
      </c>
      <c r="J183" s="262">
        <f>Alukset_Käynnit!J190</f>
        <v>0</v>
      </c>
      <c r="K183" s="262">
        <f>Alukset_Käynnit!K190</f>
        <v>0</v>
      </c>
      <c r="L183" s="205">
        <f>Alukset_Käynnit!L190</f>
        <v>0</v>
      </c>
      <c r="N183" s="273">
        <f t="shared" si="39"/>
        <v>0</v>
      </c>
      <c r="O183" s="274">
        <f t="shared" si="40"/>
        <v>0</v>
      </c>
      <c r="Q183" s="204">
        <f t="shared" si="29"/>
        <v>0</v>
      </c>
      <c r="R183" s="202">
        <f>IF(Q183="Other dry cargo",L183*Alukset_fx!$B$71,IF(OR(Q183="Dry bulk",Q183="Bulk carrier"),L183*Alukset_fx!$B$69,IF(Q183="Tugboat",L183*Alukset_fx!$B$76,IF(OR(Q183="Tanker",Q183="Gas tanker",Q183="Chemical tanker",Q183="Oil tanker"),L183*Alukset_fx!$B$68,IF(OR(Q183="RoRo",Q183="Vehicle carrier"),L183*Alukset_fx!$B$72,IF(Q183="RoPax",L183*Alukset_fx!$B$73,IF(Q183="Container ship",L183*Alukset_fx!$B$70,IF(Q183="Barge",0,L183*Alukset_fx!$B$75))))))))</f>
        <v>0</v>
      </c>
      <c r="S183" s="210">
        <f>IF(L183=0,IF(Q183="Other dry cargo",Alukset_fx!$H$73*(Alukset_Käynnit_Lask!K183^Alukset_fx!$I$73),IF(OR(Q183="Dry Bulk",Q183="Bulk carrier"),Alukset_fx!$H$71*(Alukset_Käynnit_Lask!K183^Alukset_fx!$I$71),IF(Q183="Tugboat",Alukset_fx!$H$78*(Alukset_Käynnit_Lask!K183^Alukset_fx!$I$78),IF(OR(Q183="Tanker",Q183="Gas tanker",Q183="Chemical tanker",Q183="Oil tanker"),Alukset_fx!$H$70*(Alukset_Käynnit_Lask!K183^Alukset_fx!$I$70),IF(Q183="Container ship",Alukset_fx!$H$72*(Alukset_Käynnit_Lask!K183^Alukset_fx!$I$72),IF(Q183="Barge",0,IF(Q183="RoPax",Alukset_fx!$H$75*(Alukset_Käynnit_Lask!K183^Alukset_fx!$I$75),IF(OR(Q183="RoRo",Q183="Vehicle carrier"),Alukset_fx!$H$74*(Alukset_Käynnit_Lask!K183^Alukset_fx!$I$74),Alukset_fx!$H$77*(Alukset_Käynnit_Lask!K183^Alukset_fx!$I$77))))))))),"-")</f>
        <v>0</v>
      </c>
      <c r="T183" s="208">
        <f>IF(R183=0,IF(Q183="Other dry cargo",S183*Alukset_fx!$B$71,IF(OR(Q183="Dry bulk",Q183="Bulk carrier"),S183*Alukset_fx!$B$69,IF(Q183="Tugboat",S183*Alukset_fx!$B$76,IF(OR(Q183="Tanker",Q183="Gas tanker",Q183="Chemical tanker",Q183="Oil tanker"),S183*Alukset_fx!$B$68,IF(OR(Q183="RoRo",Q183="Vehicle carrier"),S183*Alukset_fx!$B$72,IF(Q183="RoPax",S183*Alukset_fx!$B$73,IF(Q183="Container ship",S183*Alukset_fx!$B$70,S183*Alukset_fx!$B$75))))))),"-")</f>
        <v>0</v>
      </c>
      <c r="U183" s="208">
        <f t="shared" si="30"/>
        <v>0</v>
      </c>
      <c r="V183" s="208">
        <f t="shared" si="31"/>
        <v>0</v>
      </c>
      <c r="W183" s="202">
        <f>Alukset_Käynnit!N190</f>
        <v>0</v>
      </c>
      <c r="X183" s="211">
        <f>IF(Q183="Other dry cargo", Alukset_fx!$C$52, IF(OR(Q183="Dry bulk",Q183="Bulk carrier"),Alukset_fx!$C$35,IF(OR(Q183="Tanker",Q183="Gas tanker",Q183="Oil tanker"),Alukset_fx!$C$57,IF(Q183="Chemical tanker",Alukset_fx!$C$56,IF(OR(Q183="Tugboat",Q183="Barge"),0,IF(Q183="Other vessel",Alukset_fx!$C$54,IF(Q183="Container ship",Alukset_fx!$C$37,IF(OR(Q183="RoPax",Q183="RoRo",Q183="Vehicle carrier"),Alukset_fx!$C$55,0))))))))</f>
        <v>0</v>
      </c>
      <c r="Y183" s="211">
        <f>IF(Q183="Other dry cargo", Alukset_fx!$Q$52, IF(OR(Q183="Dry bulk",Q183="Bulk carrier"),Alukset_fx!$Q$35,IF(OR(Q183="Tanker",Q183="Gas tanker",Q183="Oil tanker"),Alukset_fx!$Q$57,IF(Q183="Chemical tanker",Alukset_fx!$Q$56,IF(OR(Q183="Tugboat",Q183="Barge"),0,IF(Q183="Other vessel",Alukset_fx!$Q$54,IF(Q183="Container ship",Alukset_fx!$Q$37,IF(OR(Q183="RoPax",Q183="RoRo",Q183="Vehicle carrier"),Alukset_fx!$Q$55,0))))))))</f>
        <v>0</v>
      </c>
      <c r="Z183" t="str">
        <f t="shared" si="32"/>
        <v>MDO/MGO</v>
      </c>
      <c r="AA183" t="str">
        <f t="shared" si="33"/>
        <v>MSD</v>
      </c>
      <c r="AB183" t="str">
        <f t="shared" si="34"/>
        <v>MDO/MGO</v>
      </c>
      <c r="AC183" t="str">
        <f t="shared" si="35"/>
        <v>MSD</v>
      </c>
      <c r="AD183" t="str">
        <f t="shared" si="36"/>
        <v>MDO/MGO</v>
      </c>
      <c r="AE183" t="str">
        <f t="shared" si="37"/>
        <v>ST</v>
      </c>
      <c r="AG183">
        <f>Alukset_Käynnit!O190</f>
        <v>0</v>
      </c>
      <c r="AH183" s="207">
        <f>IF(AA183="SSD",((U183*Alukset_fx!$B$24)*Alukset_Käynnit_Lask!W183*(Alukset_fx!$K$49)/1000),IF(AA183="MSD",((U183*Alukset_fx!$B$24)*Alukset_Käynnit_Lask!W183*(Alukset_fx!$K$52)/1000),IF(AA183="HSD",((U183*Alukset_fx!$B$24)*Alukset_Käynnit_Lask!W183*(Alukset_fx!$K$55)/1000),0)))</f>
        <v>0</v>
      </c>
      <c r="AI183" s="207">
        <f>IF(AC183="MSD",((V183*Alukset_fx!$B$25)*Alukset_Käynnit_Lask!W183*(Alukset_fx!$L$52)/1000),IF(AC183="HSD",((V183*Alukset_fx!$B$25)*Alukset_Käynnit_Lask!W183*(Alukset_fx!$L$55)/1000),0))</f>
        <v>0</v>
      </c>
      <c r="AJ183" s="207">
        <f>X183*W183*Alukset_fx!$K$61/1000</f>
        <v>0</v>
      </c>
      <c r="AK183">
        <v>0</v>
      </c>
      <c r="AL183" s="207">
        <f>IF(AG183="Käytetty",0,IF(AC183="MSD",((V183*Alukset_fx!$O$25)*Alukset_Käynnit_Lask!O183*(Alukset_fx!$L$52)/1000),IF(AC183="HSD",((V183*Alukset_fx!$O$25)*Alukset_Käynnit_Lask!O183*(Alukset_fx!$L$55)/1000),0)))</f>
        <v>0</v>
      </c>
      <c r="AM183" s="207">
        <f>IF(AG183="Käytetty",0,Y183*O183*Alukset_fx!$K$61/1000)</f>
        <v>0</v>
      </c>
      <c r="AN183" s="213">
        <f t="shared" si="38"/>
        <v>0</v>
      </c>
    </row>
    <row r="184" spans="1:40" x14ac:dyDescent="0.25">
      <c r="A184" s="203">
        <f>Alukset_Käynnit!A191</f>
        <v>0</v>
      </c>
      <c r="B184" s="203">
        <f>Alukset_Käynnit!B191</f>
        <v>0</v>
      </c>
      <c r="C184" s="262">
        <f>Alukset_Käynnit!C191</f>
        <v>0</v>
      </c>
      <c r="D184" s="266">
        <f>Alukset_Käynnit!D191</f>
        <v>0</v>
      </c>
      <c r="E184" s="262">
        <f>Alukset_Käynnit!E191</f>
        <v>0</v>
      </c>
      <c r="F184" s="262">
        <f>Alukset_Käynnit!F191</f>
        <v>0</v>
      </c>
      <c r="G184" s="262">
        <f>Alukset_Käynnit!G191</f>
        <v>0</v>
      </c>
      <c r="H184" s="262">
        <f>Alukset_Käynnit!H191</f>
        <v>0</v>
      </c>
      <c r="I184" s="262">
        <f>Alukset_Käynnit!I191</f>
        <v>0</v>
      </c>
      <c r="J184" s="262">
        <f>Alukset_Käynnit!J191</f>
        <v>0</v>
      </c>
      <c r="K184" s="262">
        <f>Alukset_Käynnit!K191</f>
        <v>0</v>
      </c>
      <c r="L184" s="205">
        <f>Alukset_Käynnit!L191</f>
        <v>0</v>
      </c>
      <c r="N184" s="273">
        <f t="shared" si="39"/>
        <v>0</v>
      </c>
      <c r="O184" s="274">
        <f t="shared" si="40"/>
        <v>0</v>
      </c>
      <c r="Q184" s="204">
        <f t="shared" si="29"/>
        <v>0</v>
      </c>
      <c r="R184" s="202">
        <f>IF(Q184="Other dry cargo",L184*Alukset_fx!$B$71,IF(OR(Q184="Dry bulk",Q184="Bulk carrier"),L184*Alukset_fx!$B$69,IF(Q184="Tugboat",L184*Alukset_fx!$B$76,IF(OR(Q184="Tanker",Q184="Gas tanker",Q184="Chemical tanker",Q184="Oil tanker"),L184*Alukset_fx!$B$68,IF(OR(Q184="RoRo",Q184="Vehicle carrier"),L184*Alukset_fx!$B$72,IF(Q184="RoPax",L184*Alukset_fx!$B$73,IF(Q184="Container ship",L184*Alukset_fx!$B$70,IF(Q184="Barge",0,L184*Alukset_fx!$B$75))))))))</f>
        <v>0</v>
      </c>
      <c r="S184" s="210">
        <f>IF(L184=0,IF(Q184="Other dry cargo",Alukset_fx!$H$73*(Alukset_Käynnit_Lask!K184^Alukset_fx!$I$73),IF(OR(Q184="Dry Bulk",Q184="Bulk carrier"),Alukset_fx!$H$71*(Alukset_Käynnit_Lask!K184^Alukset_fx!$I$71),IF(Q184="Tugboat",Alukset_fx!$H$78*(Alukset_Käynnit_Lask!K184^Alukset_fx!$I$78),IF(OR(Q184="Tanker",Q184="Gas tanker",Q184="Chemical tanker",Q184="Oil tanker"),Alukset_fx!$H$70*(Alukset_Käynnit_Lask!K184^Alukset_fx!$I$70),IF(Q184="Container ship",Alukset_fx!$H$72*(Alukset_Käynnit_Lask!K184^Alukset_fx!$I$72),IF(Q184="Barge",0,IF(Q184="RoPax",Alukset_fx!$H$75*(Alukset_Käynnit_Lask!K184^Alukset_fx!$I$75),IF(OR(Q184="RoRo",Q184="Vehicle carrier"),Alukset_fx!$H$74*(Alukset_Käynnit_Lask!K184^Alukset_fx!$I$74),Alukset_fx!$H$77*(Alukset_Käynnit_Lask!K184^Alukset_fx!$I$77))))))))),"-")</f>
        <v>0</v>
      </c>
      <c r="T184" s="208">
        <f>IF(R184=0,IF(Q184="Other dry cargo",S184*Alukset_fx!$B$71,IF(OR(Q184="Dry bulk",Q184="Bulk carrier"),S184*Alukset_fx!$B$69,IF(Q184="Tugboat",S184*Alukset_fx!$B$76,IF(OR(Q184="Tanker",Q184="Gas tanker",Q184="Chemical tanker",Q184="Oil tanker"),S184*Alukset_fx!$B$68,IF(OR(Q184="RoRo",Q184="Vehicle carrier"),S184*Alukset_fx!$B$72,IF(Q184="RoPax",S184*Alukset_fx!$B$73,IF(Q184="Container ship",S184*Alukset_fx!$B$70,S184*Alukset_fx!$B$75))))))),"-")</f>
        <v>0</v>
      </c>
      <c r="U184" s="208">
        <f t="shared" si="30"/>
        <v>0</v>
      </c>
      <c r="V184" s="208">
        <f t="shared" si="31"/>
        <v>0</v>
      </c>
      <c r="W184" s="202">
        <f>Alukset_Käynnit!N191</f>
        <v>0</v>
      </c>
      <c r="X184" s="211">
        <f>IF(Q184="Other dry cargo", Alukset_fx!$C$52, IF(OR(Q184="Dry bulk",Q184="Bulk carrier"),Alukset_fx!$C$35,IF(OR(Q184="Tanker",Q184="Gas tanker",Q184="Oil tanker"),Alukset_fx!$C$57,IF(Q184="Chemical tanker",Alukset_fx!$C$56,IF(OR(Q184="Tugboat",Q184="Barge"),0,IF(Q184="Other vessel",Alukset_fx!$C$54,IF(Q184="Container ship",Alukset_fx!$C$37,IF(OR(Q184="RoPax",Q184="RoRo",Q184="Vehicle carrier"),Alukset_fx!$C$55,0))))))))</f>
        <v>0</v>
      </c>
      <c r="Y184" s="211">
        <f>IF(Q184="Other dry cargo", Alukset_fx!$Q$52, IF(OR(Q184="Dry bulk",Q184="Bulk carrier"),Alukset_fx!$Q$35,IF(OR(Q184="Tanker",Q184="Gas tanker",Q184="Oil tanker"),Alukset_fx!$Q$57,IF(Q184="Chemical tanker",Alukset_fx!$Q$56,IF(OR(Q184="Tugboat",Q184="Barge"),0,IF(Q184="Other vessel",Alukset_fx!$Q$54,IF(Q184="Container ship",Alukset_fx!$Q$37,IF(OR(Q184="RoPax",Q184="RoRo",Q184="Vehicle carrier"),Alukset_fx!$Q$55,0))))))))</f>
        <v>0</v>
      </c>
      <c r="Z184" t="str">
        <f t="shared" si="32"/>
        <v>MDO/MGO</v>
      </c>
      <c r="AA184" t="str">
        <f t="shared" si="33"/>
        <v>MSD</v>
      </c>
      <c r="AB184" t="str">
        <f t="shared" si="34"/>
        <v>MDO/MGO</v>
      </c>
      <c r="AC184" t="str">
        <f t="shared" si="35"/>
        <v>MSD</v>
      </c>
      <c r="AD184" t="str">
        <f t="shared" si="36"/>
        <v>MDO/MGO</v>
      </c>
      <c r="AE184" t="str">
        <f t="shared" si="37"/>
        <v>ST</v>
      </c>
      <c r="AG184">
        <f>Alukset_Käynnit!O191</f>
        <v>0</v>
      </c>
      <c r="AH184" s="207">
        <f>IF(AA184="SSD",((U184*Alukset_fx!$B$24)*Alukset_Käynnit_Lask!W184*(Alukset_fx!$K$49)/1000),IF(AA184="MSD",((U184*Alukset_fx!$B$24)*Alukset_Käynnit_Lask!W184*(Alukset_fx!$K$52)/1000),IF(AA184="HSD",((U184*Alukset_fx!$B$24)*Alukset_Käynnit_Lask!W184*(Alukset_fx!$K$55)/1000),0)))</f>
        <v>0</v>
      </c>
      <c r="AI184" s="207">
        <f>IF(AC184="MSD",((V184*Alukset_fx!$B$25)*Alukset_Käynnit_Lask!W184*(Alukset_fx!$L$52)/1000),IF(AC184="HSD",((V184*Alukset_fx!$B$25)*Alukset_Käynnit_Lask!W184*(Alukset_fx!$L$55)/1000),0))</f>
        <v>0</v>
      </c>
      <c r="AJ184" s="207">
        <f>X184*W184*Alukset_fx!$K$61/1000</f>
        <v>0</v>
      </c>
      <c r="AK184">
        <v>0</v>
      </c>
      <c r="AL184" s="207">
        <f>IF(AG184="Käytetty",0,IF(AC184="MSD",((V184*Alukset_fx!$O$25)*Alukset_Käynnit_Lask!O184*(Alukset_fx!$L$52)/1000),IF(AC184="HSD",((V184*Alukset_fx!$O$25)*Alukset_Käynnit_Lask!O184*(Alukset_fx!$L$55)/1000),0)))</f>
        <v>0</v>
      </c>
      <c r="AM184" s="207">
        <f>IF(AG184="Käytetty",0,Y184*O184*Alukset_fx!$K$61/1000)</f>
        <v>0</v>
      </c>
      <c r="AN184" s="213">
        <f t="shared" si="38"/>
        <v>0</v>
      </c>
    </row>
    <row r="185" spans="1:40" x14ac:dyDescent="0.25">
      <c r="A185" s="203">
        <f>Alukset_Käynnit!A192</f>
        <v>0</v>
      </c>
      <c r="B185" s="203">
        <f>Alukset_Käynnit!B192</f>
        <v>0</v>
      </c>
      <c r="C185" s="262">
        <f>Alukset_Käynnit!C192</f>
        <v>0</v>
      </c>
      <c r="D185" s="266">
        <f>Alukset_Käynnit!D192</f>
        <v>0</v>
      </c>
      <c r="E185" s="262">
        <f>Alukset_Käynnit!E192</f>
        <v>0</v>
      </c>
      <c r="F185" s="262">
        <f>Alukset_Käynnit!F192</f>
        <v>0</v>
      </c>
      <c r="G185" s="262">
        <f>Alukset_Käynnit!G192</f>
        <v>0</v>
      </c>
      <c r="H185" s="262">
        <f>Alukset_Käynnit!H192</f>
        <v>0</v>
      </c>
      <c r="I185" s="262">
        <f>Alukset_Käynnit!I192</f>
        <v>0</v>
      </c>
      <c r="J185" s="262">
        <f>Alukset_Käynnit!J192</f>
        <v>0</v>
      </c>
      <c r="K185" s="262">
        <f>Alukset_Käynnit!K192</f>
        <v>0</v>
      </c>
      <c r="L185" s="205">
        <f>Alukset_Käynnit!L192</f>
        <v>0</v>
      </c>
      <c r="N185" s="273">
        <f t="shared" si="39"/>
        <v>0</v>
      </c>
      <c r="O185" s="274">
        <f t="shared" si="40"/>
        <v>0</v>
      </c>
      <c r="Q185" s="204">
        <f t="shared" si="29"/>
        <v>0</v>
      </c>
      <c r="R185" s="202">
        <f>IF(Q185="Other dry cargo",L185*Alukset_fx!$B$71,IF(OR(Q185="Dry bulk",Q185="Bulk carrier"),L185*Alukset_fx!$B$69,IF(Q185="Tugboat",L185*Alukset_fx!$B$76,IF(OR(Q185="Tanker",Q185="Gas tanker",Q185="Chemical tanker",Q185="Oil tanker"),L185*Alukset_fx!$B$68,IF(OR(Q185="RoRo",Q185="Vehicle carrier"),L185*Alukset_fx!$B$72,IF(Q185="RoPax",L185*Alukset_fx!$B$73,IF(Q185="Container ship",L185*Alukset_fx!$B$70,IF(Q185="Barge",0,L185*Alukset_fx!$B$75))))))))</f>
        <v>0</v>
      </c>
      <c r="S185" s="210">
        <f>IF(L185=0,IF(Q185="Other dry cargo",Alukset_fx!$H$73*(Alukset_Käynnit_Lask!K185^Alukset_fx!$I$73),IF(OR(Q185="Dry Bulk",Q185="Bulk carrier"),Alukset_fx!$H$71*(Alukset_Käynnit_Lask!K185^Alukset_fx!$I$71),IF(Q185="Tugboat",Alukset_fx!$H$78*(Alukset_Käynnit_Lask!K185^Alukset_fx!$I$78),IF(OR(Q185="Tanker",Q185="Gas tanker",Q185="Chemical tanker",Q185="Oil tanker"),Alukset_fx!$H$70*(Alukset_Käynnit_Lask!K185^Alukset_fx!$I$70),IF(Q185="Container ship",Alukset_fx!$H$72*(Alukset_Käynnit_Lask!K185^Alukset_fx!$I$72),IF(Q185="Barge",0,IF(Q185="RoPax",Alukset_fx!$H$75*(Alukset_Käynnit_Lask!K185^Alukset_fx!$I$75),IF(OR(Q185="RoRo",Q185="Vehicle carrier"),Alukset_fx!$H$74*(Alukset_Käynnit_Lask!K185^Alukset_fx!$I$74),Alukset_fx!$H$77*(Alukset_Käynnit_Lask!K185^Alukset_fx!$I$77))))))))),"-")</f>
        <v>0</v>
      </c>
      <c r="T185" s="208">
        <f>IF(R185=0,IF(Q185="Other dry cargo",S185*Alukset_fx!$B$71,IF(OR(Q185="Dry bulk",Q185="Bulk carrier"),S185*Alukset_fx!$B$69,IF(Q185="Tugboat",S185*Alukset_fx!$B$76,IF(OR(Q185="Tanker",Q185="Gas tanker",Q185="Chemical tanker",Q185="Oil tanker"),S185*Alukset_fx!$B$68,IF(OR(Q185="RoRo",Q185="Vehicle carrier"),S185*Alukset_fx!$B$72,IF(Q185="RoPax",S185*Alukset_fx!$B$73,IF(Q185="Container ship",S185*Alukset_fx!$B$70,S185*Alukset_fx!$B$75))))))),"-")</f>
        <v>0</v>
      </c>
      <c r="U185" s="208">
        <f t="shared" si="30"/>
        <v>0</v>
      </c>
      <c r="V185" s="208">
        <f t="shared" si="31"/>
        <v>0</v>
      </c>
      <c r="W185" s="202">
        <f>Alukset_Käynnit!N192</f>
        <v>0</v>
      </c>
      <c r="X185" s="211">
        <f>IF(Q185="Other dry cargo", Alukset_fx!$C$52, IF(OR(Q185="Dry bulk",Q185="Bulk carrier"),Alukset_fx!$C$35,IF(OR(Q185="Tanker",Q185="Gas tanker",Q185="Oil tanker"),Alukset_fx!$C$57,IF(Q185="Chemical tanker",Alukset_fx!$C$56,IF(OR(Q185="Tugboat",Q185="Barge"),0,IF(Q185="Other vessel",Alukset_fx!$C$54,IF(Q185="Container ship",Alukset_fx!$C$37,IF(OR(Q185="RoPax",Q185="RoRo",Q185="Vehicle carrier"),Alukset_fx!$C$55,0))))))))</f>
        <v>0</v>
      </c>
      <c r="Y185" s="211">
        <f>IF(Q185="Other dry cargo", Alukset_fx!$Q$52, IF(OR(Q185="Dry bulk",Q185="Bulk carrier"),Alukset_fx!$Q$35,IF(OR(Q185="Tanker",Q185="Gas tanker",Q185="Oil tanker"),Alukset_fx!$Q$57,IF(Q185="Chemical tanker",Alukset_fx!$Q$56,IF(OR(Q185="Tugboat",Q185="Barge"),0,IF(Q185="Other vessel",Alukset_fx!$Q$54,IF(Q185="Container ship",Alukset_fx!$Q$37,IF(OR(Q185="RoPax",Q185="RoRo",Q185="Vehicle carrier"),Alukset_fx!$Q$55,0))))))))</f>
        <v>0</v>
      </c>
      <c r="Z185" t="str">
        <f t="shared" si="32"/>
        <v>MDO/MGO</v>
      </c>
      <c r="AA185" t="str">
        <f t="shared" si="33"/>
        <v>MSD</v>
      </c>
      <c r="AB185" t="str">
        <f t="shared" si="34"/>
        <v>MDO/MGO</v>
      </c>
      <c r="AC185" t="str">
        <f t="shared" si="35"/>
        <v>MSD</v>
      </c>
      <c r="AD185" t="str">
        <f t="shared" si="36"/>
        <v>MDO/MGO</v>
      </c>
      <c r="AE185" t="str">
        <f t="shared" si="37"/>
        <v>ST</v>
      </c>
      <c r="AG185">
        <f>Alukset_Käynnit!O192</f>
        <v>0</v>
      </c>
      <c r="AH185" s="207">
        <f>IF(AA185="SSD",((U185*Alukset_fx!$B$24)*Alukset_Käynnit_Lask!W185*(Alukset_fx!$K$49)/1000),IF(AA185="MSD",((U185*Alukset_fx!$B$24)*Alukset_Käynnit_Lask!W185*(Alukset_fx!$K$52)/1000),IF(AA185="HSD",((U185*Alukset_fx!$B$24)*Alukset_Käynnit_Lask!W185*(Alukset_fx!$K$55)/1000),0)))</f>
        <v>0</v>
      </c>
      <c r="AI185" s="207">
        <f>IF(AC185="MSD",((V185*Alukset_fx!$B$25)*Alukset_Käynnit_Lask!W185*(Alukset_fx!$L$52)/1000),IF(AC185="HSD",((V185*Alukset_fx!$B$25)*Alukset_Käynnit_Lask!W185*(Alukset_fx!$L$55)/1000),0))</f>
        <v>0</v>
      </c>
      <c r="AJ185" s="207">
        <f>X185*W185*Alukset_fx!$K$61/1000</f>
        <v>0</v>
      </c>
      <c r="AK185">
        <v>0</v>
      </c>
      <c r="AL185" s="207">
        <f>IF(AG185="Käytetty",0,IF(AC185="MSD",((V185*Alukset_fx!$O$25)*Alukset_Käynnit_Lask!O185*(Alukset_fx!$L$52)/1000),IF(AC185="HSD",((V185*Alukset_fx!$O$25)*Alukset_Käynnit_Lask!O185*(Alukset_fx!$L$55)/1000),0)))</f>
        <v>0</v>
      </c>
      <c r="AM185" s="207">
        <f>IF(AG185="Käytetty",0,Y185*O185*Alukset_fx!$K$61/1000)</f>
        <v>0</v>
      </c>
      <c r="AN185" s="213">
        <f t="shared" si="38"/>
        <v>0</v>
      </c>
    </row>
    <row r="186" spans="1:40" x14ac:dyDescent="0.25">
      <c r="A186" s="203">
        <f>Alukset_Käynnit!A193</f>
        <v>0</v>
      </c>
      <c r="B186" s="203">
        <f>Alukset_Käynnit!B193</f>
        <v>0</v>
      </c>
      <c r="C186" s="262">
        <f>Alukset_Käynnit!C193</f>
        <v>0</v>
      </c>
      <c r="D186" s="266">
        <f>Alukset_Käynnit!D193</f>
        <v>0</v>
      </c>
      <c r="E186" s="262">
        <f>Alukset_Käynnit!E193</f>
        <v>0</v>
      </c>
      <c r="F186" s="262">
        <f>Alukset_Käynnit!F193</f>
        <v>0</v>
      </c>
      <c r="G186" s="262">
        <f>Alukset_Käynnit!G193</f>
        <v>0</v>
      </c>
      <c r="H186" s="262">
        <f>Alukset_Käynnit!H193</f>
        <v>0</v>
      </c>
      <c r="I186" s="262">
        <f>Alukset_Käynnit!I193</f>
        <v>0</v>
      </c>
      <c r="J186" s="262">
        <f>Alukset_Käynnit!J193</f>
        <v>0</v>
      </c>
      <c r="K186" s="262">
        <f>Alukset_Käynnit!K193</f>
        <v>0</v>
      </c>
      <c r="L186" s="205">
        <f>Alukset_Käynnit!L193</f>
        <v>0</v>
      </c>
      <c r="N186" s="273">
        <f t="shared" si="39"/>
        <v>0</v>
      </c>
      <c r="O186" s="274">
        <f t="shared" si="40"/>
        <v>0</v>
      </c>
      <c r="Q186" s="204">
        <f t="shared" si="29"/>
        <v>0</v>
      </c>
      <c r="R186" s="202">
        <f>IF(Q186="Other dry cargo",L186*Alukset_fx!$B$71,IF(OR(Q186="Dry bulk",Q186="Bulk carrier"),L186*Alukset_fx!$B$69,IF(Q186="Tugboat",L186*Alukset_fx!$B$76,IF(OR(Q186="Tanker",Q186="Gas tanker",Q186="Chemical tanker",Q186="Oil tanker"),L186*Alukset_fx!$B$68,IF(OR(Q186="RoRo",Q186="Vehicle carrier"),L186*Alukset_fx!$B$72,IF(Q186="RoPax",L186*Alukset_fx!$B$73,IF(Q186="Container ship",L186*Alukset_fx!$B$70,IF(Q186="Barge",0,L186*Alukset_fx!$B$75))))))))</f>
        <v>0</v>
      </c>
      <c r="S186" s="210">
        <f>IF(L186=0,IF(Q186="Other dry cargo",Alukset_fx!$H$73*(Alukset_Käynnit_Lask!K186^Alukset_fx!$I$73),IF(OR(Q186="Dry Bulk",Q186="Bulk carrier"),Alukset_fx!$H$71*(Alukset_Käynnit_Lask!K186^Alukset_fx!$I$71),IF(Q186="Tugboat",Alukset_fx!$H$78*(Alukset_Käynnit_Lask!K186^Alukset_fx!$I$78),IF(OR(Q186="Tanker",Q186="Gas tanker",Q186="Chemical tanker",Q186="Oil tanker"),Alukset_fx!$H$70*(Alukset_Käynnit_Lask!K186^Alukset_fx!$I$70),IF(Q186="Container ship",Alukset_fx!$H$72*(Alukset_Käynnit_Lask!K186^Alukset_fx!$I$72),IF(Q186="Barge",0,IF(Q186="RoPax",Alukset_fx!$H$75*(Alukset_Käynnit_Lask!K186^Alukset_fx!$I$75),IF(OR(Q186="RoRo",Q186="Vehicle carrier"),Alukset_fx!$H$74*(Alukset_Käynnit_Lask!K186^Alukset_fx!$I$74),Alukset_fx!$H$77*(Alukset_Käynnit_Lask!K186^Alukset_fx!$I$77))))))))),"-")</f>
        <v>0</v>
      </c>
      <c r="T186" s="208">
        <f>IF(R186=0,IF(Q186="Other dry cargo",S186*Alukset_fx!$B$71,IF(OR(Q186="Dry bulk",Q186="Bulk carrier"),S186*Alukset_fx!$B$69,IF(Q186="Tugboat",S186*Alukset_fx!$B$76,IF(OR(Q186="Tanker",Q186="Gas tanker",Q186="Chemical tanker",Q186="Oil tanker"),S186*Alukset_fx!$B$68,IF(OR(Q186="RoRo",Q186="Vehicle carrier"),S186*Alukset_fx!$B$72,IF(Q186="RoPax",S186*Alukset_fx!$B$73,IF(Q186="Container ship",S186*Alukset_fx!$B$70,S186*Alukset_fx!$B$75))))))),"-")</f>
        <v>0</v>
      </c>
      <c r="U186" s="208">
        <f t="shared" si="30"/>
        <v>0</v>
      </c>
      <c r="V186" s="208">
        <f t="shared" si="31"/>
        <v>0</v>
      </c>
      <c r="W186" s="202">
        <f>Alukset_Käynnit!N193</f>
        <v>0</v>
      </c>
      <c r="X186" s="211">
        <f>IF(Q186="Other dry cargo", Alukset_fx!$C$52, IF(OR(Q186="Dry bulk",Q186="Bulk carrier"),Alukset_fx!$C$35,IF(OR(Q186="Tanker",Q186="Gas tanker",Q186="Oil tanker"),Alukset_fx!$C$57,IF(Q186="Chemical tanker",Alukset_fx!$C$56,IF(OR(Q186="Tugboat",Q186="Barge"),0,IF(Q186="Other vessel",Alukset_fx!$C$54,IF(Q186="Container ship",Alukset_fx!$C$37,IF(OR(Q186="RoPax",Q186="RoRo",Q186="Vehicle carrier"),Alukset_fx!$C$55,0))))))))</f>
        <v>0</v>
      </c>
      <c r="Y186" s="211">
        <f>IF(Q186="Other dry cargo", Alukset_fx!$Q$52, IF(OR(Q186="Dry bulk",Q186="Bulk carrier"),Alukset_fx!$Q$35,IF(OR(Q186="Tanker",Q186="Gas tanker",Q186="Oil tanker"),Alukset_fx!$Q$57,IF(Q186="Chemical tanker",Alukset_fx!$Q$56,IF(OR(Q186="Tugboat",Q186="Barge"),0,IF(Q186="Other vessel",Alukset_fx!$Q$54,IF(Q186="Container ship",Alukset_fx!$Q$37,IF(OR(Q186="RoPax",Q186="RoRo",Q186="Vehicle carrier"),Alukset_fx!$Q$55,0))))))))</f>
        <v>0</v>
      </c>
      <c r="Z186" t="str">
        <f t="shared" si="32"/>
        <v>MDO/MGO</v>
      </c>
      <c r="AA186" t="str">
        <f t="shared" si="33"/>
        <v>MSD</v>
      </c>
      <c r="AB186" t="str">
        <f t="shared" si="34"/>
        <v>MDO/MGO</v>
      </c>
      <c r="AC186" t="str">
        <f t="shared" si="35"/>
        <v>MSD</v>
      </c>
      <c r="AD186" t="str">
        <f t="shared" si="36"/>
        <v>MDO/MGO</v>
      </c>
      <c r="AE186" t="str">
        <f t="shared" si="37"/>
        <v>ST</v>
      </c>
      <c r="AG186">
        <f>Alukset_Käynnit!O193</f>
        <v>0</v>
      </c>
      <c r="AH186" s="207">
        <f>IF(AA186="SSD",((U186*Alukset_fx!$B$24)*Alukset_Käynnit_Lask!W186*(Alukset_fx!$K$49)/1000),IF(AA186="MSD",((U186*Alukset_fx!$B$24)*Alukset_Käynnit_Lask!W186*(Alukset_fx!$K$52)/1000),IF(AA186="HSD",((U186*Alukset_fx!$B$24)*Alukset_Käynnit_Lask!W186*(Alukset_fx!$K$55)/1000),0)))</f>
        <v>0</v>
      </c>
      <c r="AI186" s="207">
        <f>IF(AC186="MSD",((V186*Alukset_fx!$B$25)*Alukset_Käynnit_Lask!W186*(Alukset_fx!$L$52)/1000),IF(AC186="HSD",((V186*Alukset_fx!$B$25)*Alukset_Käynnit_Lask!W186*(Alukset_fx!$L$55)/1000),0))</f>
        <v>0</v>
      </c>
      <c r="AJ186" s="207">
        <f>X186*W186*Alukset_fx!$K$61/1000</f>
        <v>0</v>
      </c>
      <c r="AK186">
        <v>0</v>
      </c>
      <c r="AL186" s="207">
        <f>IF(AG186="Käytetty",0,IF(AC186="MSD",((V186*Alukset_fx!$O$25)*Alukset_Käynnit_Lask!O186*(Alukset_fx!$L$52)/1000),IF(AC186="HSD",((V186*Alukset_fx!$O$25)*Alukset_Käynnit_Lask!O186*(Alukset_fx!$L$55)/1000),0)))</f>
        <v>0</v>
      </c>
      <c r="AM186" s="207">
        <f>IF(AG186="Käytetty",0,Y186*O186*Alukset_fx!$K$61/1000)</f>
        <v>0</v>
      </c>
      <c r="AN186" s="213">
        <f t="shared" si="38"/>
        <v>0</v>
      </c>
    </row>
    <row r="187" spans="1:40" x14ac:dyDescent="0.25">
      <c r="A187" s="203">
        <f>Alukset_Käynnit!A194</f>
        <v>0</v>
      </c>
      <c r="B187" s="203">
        <f>Alukset_Käynnit!B194</f>
        <v>0</v>
      </c>
      <c r="C187" s="262">
        <f>Alukset_Käynnit!C194</f>
        <v>0</v>
      </c>
      <c r="D187" s="266">
        <f>Alukset_Käynnit!D194</f>
        <v>0</v>
      </c>
      <c r="E187" s="262">
        <f>Alukset_Käynnit!E194</f>
        <v>0</v>
      </c>
      <c r="F187" s="262">
        <f>Alukset_Käynnit!F194</f>
        <v>0</v>
      </c>
      <c r="G187" s="262">
        <f>Alukset_Käynnit!G194</f>
        <v>0</v>
      </c>
      <c r="H187" s="262">
        <f>Alukset_Käynnit!H194</f>
        <v>0</v>
      </c>
      <c r="I187" s="262">
        <f>Alukset_Käynnit!I194</f>
        <v>0</v>
      </c>
      <c r="J187" s="262">
        <f>Alukset_Käynnit!J194</f>
        <v>0</v>
      </c>
      <c r="K187" s="262">
        <f>Alukset_Käynnit!K194</f>
        <v>0</v>
      </c>
      <c r="L187" s="205">
        <f>Alukset_Käynnit!L194</f>
        <v>0</v>
      </c>
      <c r="N187" s="273">
        <f t="shared" si="39"/>
        <v>0</v>
      </c>
      <c r="O187" s="274">
        <f t="shared" si="40"/>
        <v>0</v>
      </c>
      <c r="Q187" s="204">
        <f t="shared" si="29"/>
        <v>0</v>
      </c>
      <c r="R187" s="202">
        <f>IF(Q187="Other dry cargo",L187*Alukset_fx!$B$71,IF(OR(Q187="Dry bulk",Q187="Bulk carrier"),L187*Alukset_fx!$B$69,IF(Q187="Tugboat",L187*Alukset_fx!$B$76,IF(OR(Q187="Tanker",Q187="Gas tanker",Q187="Chemical tanker",Q187="Oil tanker"),L187*Alukset_fx!$B$68,IF(OR(Q187="RoRo",Q187="Vehicle carrier"),L187*Alukset_fx!$B$72,IF(Q187="RoPax",L187*Alukset_fx!$B$73,IF(Q187="Container ship",L187*Alukset_fx!$B$70,IF(Q187="Barge",0,L187*Alukset_fx!$B$75))))))))</f>
        <v>0</v>
      </c>
      <c r="S187" s="210">
        <f>IF(L187=0,IF(Q187="Other dry cargo",Alukset_fx!$H$73*(Alukset_Käynnit_Lask!K187^Alukset_fx!$I$73),IF(OR(Q187="Dry Bulk",Q187="Bulk carrier"),Alukset_fx!$H$71*(Alukset_Käynnit_Lask!K187^Alukset_fx!$I$71),IF(Q187="Tugboat",Alukset_fx!$H$78*(Alukset_Käynnit_Lask!K187^Alukset_fx!$I$78),IF(OR(Q187="Tanker",Q187="Gas tanker",Q187="Chemical tanker",Q187="Oil tanker"),Alukset_fx!$H$70*(Alukset_Käynnit_Lask!K187^Alukset_fx!$I$70),IF(Q187="Container ship",Alukset_fx!$H$72*(Alukset_Käynnit_Lask!K187^Alukset_fx!$I$72),IF(Q187="Barge",0,IF(Q187="RoPax",Alukset_fx!$H$75*(Alukset_Käynnit_Lask!K187^Alukset_fx!$I$75),IF(OR(Q187="RoRo",Q187="Vehicle carrier"),Alukset_fx!$H$74*(Alukset_Käynnit_Lask!K187^Alukset_fx!$I$74),Alukset_fx!$H$77*(Alukset_Käynnit_Lask!K187^Alukset_fx!$I$77))))))))),"-")</f>
        <v>0</v>
      </c>
      <c r="T187" s="208">
        <f>IF(R187=0,IF(Q187="Other dry cargo",S187*Alukset_fx!$B$71,IF(OR(Q187="Dry bulk",Q187="Bulk carrier"),S187*Alukset_fx!$B$69,IF(Q187="Tugboat",S187*Alukset_fx!$B$76,IF(OR(Q187="Tanker",Q187="Gas tanker",Q187="Chemical tanker",Q187="Oil tanker"),S187*Alukset_fx!$B$68,IF(OR(Q187="RoRo",Q187="Vehicle carrier"),S187*Alukset_fx!$B$72,IF(Q187="RoPax",S187*Alukset_fx!$B$73,IF(Q187="Container ship",S187*Alukset_fx!$B$70,S187*Alukset_fx!$B$75))))))),"-")</f>
        <v>0</v>
      </c>
      <c r="U187" s="208">
        <f t="shared" si="30"/>
        <v>0</v>
      </c>
      <c r="V187" s="208">
        <f t="shared" si="31"/>
        <v>0</v>
      </c>
      <c r="W187" s="202">
        <f>Alukset_Käynnit!N194</f>
        <v>0</v>
      </c>
      <c r="X187" s="211">
        <f>IF(Q187="Other dry cargo", Alukset_fx!$C$52, IF(OR(Q187="Dry bulk",Q187="Bulk carrier"),Alukset_fx!$C$35,IF(OR(Q187="Tanker",Q187="Gas tanker",Q187="Oil tanker"),Alukset_fx!$C$57,IF(Q187="Chemical tanker",Alukset_fx!$C$56,IF(OR(Q187="Tugboat",Q187="Barge"),0,IF(Q187="Other vessel",Alukset_fx!$C$54,IF(Q187="Container ship",Alukset_fx!$C$37,IF(OR(Q187="RoPax",Q187="RoRo",Q187="Vehicle carrier"),Alukset_fx!$C$55,0))))))))</f>
        <v>0</v>
      </c>
      <c r="Y187" s="211">
        <f>IF(Q187="Other dry cargo", Alukset_fx!$Q$52, IF(OR(Q187="Dry bulk",Q187="Bulk carrier"),Alukset_fx!$Q$35,IF(OR(Q187="Tanker",Q187="Gas tanker",Q187="Oil tanker"),Alukset_fx!$Q$57,IF(Q187="Chemical tanker",Alukset_fx!$Q$56,IF(OR(Q187="Tugboat",Q187="Barge"),0,IF(Q187="Other vessel",Alukset_fx!$Q$54,IF(Q187="Container ship",Alukset_fx!$Q$37,IF(OR(Q187="RoPax",Q187="RoRo",Q187="Vehicle carrier"),Alukset_fx!$Q$55,0))))))))</f>
        <v>0</v>
      </c>
      <c r="Z187" t="str">
        <f t="shared" si="32"/>
        <v>MDO/MGO</v>
      </c>
      <c r="AA187" t="str">
        <f t="shared" si="33"/>
        <v>MSD</v>
      </c>
      <c r="AB187" t="str">
        <f t="shared" si="34"/>
        <v>MDO/MGO</v>
      </c>
      <c r="AC187" t="str">
        <f t="shared" si="35"/>
        <v>MSD</v>
      </c>
      <c r="AD187" t="str">
        <f t="shared" si="36"/>
        <v>MDO/MGO</v>
      </c>
      <c r="AE187" t="str">
        <f t="shared" si="37"/>
        <v>ST</v>
      </c>
      <c r="AG187">
        <f>Alukset_Käynnit!O194</f>
        <v>0</v>
      </c>
      <c r="AH187" s="207">
        <f>IF(AA187="SSD",((U187*Alukset_fx!$B$24)*Alukset_Käynnit_Lask!W187*(Alukset_fx!$K$49)/1000),IF(AA187="MSD",((U187*Alukset_fx!$B$24)*Alukset_Käynnit_Lask!W187*(Alukset_fx!$K$52)/1000),IF(AA187="HSD",((U187*Alukset_fx!$B$24)*Alukset_Käynnit_Lask!W187*(Alukset_fx!$K$55)/1000),0)))</f>
        <v>0</v>
      </c>
      <c r="AI187" s="207">
        <f>IF(AC187="MSD",((V187*Alukset_fx!$B$25)*Alukset_Käynnit_Lask!W187*(Alukset_fx!$L$52)/1000),IF(AC187="HSD",((V187*Alukset_fx!$B$25)*Alukset_Käynnit_Lask!W187*(Alukset_fx!$L$55)/1000),0))</f>
        <v>0</v>
      </c>
      <c r="AJ187" s="207">
        <f>X187*W187*Alukset_fx!$K$61/1000</f>
        <v>0</v>
      </c>
      <c r="AK187">
        <v>0</v>
      </c>
      <c r="AL187" s="207">
        <f>IF(AG187="Käytetty",0,IF(AC187="MSD",((V187*Alukset_fx!$O$25)*Alukset_Käynnit_Lask!O187*(Alukset_fx!$L$52)/1000),IF(AC187="HSD",((V187*Alukset_fx!$O$25)*Alukset_Käynnit_Lask!O187*(Alukset_fx!$L$55)/1000),0)))</f>
        <v>0</v>
      </c>
      <c r="AM187" s="207">
        <f>IF(AG187="Käytetty",0,Y187*O187*Alukset_fx!$K$61/1000)</f>
        <v>0</v>
      </c>
      <c r="AN187" s="213">
        <f t="shared" si="38"/>
        <v>0</v>
      </c>
    </row>
    <row r="188" spans="1:40" x14ac:dyDescent="0.25">
      <c r="A188" s="203">
        <f>Alukset_Käynnit!A195</f>
        <v>0</v>
      </c>
      <c r="B188" s="203">
        <f>Alukset_Käynnit!B195</f>
        <v>0</v>
      </c>
      <c r="C188" s="262">
        <f>Alukset_Käynnit!C195</f>
        <v>0</v>
      </c>
      <c r="D188" s="266">
        <f>Alukset_Käynnit!D195</f>
        <v>0</v>
      </c>
      <c r="E188" s="262">
        <f>Alukset_Käynnit!E195</f>
        <v>0</v>
      </c>
      <c r="F188" s="262">
        <f>Alukset_Käynnit!F195</f>
        <v>0</v>
      </c>
      <c r="G188" s="262">
        <f>Alukset_Käynnit!G195</f>
        <v>0</v>
      </c>
      <c r="H188" s="262">
        <f>Alukset_Käynnit!H195</f>
        <v>0</v>
      </c>
      <c r="I188" s="262">
        <f>Alukset_Käynnit!I195</f>
        <v>0</v>
      </c>
      <c r="J188" s="262">
        <f>Alukset_Käynnit!J195</f>
        <v>0</v>
      </c>
      <c r="K188" s="262">
        <f>Alukset_Käynnit!K195</f>
        <v>0</v>
      </c>
      <c r="L188" s="205">
        <f>Alukset_Käynnit!L195</f>
        <v>0</v>
      </c>
      <c r="N188" s="273">
        <f t="shared" si="39"/>
        <v>0</v>
      </c>
      <c r="O188" s="274">
        <f t="shared" si="40"/>
        <v>0</v>
      </c>
      <c r="Q188" s="204">
        <f t="shared" si="29"/>
        <v>0</v>
      </c>
      <c r="R188" s="202">
        <f>IF(Q188="Other dry cargo",L188*Alukset_fx!$B$71,IF(OR(Q188="Dry bulk",Q188="Bulk carrier"),L188*Alukset_fx!$B$69,IF(Q188="Tugboat",L188*Alukset_fx!$B$76,IF(OR(Q188="Tanker",Q188="Gas tanker",Q188="Chemical tanker",Q188="Oil tanker"),L188*Alukset_fx!$B$68,IF(OR(Q188="RoRo",Q188="Vehicle carrier"),L188*Alukset_fx!$B$72,IF(Q188="RoPax",L188*Alukset_fx!$B$73,IF(Q188="Container ship",L188*Alukset_fx!$B$70,IF(Q188="Barge",0,L188*Alukset_fx!$B$75))))))))</f>
        <v>0</v>
      </c>
      <c r="S188" s="210">
        <f>IF(L188=0,IF(Q188="Other dry cargo",Alukset_fx!$H$73*(Alukset_Käynnit_Lask!K188^Alukset_fx!$I$73),IF(OR(Q188="Dry Bulk",Q188="Bulk carrier"),Alukset_fx!$H$71*(Alukset_Käynnit_Lask!K188^Alukset_fx!$I$71),IF(Q188="Tugboat",Alukset_fx!$H$78*(Alukset_Käynnit_Lask!K188^Alukset_fx!$I$78),IF(OR(Q188="Tanker",Q188="Gas tanker",Q188="Chemical tanker",Q188="Oil tanker"),Alukset_fx!$H$70*(Alukset_Käynnit_Lask!K188^Alukset_fx!$I$70),IF(Q188="Container ship",Alukset_fx!$H$72*(Alukset_Käynnit_Lask!K188^Alukset_fx!$I$72),IF(Q188="Barge",0,IF(Q188="RoPax",Alukset_fx!$H$75*(Alukset_Käynnit_Lask!K188^Alukset_fx!$I$75),IF(OR(Q188="RoRo",Q188="Vehicle carrier"),Alukset_fx!$H$74*(Alukset_Käynnit_Lask!K188^Alukset_fx!$I$74),Alukset_fx!$H$77*(Alukset_Käynnit_Lask!K188^Alukset_fx!$I$77))))))))),"-")</f>
        <v>0</v>
      </c>
      <c r="T188" s="208">
        <f>IF(R188=0,IF(Q188="Other dry cargo",S188*Alukset_fx!$B$71,IF(OR(Q188="Dry bulk",Q188="Bulk carrier"),S188*Alukset_fx!$B$69,IF(Q188="Tugboat",S188*Alukset_fx!$B$76,IF(OR(Q188="Tanker",Q188="Gas tanker",Q188="Chemical tanker",Q188="Oil tanker"),S188*Alukset_fx!$B$68,IF(OR(Q188="RoRo",Q188="Vehicle carrier"),S188*Alukset_fx!$B$72,IF(Q188="RoPax",S188*Alukset_fx!$B$73,IF(Q188="Container ship",S188*Alukset_fx!$B$70,S188*Alukset_fx!$B$75))))))),"-")</f>
        <v>0</v>
      </c>
      <c r="U188" s="208">
        <f t="shared" si="30"/>
        <v>0</v>
      </c>
      <c r="V188" s="208">
        <f t="shared" si="31"/>
        <v>0</v>
      </c>
      <c r="W188" s="202">
        <f>Alukset_Käynnit!N195</f>
        <v>0</v>
      </c>
      <c r="X188" s="211">
        <f>IF(Q188="Other dry cargo", Alukset_fx!$C$52, IF(OR(Q188="Dry bulk",Q188="Bulk carrier"),Alukset_fx!$C$35,IF(OR(Q188="Tanker",Q188="Gas tanker",Q188="Oil tanker"),Alukset_fx!$C$57,IF(Q188="Chemical tanker",Alukset_fx!$C$56,IF(OR(Q188="Tugboat",Q188="Barge"),0,IF(Q188="Other vessel",Alukset_fx!$C$54,IF(Q188="Container ship",Alukset_fx!$C$37,IF(OR(Q188="RoPax",Q188="RoRo",Q188="Vehicle carrier"),Alukset_fx!$C$55,0))))))))</f>
        <v>0</v>
      </c>
      <c r="Y188" s="211">
        <f>IF(Q188="Other dry cargo", Alukset_fx!$Q$52, IF(OR(Q188="Dry bulk",Q188="Bulk carrier"),Alukset_fx!$Q$35,IF(OR(Q188="Tanker",Q188="Gas tanker",Q188="Oil tanker"),Alukset_fx!$Q$57,IF(Q188="Chemical tanker",Alukset_fx!$Q$56,IF(OR(Q188="Tugboat",Q188="Barge"),0,IF(Q188="Other vessel",Alukset_fx!$Q$54,IF(Q188="Container ship",Alukset_fx!$Q$37,IF(OR(Q188="RoPax",Q188="RoRo",Q188="Vehicle carrier"),Alukset_fx!$Q$55,0))))))))</f>
        <v>0</v>
      </c>
      <c r="Z188" t="str">
        <f t="shared" si="32"/>
        <v>MDO/MGO</v>
      </c>
      <c r="AA188" t="str">
        <f t="shared" si="33"/>
        <v>MSD</v>
      </c>
      <c r="AB188" t="str">
        <f t="shared" si="34"/>
        <v>MDO/MGO</v>
      </c>
      <c r="AC188" t="str">
        <f t="shared" si="35"/>
        <v>MSD</v>
      </c>
      <c r="AD188" t="str">
        <f t="shared" si="36"/>
        <v>MDO/MGO</v>
      </c>
      <c r="AE188" t="str">
        <f t="shared" si="37"/>
        <v>ST</v>
      </c>
      <c r="AG188">
        <f>Alukset_Käynnit!O195</f>
        <v>0</v>
      </c>
      <c r="AH188" s="207">
        <f>IF(AA188="SSD",((U188*Alukset_fx!$B$24)*Alukset_Käynnit_Lask!W188*(Alukset_fx!$K$49)/1000),IF(AA188="MSD",((U188*Alukset_fx!$B$24)*Alukset_Käynnit_Lask!W188*(Alukset_fx!$K$52)/1000),IF(AA188="HSD",((U188*Alukset_fx!$B$24)*Alukset_Käynnit_Lask!W188*(Alukset_fx!$K$55)/1000),0)))</f>
        <v>0</v>
      </c>
      <c r="AI188" s="207">
        <f>IF(AC188="MSD",((V188*Alukset_fx!$B$25)*Alukset_Käynnit_Lask!W188*(Alukset_fx!$L$52)/1000),IF(AC188="HSD",((V188*Alukset_fx!$B$25)*Alukset_Käynnit_Lask!W188*(Alukset_fx!$L$55)/1000),0))</f>
        <v>0</v>
      </c>
      <c r="AJ188" s="207">
        <f>X188*W188*Alukset_fx!$K$61/1000</f>
        <v>0</v>
      </c>
      <c r="AK188">
        <v>0</v>
      </c>
      <c r="AL188" s="207">
        <f>IF(AG188="Käytetty",0,IF(AC188="MSD",((V188*Alukset_fx!$O$25)*Alukset_Käynnit_Lask!O188*(Alukset_fx!$L$52)/1000),IF(AC188="HSD",((V188*Alukset_fx!$O$25)*Alukset_Käynnit_Lask!O188*(Alukset_fx!$L$55)/1000),0)))</f>
        <v>0</v>
      </c>
      <c r="AM188" s="207">
        <f>IF(AG188="Käytetty",0,Y188*O188*Alukset_fx!$K$61/1000)</f>
        <v>0</v>
      </c>
      <c r="AN188" s="213">
        <f t="shared" si="38"/>
        <v>0</v>
      </c>
    </row>
    <row r="189" spans="1:40" x14ac:dyDescent="0.25">
      <c r="A189" s="203">
        <f>Alukset_Käynnit!A196</f>
        <v>0</v>
      </c>
      <c r="B189" s="203">
        <f>Alukset_Käynnit!B196</f>
        <v>0</v>
      </c>
      <c r="C189" s="262">
        <f>Alukset_Käynnit!C196</f>
        <v>0</v>
      </c>
      <c r="D189" s="266">
        <f>Alukset_Käynnit!D196</f>
        <v>0</v>
      </c>
      <c r="E189" s="262">
        <f>Alukset_Käynnit!E196</f>
        <v>0</v>
      </c>
      <c r="F189" s="262">
        <f>Alukset_Käynnit!F196</f>
        <v>0</v>
      </c>
      <c r="G189" s="262">
        <f>Alukset_Käynnit!G196</f>
        <v>0</v>
      </c>
      <c r="H189" s="262">
        <f>Alukset_Käynnit!H196</f>
        <v>0</v>
      </c>
      <c r="I189" s="262">
        <f>Alukset_Käynnit!I196</f>
        <v>0</v>
      </c>
      <c r="J189" s="262">
        <f>Alukset_Käynnit!J196</f>
        <v>0</v>
      </c>
      <c r="K189" s="262">
        <f>Alukset_Käynnit!K196</f>
        <v>0</v>
      </c>
      <c r="L189" s="205">
        <f>Alukset_Käynnit!L196</f>
        <v>0</v>
      </c>
      <c r="N189" s="273">
        <f t="shared" si="39"/>
        <v>0</v>
      </c>
      <c r="O189" s="274">
        <f t="shared" si="40"/>
        <v>0</v>
      </c>
      <c r="Q189" s="204">
        <f t="shared" si="29"/>
        <v>0</v>
      </c>
      <c r="R189" s="202">
        <f>IF(Q189="Other dry cargo",L189*Alukset_fx!$B$71,IF(OR(Q189="Dry bulk",Q189="Bulk carrier"),L189*Alukset_fx!$B$69,IF(Q189="Tugboat",L189*Alukset_fx!$B$76,IF(OR(Q189="Tanker",Q189="Gas tanker",Q189="Chemical tanker",Q189="Oil tanker"),L189*Alukset_fx!$B$68,IF(OR(Q189="RoRo",Q189="Vehicle carrier"),L189*Alukset_fx!$B$72,IF(Q189="RoPax",L189*Alukset_fx!$B$73,IF(Q189="Container ship",L189*Alukset_fx!$B$70,IF(Q189="Barge",0,L189*Alukset_fx!$B$75))))))))</f>
        <v>0</v>
      </c>
      <c r="S189" s="210">
        <f>IF(L189=0,IF(Q189="Other dry cargo",Alukset_fx!$H$73*(Alukset_Käynnit_Lask!K189^Alukset_fx!$I$73),IF(OR(Q189="Dry Bulk",Q189="Bulk carrier"),Alukset_fx!$H$71*(Alukset_Käynnit_Lask!K189^Alukset_fx!$I$71),IF(Q189="Tugboat",Alukset_fx!$H$78*(Alukset_Käynnit_Lask!K189^Alukset_fx!$I$78),IF(OR(Q189="Tanker",Q189="Gas tanker",Q189="Chemical tanker",Q189="Oil tanker"),Alukset_fx!$H$70*(Alukset_Käynnit_Lask!K189^Alukset_fx!$I$70),IF(Q189="Container ship",Alukset_fx!$H$72*(Alukset_Käynnit_Lask!K189^Alukset_fx!$I$72),IF(Q189="Barge",0,IF(Q189="RoPax",Alukset_fx!$H$75*(Alukset_Käynnit_Lask!K189^Alukset_fx!$I$75),IF(OR(Q189="RoRo",Q189="Vehicle carrier"),Alukset_fx!$H$74*(Alukset_Käynnit_Lask!K189^Alukset_fx!$I$74),Alukset_fx!$H$77*(Alukset_Käynnit_Lask!K189^Alukset_fx!$I$77))))))))),"-")</f>
        <v>0</v>
      </c>
      <c r="T189" s="208">
        <f>IF(R189=0,IF(Q189="Other dry cargo",S189*Alukset_fx!$B$71,IF(OR(Q189="Dry bulk",Q189="Bulk carrier"),S189*Alukset_fx!$B$69,IF(Q189="Tugboat",S189*Alukset_fx!$B$76,IF(OR(Q189="Tanker",Q189="Gas tanker",Q189="Chemical tanker",Q189="Oil tanker"),S189*Alukset_fx!$B$68,IF(OR(Q189="RoRo",Q189="Vehicle carrier"),S189*Alukset_fx!$B$72,IF(Q189="RoPax",S189*Alukset_fx!$B$73,IF(Q189="Container ship",S189*Alukset_fx!$B$70,S189*Alukset_fx!$B$75))))))),"-")</f>
        <v>0</v>
      </c>
      <c r="U189" s="208">
        <f t="shared" si="30"/>
        <v>0</v>
      </c>
      <c r="V189" s="208">
        <f t="shared" si="31"/>
        <v>0</v>
      </c>
      <c r="W189" s="202">
        <f>Alukset_Käynnit!N196</f>
        <v>0</v>
      </c>
      <c r="X189" s="211">
        <f>IF(Q189="Other dry cargo", Alukset_fx!$C$52, IF(OR(Q189="Dry bulk",Q189="Bulk carrier"),Alukset_fx!$C$35,IF(OR(Q189="Tanker",Q189="Gas tanker",Q189="Oil tanker"),Alukset_fx!$C$57,IF(Q189="Chemical tanker",Alukset_fx!$C$56,IF(OR(Q189="Tugboat",Q189="Barge"),0,IF(Q189="Other vessel",Alukset_fx!$C$54,IF(Q189="Container ship",Alukset_fx!$C$37,IF(OR(Q189="RoPax",Q189="RoRo",Q189="Vehicle carrier"),Alukset_fx!$C$55,0))))))))</f>
        <v>0</v>
      </c>
      <c r="Y189" s="211">
        <f>IF(Q189="Other dry cargo", Alukset_fx!$Q$52, IF(OR(Q189="Dry bulk",Q189="Bulk carrier"),Alukset_fx!$Q$35,IF(OR(Q189="Tanker",Q189="Gas tanker",Q189="Oil tanker"),Alukset_fx!$Q$57,IF(Q189="Chemical tanker",Alukset_fx!$Q$56,IF(OR(Q189="Tugboat",Q189="Barge"),0,IF(Q189="Other vessel",Alukset_fx!$Q$54,IF(Q189="Container ship",Alukset_fx!$Q$37,IF(OR(Q189="RoPax",Q189="RoRo",Q189="Vehicle carrier"),Alukset_fx!$Q$55,0))))))))</f>
        <v>0</v>
      </c>
      <c r="Z189" t="str">
        <f t="shared" si="32"/>
        <v>MDO/MGO</v>
      </c>
      <c r="AA189" t="str">
        <f t="shared" si="33"/>
        <v>MSD</v>
      </c>
      <c r="AB189" t="str">
        <f t="shared" si="34"/>
        <v>MDO/MGO</v>
      </c>
      <c r="AC189" t="str">
        <f t="shared" si="35"/>
        <v>MSD</v>
      </c>
      <c r="AD189" t="str">
        <f t="shared" si="36"/>
        <v>MDO/MGO</v>
      </c>
      <c r="AE189" t="str">
        <f t="shared" si="37"/>
        <v>ST</v>
      </c>
      <c r="AG189">
        <f>Alukset_Käynnit!O196</f>
        <v>0</v>
      </c>
      <c r="AH189" s="207">
        <f>IF(AA189="SSD",((U189*Alukset_fx!$B$24)*Alukset_Käynnit_Lask!W189*(Alukset_fx!$K$49)/1000),IF(AA189="MSD",((U189*Alukset_fx!$B$24)*Alukset_Käynnit_Lask!W189*(Alukset_fx!$K$52)/1000),IF(AA189="HSD",((U189*Alukset_fx!$B$24)*Alukset_Käynnit_Lask!W189*(Alukset_fx!$K$55)/1000),0)))</f>
        <v>0</v>
      </c>
      <c r="AI189" s="207">
        <f>IF(AC189="MSD",((V189*Alukset_fx!$B$25)*Alukset_Käynnit_Lask!W189*(Alukset_fx!$L$52)/1000),IF(AC189="HSD",((V189*Alukset_fx!$B$25)*Alukset_Käynnit_Lask!W189*(Alukset_fx!$L$55)/1000),0))</f>
        <v>0</v>
      </c>
      <c r="AJ189" s="207">
        <f>X189*W189*Alukset_fx!$K$61/1000</f>
        <v>0</v>
      </c>
      <c r="AK189">
        <v>0</v>
      </c>
      <c r="AL189" s="207">
        <f>IF(AG189="Käytetty",0,IF(AC189="MSD",((V189*Alukset_fx!$O$25)*Alukset_Käynnit_Lask!O189*(Alukset_fx!$L$52)/1000),IF(AC189="HSD",((V189*Alukset_fx!$O$25)*Alukset_Käynnit_Lask!O189*(Alukset_fx!$L$55)/1000),0)))</f>
        <v>0</v>
      </c>
      <c r="AM189" s="207">
        <f>IF(AG189="Käytetty",0,Y189*O189*Alukset_fx!$K$61/1000)</f>
        <v>0</v>
      </c>
      <c r="AN189" s="213">
        <f t="shared" si="38"/>
        <v>0</v>
      </c>
    </row>
    <row r="190" spans="1:40" x14ac:dyDescent="0.25">
      <c r="A190" s="203">
        <f>Alukset_Käynnit!A197</f>
        <v>0</v>
      </c>
      <c r="B190" s="203">
        <f>Alukset_Käynnit!B197</f>
        <v>0</v>
      </c>
      <c r="C190" s="262">
        <f>Alukset_Käynnit!C197</f>
        <v>0</v>
      </c>
      <c r="D190" s="266">
        <f>Alukset_Käynnit!D197</f>
        <v>0</v>
      </c>
      <c r="E190" s="262">
        <f>Alukset_Käynnit!E197</f>
        <v>0</v>
      </c>
      <c r="F190" s="262">
        <f>Alukset_Käynnit!F197</f>
        <v>0</v>
      </c>
      <c r="G190" s="262">
        <f>Alukset_Käynnit!G197</f>
        <v>0</v>
      </c>
      <c r="H190" s="262">
        <f>Alukset_Käynnit!H197</f>
        <v>0</v>
      </c>
      <c r="I190" s="262">
        <f>Alukset_Käynnit!I197</f>
        <v>0</v>
      </c>
      <c r="J190" s="262">
        <f>Alukset_Käynnit!J197</f>
        <v>0</v>
      </c>
      <c r="K190" s="262">
        <f>Alukset_Käynnit!K197</f>
        <v>0</v>
      </c>
      <c r="L190" s="205">
        <f>Alukset_Käynnit!L197</f>
        <v>0</v>
      </c>
      <c r="N190" s="273">
        <f t="shared" si="39"/>
        <v>0</v>
      </c>
      <c r="O190" s="274">
        <f t="shared" si="40"/>
        <v>0</v>
      </c>
      <c r="Q190" s="204">
        <f t="shared" si="29"/>
        <v>0</v>
      </c>
      <c r="R190" s="202">
        <f>IF(Q190="Other dry cargo",L190*Alukset_fx!$B$71,IF(OR(Q190="Dry bulk",Q190="Bulk carrier"),L190*Alukset_fx!$B$69,IF(Q190="Tugboat",L190*Alukset_fx!$B$76,IF(OR(Q190="Tanker",Q190="Gas tanker",Q190="Chemical tanker",Q190="Oil tanker"),L190*Alukset_fx!$B$68,IF(OR(Q190="RoRo",Q190="Vehicle carrier"),L190*Alukset_fx!$B$72,IF(Q190="RoPax",L190*Alukset_fx!$B$73,IF(Q190="Container ship",L190*Alukset_fx!$B$70,IF(Q190="Barge",0,L190*Alukset_fx!$B$75))))))))</f>
        <v>0</v>
      </c>
      <c r="S190" s="210">
        <f>IF(L190=0,IF(Q190="Other dry cargo",Alukset_fx!$H$73*(Alukset_Käynnit_Lask!K190^Alukset_fx!$I$73),IF(OR(Q190="Dry Bulk",Q190="Bulk carrier"),Alukset_fx!$H$71*(Alukset_Käynnit_Lask!K190^Alukset_fx!$I$71),IF(Q190="Tugboat",Alukset_fx!$H$78*(Alukset_Käynnit_Lask!K190^Alukset_fx!$I$78),IF(OR(Q190="Tanker",Q190="Gas tanker",Q190="Chemical tanker",Q190="Oil tanker"),Alukset_fx!$H$70*(Alukset_Käynnit_Lask!K190^Alukset_fx!$I$70),IF(Q190="Container ship",Alukset_fx!$H$72*(Alukset_Käynnit_Lask!K190^Alukset_fx!$I$72),IF(Q190="Barge",0,IF(Q190="RoPax",Alukset_fx!$H$75*(Alukset_Käynnit_Lask!K190^Alukset_fx!$I$75),IF(OR(Q190="RoRo",Q190="Vehicle carrier"),Alukset_fx!$H$74*(Alukset_Käynnit_Lask!K190^Alukset_fx!$I$74),Alukset_fx!$H$77*(Alukset_Käynnit_Lask!K190^Alukset_fx!$I$77))))))))),"-")</f>
        <v>0</v>
      </c>
      <c r="T190" s="208">
        <f>IF(R190=0,IF(Q190="Other dry cargo",S190*Alukset_fx!$B$71,IF(OR(Q190="Dry bulk",Q190="Bulk carrier"),S190*Alukset_fx!$B$69,IF(Q190="Tugboat",S190*Alukset_fx!$B$76,IF(OR(Q190="Tanker",Q190="Gas tanker",Q190="Chemical tanker",Q190="Oil tanker"),S190*Alukset_fx!$B$68,IF(OR(Q190="RoRo",Q190="Vehicle carrier"),S190*Alukset_fx!$B$72,IF(Q190="RoPax",S190*Alukset_fx!$B$73,IF(Q190="Container ship",S190*Alukset_fx!$B$70,S190*Alukset_fx!$B$75))))))),"-")</f>
        <v>0</v>
      </c>
      <c r="U190" s="208">
        <f t="shared" si="30"/>
        <v>0</v>
      </c>
      <c r="V190" s="208">
        <f t="shared" si="31"/>
        <v>0</v>
      </c>
      <c r="W190" s="202">
        <f>Alukset_Käynnit!N197</f>
        <v>0</v>
      </c>
      <c r="X190" s="211">
        <f>IF(Q190="Other dry cargo", Alukset_fx!$C$52, IF(OR(Q190="Dry bulk",Q190="Bulk carrier"),Alukset_fx!$C$35,IF(OR(Q190="Tanker",Q190="Gas tanker",Q190="Oil tanker"),Alukset_fx!$C$57,IF(Q190="Chemical tanker",Alukset_fx!$C$56,IF(OR(Q190="Tugboat",Q190="Barge"),0,IF(Q190="Other vessel",Alukset_fx!$C$54,IF(Q190="Container ship",Alukset_fx!$C$37,IF(OR(Q190="RoPax",Q190="RoRo",Q190="Vehicle carrier"),Alukset_fx!$C$55,0))))))))</f>
        <v>0</v>
      </c>
      <c r="Y190" s="211">
        <f>IF(Q190="Other dry cargo", Alukset_fx!$Q$52, IF(OR(Q190="Dry bulk",Q190="Bulk carrier"),Alukset_fx!$Q$35,IF(OR(Q190="Tanker",Q190="Gas tanker",Q190="Oil tanker"),Alukset_fx!$Q$57,IF(Q190="Chemical tanker",Alukset_fx!$Q$56,IF(OR(Q190="Tugboat",Q190="Barge"),0,IF(Q190="Other vessel",Alukset_fx!$Q$54,IF(Q190="Container ship",Alukset_fx!$Q$37,IF(OR(Q190="RoPax",Q190="RoRo",Q190="Vehicle carrier"),Alukset_fx!$Q$55,0))))))))</f>
        <v>0</v>
      </c>
      <c r="Z190" t="str">
        <f t="shared" si="32"/>
        <v>MDO/MGO</v>
      </c>
      <c r="AA190" t="str">
        <f t="shared" si="33"/>
        <v>MSD</v>
      </c>
      <c r="AB190" t="str">
        <f t="shared" si="34"/>
        <v>MDO/MGO</v>
      </c>
      <c r="AC190" t="str">
        <f t="shared" si="35"/>
        <v>MSD</v>
      </c>
      <c r="AD190" t="str">
        <f t="shared" si="36"/>
        <v>MDO/MGO</v>
      </c>
      <c r="AE190" t="str">
        <f t="shared" si="37"/>
        <v>ST</v>
      </c>
      <c r="AG190">
        <f>Alukset_Käynnit!O197</f>
        <v>0</v>
      </c>
      <c r="AH190" s="207">
        <f>IF(AA190="SSD",((U190*Alukset_fx!$B$24)*Alukset_Käynnit_Lask!W190*(Alukset_fx!$K$49)/1000),IF(AA190="MSD",((U190*Alukset_fx!$B$24)*Alukset_Käynnit_Lask!W190*(Alukset_fx!$K$52)/1000),IF(AA190="HSD",((U190*Alukset_fx!$B$24)*Alukset_Käynnit_Lask!W190*(Alukset_fx!$K$55)/1000),0)))</f>
        <v>0</v>
      </c>
      <c r="AI190" s="207">
        <f>IF(AC190="MSD",((V190*Alukset_fx!$B$25)*Alukset_Käynnit_Lask!W190*(Alukset_fx!$L$52)/1000),IF(AC190="HSD",((V190*Alukset_fx!$B$25)*Alukset_Käynnit_Lask!W190*(Alukset_fx!$L$55)/1000),0))</f>
        <v>0</v>
      </c>
      <c r="AJ190" s="207">
        <f>X190*W190*Alukset_fx!$K$61/1000</f>
        <v>0</v>
      </c>
      <c r="AK190">
        <v>0</v>
      </c>
      <c r="AL190" s="207">
        <f>IF(AG190="Käytetty",0,IF(AC190="MSD",((V190*Alukset_fx!$O$25)*Alukset_Käynnit_Lask!O190*(Alukset_fx!$L$52)/1000),IF(AC190="HSD",((V190*Alukset_fx!$O$25)*Alukset_Käynnit_Lask!O190*(Alukset_fx!$L$55)/1000),0)))</f>
        <v>0</v>
      </c>
      <c r="AM190" s="207">
        <f>IF(AG190="Käytetty",0,Y190*O190*Alukset_fx!$K$61/1000)</f>
        <v>0</v>
      </c>
      <c r="AN190" s="213">
        <f t="shared" si="38"/>
        <v>0</v>
      </c>
    </row>
    <row r="191" spans="1:40" x14ac:dyDescent="0.25">
      <c r="A191" s="203">
        <f>Alukset_Käynnit!A198</f>
        <v>0</v>
      </c>
      <c r="B191" s="203">
        <f>Alukset_Käynnit!B198</f>
        <v>0</v>
      </c>
      <c r="C191" s="262">
        <f>Alukset_Käynnit!C198</f>
        <v>0</v>
      </c>
      <c r="D191" s="266">
        <f>Alukset_Käynnit!D198</f>
        <v>0</v>
      </c>
      <c r="E191" s="262">
        <f>Alukset_Käynnit!E198</f>
        <v>0</v>
      </c>
      <c r="F191" s="262">
        <f>Alukset_Käynnit!F198</f>
        <v>0</v>
      </c>
      <c r="G191" s="262">
        <f>Alukset_Käynnit!G198</f>
        <v>0</v>
      </c>
      <c r="H191" s="262">
        <f>Alukset_Käynnit!H198</f>
        <v>0</v>
      </c>
      <c r="I191" s="262">
        <f>Alukset_Käynnit!I198</f>
        <v>0</v>
      </c>
      <c r="J191" s="262">
        <f>Alukset_Käynnit!J198</f>
        <v>0</v>
      </c>
      <c r="K191" s="262">
        <f>Alukset_Käynnit!K198</f>
        <v>0</v>
      </c>
      <c r="L191" s="205">
        <f>Alukset_Käynnit!L198</f>
        <v>0</v>
      </c>
      <c r="N191" s="273">
        <f t="shared" si="39"/>
        <v>0</v>
      </c>
      <c r="O191" s="274">
        <f t="shared" si="40"/>
        <v>0</v>
      </c>
      <c r="Q191" s="204">
        <f t="shared" si="29"/>
        <v>0</v>
      </c>
      <c r="R191" s="202">
        <f>IF(Q191="Other dry cargo",L191*Alukset_fx!$B$71,IF(OR(Q191="Dry bulk",Q191="Bulk carrier"),L191*Alukset_fx!$B$69,IF(Q191="Tugboat",L191*Alukset_fx!$B$76,IF(OR(Q191="Tanker",Q191="Gas tanker",Q191="Chemical tanker",Q191="Oil tanker"),L191*Alukset_fx!$B$68,IF(OR(Q191="RoRo",Q191="Vehicle carrier"),L191*Alukset_fx!$B$72,IF(Q191="RoPax",L191*Alukset_fx!$B$73,IF(Q191="Container ship",L191*Alukset_fx!$B$70,IF(Q191="Barge",0,L191*Alukset_fx!$B$75))))))))</f>
        <v>0</v>
      </c>
      <c r="S191" s="210">
        <f>IF(L191=0,IF(Q191="Other dry cargo",Alukset_fx!$H$73*(Alukset_Käynnit_Lask!K191^Alukset_fx!$I$73),IF(OR(Q191="Dry Bulk",Q191="Bulk carrier"),Alukset_fx!$H$71*(Alukset_Käynnit_Lask!K191^Alukset_fx!$I$71),IF(Q191="Tugboat",Alukset_fx!$H$78*(Alukset_Käynnit_Lask!K191^Alukset_fx!$I$78),IF(OR(Q191="Tanker",Q191="Gas tanker",Q191="Chemical tanker",Q191="Oil tanker"),Alukset_fx!$H$70*(Alukset_Käynnit_Lask!K191^Alukset_fx!$I$70),IF(Q191="Container ship",Alukset_fx!$H$72*(Alukset_Käynnit_Lask!K191^Alukset_fx!$I$72),IF(Q191="Barge",0,IF(Q191="RoPax",Alukset_fx!$H$75*(Alukset_Käynnit_Lask!K191^Alukset_fx!$I$75),IF(OR(Q191="RoRo",Q191="Vehicle carrier"),Alukset_fx!$H$74*(Alukset_Käynnit_Lask!K191^Alukset_fx!$I$74),Alukset_fx!$H$77*(Alukset_Käynnit_Lask!K191^Alukset_fx!$I$77))))))))),"-")</f>
        <v>0</v>
      </c>
      <c r="T191" s="208">
        <f>IF(R191=0,IF(Q191="Other dry cargo",S191*Alukset_fx!$B$71,IF(OR(Q191="Dry bulk",Q191="Bulk carrier"),S191*Alukset_fx!$B$69,IF(Q191="Tugboat",S191*Alukset_fx!$B$76,IF(OR(Q191="Tanker",Q191="Gas tanker",Q191="Chemical tanker",Q191="Oil tanker"),S191*Alukset_fx!$B$68,IF(OR(Q191="RoRo",Q191="Vehicle carrier"),S191*Alukset_fx!$B$72,IF(Q191="RoPax",S191*Alukset_fx!$B$73,IF(Q191="Container ship",S191*Alukset_fx!$B$70,S191*Alukset_fx!$B$75))))))),"-")</f>
        <v>0</v>
      </c>
      <c r="U191" s="208">
        <f t="shared" si="30"/>
        <v>0</v>
      </c>
      <c r="V191" s="208">
        <f t="shared" si="31"/>
        <v>0</v>
      </c>
      <c r="W191" s="202">
        <f>Alukset_Käynnit!N198</f>
        <v>0</v>
      </c>
      <c r="X191" s="211">
        <f>IF(Q191="Other dry cargo", Alukset_fx!$C$52, IF(OR(Q191="Dry bulk",Q191="Bulk carrier"),Alukset_fx!$C$35,IF(OR(Q191="Tanker",Q191="Gas tanker",Q191="Oil tanker"),Alukset_fx!$C$57,IF(Q191="Chemical tanker",Alukset_fx!$C$56,IF(OR(Q191="Tugboat",Q191="Barge"),0,IF(Q191="Other vessel",Alukset_fx!$C$54,IF(Q191="Container ship",Alukset_fx!$C$37,IF(OR(Q191="RoPax",Q191="RoRo",Q191="Vehicle carrier"),Alukset_fx!$C$55,0))))))))</f>
        <v>0</v>
      </c>
      <c r="Y191" s="211">
        <f>IF(Q191="Other dry cargo", Alukset_fx!$Q$52, IF(OR(Q191="Dry bulk",Q191="Bulk carrier"),Alukset_fx!$Q$35,IF(OR(Q191="Tanker",Q191="Gas tanker",Q191="Oil tanker"),Alukset_fx!$Q$57,IF(Q191="Chemical tanker",Alukset_fx!$Q$56,IF(OR(Q191="Tugboat",Q191="Barge"),0,IF(Q191="Other vessel",Alukset_fx!$Q$54,IF(Q191="Container ship",Alukset_fx!$Q$37,IF(OR(Q191="RoPax",Q191="RoRo",Q191="Vehicle carrier"),Alukset_fx!$Q$55,0))))))))</f>
        <v>0</v>
      </c>
      <c r="Z191" t="str">
        <f t="shared" si="32"/>
        <v>MDO/MGO</v>
      </c>
      <c r="AA191" t="str">
        <f t="shared" si="33"/>
        <v>MSD</v>
      </c>
      <c r="AB191" t="str">
        <f t="shared" si="34"/>
        <v>MDO/MGO</v>
      </c>
      <c r="AC191" t="str">
        <f t="shared" si="35"/>
        <v>MSD</v>
      </c>
      <c r="AD191" t="str">
        <f t="shared" si="36"/>
        <v>MDO/MGO</v>
      </c>
      <c r="AE191" t="str">
        <f t="shared" si="37"/>
        <v>ST</v>
      </c>
      <c r="AG191">
        <f>Alukset_Käynnit!O198</f>
        <v>0</v>
      </c>
      <c r="AH191" s="207">
        <f>IF(AA191="SSD",((U191*Alukset_fx!$B$24)*Alukset_Käynnit_Lask!W191*(Alukset_fx!$K$49)/1000),IF(AA191="MSD",((U191*Alukset_fx!$B$24)*Alukset_Käynnit_Lask!W191*(Alukset_fx!$K$52)/1000),IF(AA191="HSD",((U191*Alukset_fx!$B$24)*Alukset_Käynnit_Lask!W191*(Alukset_fx!$K$55)/1000),0)))</f>
        <v>0</v>
      </c>
      <c r="AI191" s="207">
        <f>IF(AC191="MSD",((V191*Alukset_fx!$B$25)*Alukset_Käynnit_Lask!W191*(Alukset_fx!$L$52)/1000),IF(AC191="HSD",((V191*Alukset_fx!$B$25)*Alukset_Käynnit_Lask!W191*(Alukset_fx!$L$55)/1000),0))</f>
        <v>0</v>
      </c>
      <c r="AJ191" s="207">
        <f>X191*W191*Alukset_fx!$K$61/1000</f>
        <v>0</v>
      </c>
      <c r="AK191">
        <v>0</v>
      </c>
      <c r="AL191" s="207">
        <f>IF(AG191="Käytetty",0,IF(AC191="MSD",((V191*Alukset_fx!$O$25)*Alukset_Käynnit_Lask!O191*(Alukset_fx!$L$52)/1000),IF(AC191="HSD",((V191*Alukset_fx!$O$25)*Alukset_Käynnit_Lask!O191*(Alukset_fx!$L$55)/1000),0)))</f>
        <v>0</v>
      </c>
      <c r="AM191" s="207">
        <f>IF(AG191="Käytetty",0,Y191*O191*Alukset_fx!$K$61/1000)</f>
        <v>0</v>
      </c>
      <c r="AN191" s="213">
        <f t="shared" si="38"/>
        <v>0</v>
      </c>
    </row>
    <row r="192" spans="1:40" x14ac:dyDescent="0.25">
      <c r="A192" s="203">
        <f>Alukset_Käynnit!A199</f>
        <v>0</v>
      </c>
      <c r="B192" s="203">
        <f>Alukset_Käynnit!B199</f>
        <v>0</v>
      </c>
      <c r="C192" s="262">
        <f>Alukset_Käynnit!C199</f>
        <v>0</v>
      </c>
      <c r="D192" s="266">
        <f>Alukset_Käynnit!D199</f>
        <v>0</v>
      </c>
      <c r="E192" s="262">
        <f>Alukset_Käynnit!E199</f>
        <v>0</v>
      </c>
      <c r="F192" s="262">
        <f>Alukset_Käynnit!F199</f>
        <v>0</v>
      </c>
      <c r="G192" s="262">
        <f>Alukset_Käynnit!G199</f>
        <v>0</v>
      </c>
      <c r="H192" s="262">
        <f>Alukset_Käynnit!H199</f>
        <v>0</v>
      </c>
      <c r="I192" s="262">
        <f>Alukset_Käynnit!I199</f>
        <v>0</v>
      </c>
      <c r="J192" s="262">
        <f>Alukset_Käynnit!J199</f>
        <v>0</v>
      </c>
      <c r="K192" s="262">
        <f>Alukset_Käynnit!K199</f>
        <v>0</v>
      </c>
      <c r="L192" s="205">
        <f>Alukset_Käynnit!L199</f>
        <v>0</v>
      </c>
      <c r="N192" s="273">
        <f t="shared" si="39"/>
        <v>0</v>
      </c>
      <c r="O192" s="274">
        <f t="shared" si="40"/>
        <v>0</v>
      </c>
      <c r="Q192" s="204">
        <f t="shared" si="29"/>
        <v>0</v>
      </c>
      <c r="R192" s="202">
        <f>IF(Q192="Other dry cargo",L192*Alukset_fx!$B$71,IF(OR(Q192="Dry bulk",Q192="Bulk carrier"),L192*Alukset_fx!$B$69,IF(Q192="Tugboat",L192*Alukset_fx!$B$76,IF(OR(Q192="Tanker",Q192="Gas tanker",Q192="Chemical tanker",Q192="Oil tanker"),L192*Alukset_fx!$B$68,IF(OR(Q192="RoRo",Q192="Vehicle carrier"),L192*Alukset_fx!$B$72,IF(Q192="RoPax",L192*Alukset_fx!$B$73,IF(Q192="Container ship",L192*Alukset_fx!$B$70,IF(Q192="Barge",0,L192*Alukset_fx!$B$75))))))))</f>
        <v>0</v>
      </c>
      <c r="S192" s="210">
        <f>IF(L192=0,IF(Q192="Other dry cargo",Alukset_fx!$H$73*(Alukset_Käynnit_Lask!K192^Alukset_fx!$I$73),IF(OR(Q192="Dry Bulk",Q192="Bulk carrier"),Alukset_fx!$H$71*(Alukset_Käynnit_Lask!K192^Alukset_fx!$I$71),IF(Q192="Tugboat",Alukset_fx!$H$78*(Alukset_Käynnit_Lask!K192^Alukset_fx!$I$78),IF(OR(Q192="Tanker",Q192="Gas tanker",Q192="Chemical tanker",Q192="Oil tanker"),Alukset_fx!$H$70*(Alukset_Käynnit_Lask!K192^Alukset_fx!$I$70),IF(Q192="Container ship",Alukset_fx!$H$72*(Alukset_Käynnit_Lask!K192^Alukset_fx!$I$72),IF(Q192="Barge",0,IF(Q192="RoPax",Alukset_fx!$H$75*(Alukset_Käynnit_Lask!K192^Alukset_fx!$I$75),IF(OR(Q192="RoRo",Q192="Vehicle carrier"),Alukset_fx!$H$74*(Alukset_Käynnit_Lask!K192^Alukset_fx!$I$74),Alukset_fx!$H$77*(Alukset_Käynnit_Lask!K192^Alukset_fx!$I$77))))))))),"-")</f>
        <v>0</v>
      </c>
      <c r="T192" s="208">
        <f>IF(R192=0,IF(Q192="Other dry cargo",S192*Alukset_fx!$B$71,IF(OR(Q192="Dry bulk",Q192="Bulk carrier"),S192*Alukset_fx!$B$69,IF(Q192="Tugboat",S192*Alukset_fx!$B$76,IF(OR(Q192="Tanker",Q192="Gas tanker",Q192="Chemical tanker",Q192="Oil tanker"),S192*Alukset_fx!$B$68,IF(OR(Q192="RoRo",Q192="Vehicle carrier"),S192*Alukset_fx!$B$72,IF(Q192="RoPax",S192*Alukset_fx!$B$73,IF(Q192="Container ship",S192*Alukset_fx!$B$70,S192*Alukset_fx!$B$75))))))),"-")</f>
        <v>0</v>
      </c>
      <c r="U192" s="208">
        <f t="shared" si="30"/>
        <v>0</v>
      </c>
      <c r="V192" s="208">
        <f t="shared" si="31"/>
        <v>0</v>
      </c>
      <c r="W192" s="202">
        <f>Alukset_Käynnit!N199</f>
        <v>0</v>
      </c>
      <c r="X192" s="211">
        <f>IF(Q192="Other dry cargo", Alukset_fx!$C$52, IF(OR(Q192="Dry bulk",Q192="Bulk carrier"),Alukset_fx!$C$35,IF(OR(Q192="Tanker",Q192="Gas tanker",Q192="Oil tanker"),Alukset_fx!$C$57,IF(Q192="Chemical tanker",Alukset_fx!$C$56,IF(OR(Q192="Tugboat",Q192="Barge"),0,IF(Q192="Other vessel",Alukset_fx!$C$54,IF(Q192="Container ship",Alukset_fx!$C$37,IF(OR(Q192="RoPax",Q192="RoRo",Q192="Vehicle carrier"),Alukset_fx!$C$55,0))))))))</f>
        <v>0</v>
      </c>
      <c r="Y192" s="211">
        <f>IF(Q192="Other dry cargo", Alukset_fx!$Q$52, IF(OR(Q192="Dry bulk",Q192="Bulk carrier"),Alukset_fx!$Q$35,IF(OR(Q192="Tanker",Q192="Gas tanker",Q192="Oil tanker"),Alukset_fx!$Q$57,IF(Q192="Chemical tanker",Alukset_fx!$Q$56,IF(OR(Q192="Tugboat",Q192="Barge"),0,IF(Q192="Other vessel",Alukset_fx!$Q$54,IF(Q192="Container ship",Alukset_fx!$Q$37,IF(OR(Q192="RoPax",Q192="RoRo",Q192="Vehicle carrier"),Alukset_fx!$Q$55,0))))))))</f>
        <v>0</v>
      </c>
      <c r="Z192" t="str">
        <f t="shared" si="32"/>
        <v>MDO/MGO</v>
      </c>
      <c r="AA192" t="str">
        <f t="shared" si="33"/>
        <v>MSD</v>
      </c>
      <c r="AB192" t="str">
        <f t="shared" si="34"/>
        <v>MDO/MGO</v>
      </c>
      <c r="AC192" t="str">
        <f t="shared" si="35"/>
        <v>MSD</v>
      </c>
      <c r="AD192" t="str">
        <f t="shared" si="36"/>
        <v>MDO/MGO</v>
      </c>
      <c r="AE192" t="str">
        <f t="shared" si="37"/>
        <v>ST</v>
      </c>
      <c r="AG192">
        <f>Alukset_Käynnit!O199</f>
        <v>0</v>
      </c>
      <c r="AH192" s="207">
        <f>IF(AA192="SSD",((U192*Alukset_fx!$B$24)*Alukset_Käynnit_Lask!W192*(Alukset_fx!$K$49)/1000),IF(AA192="MSD",((U192*Alukset_fx!$B$24)*Alukset_Käynnit_Lask!W192*(Alukset_fx!$K$52)/1000),IF(AA192="HSD",((U192*Alukset_fx!$B$24)*Alukset_Käynnit_Lask!W192*(Alukset_fx!$K$55)/1000),0)))</f>
        <v>0</v>
      </c>
      <c r="AI192" s="207">
        <f>IF(AC192="MSD",((V192*Alukset_fx!$B$25)*Alukset_Käynnit_Lask!W192*(Alukset_fx!$L$52)/1000),IF(AC192="HSD",((V192*Alukset_fx!$B$25)*Alukset_Käynnit_Lask!W192*(Alukset_fx!$L$55)/1000),0))</f>
        <v>0</v>
      </c>
      <c r="AJ192" s="207">
        <f>X192*W192*Alukset_fx!$K$61/1000</f>
        <v>0</v>
      </c>
      <c r="AK192">
        <v>0</v>
      </c>
      <c r="AL192" s="207">
        <f>IF(AG192="Käytetty",0,IF(AC192="MSD",((V192*Alukset_fx!$O$25)*Alukset_Käynnit_Lask!O192*(Alukset_fx!$L$52)/1000),IF(AC192="HSD",((V192*Alukset_fx!$O$25)*Alukset_Käynnit_Lask!O192*(Alukset_fx!$L$55)/1000),0)))</f>
        <v>0</v>
      </c>
      <c r="AM192" s="207">
        <f>IF(AG192="Käytetty",0,Y192*O192*Alukset_fx!$K$61/1000)</f>
        <v>0</v>
      </c>
      <c r="AN192" s="213">
        <f t="shared" si="38"/>
        <v>0</v>
      </c>
    </row>
    <row r="193" spans="1:40" x14ac:dyDescent="0.25">
      <c r="A193" s="203">
        <f>Alukset_Käynnit!A200</f>
        <v>0</v>
      </c>
      <c r="B193" s="203">
        <f>Alukset_Käynnit!B200</f>
        <v>0</v>
      </c>
      <c r="C193" s="262">
        <f>Alukset_Käynnit!C200</f>
        <v>0</v>
      </c>
      <c r="D193" s="266">
        <f>Alukset_Käynnit!D200</f>
        <v>0</v>
      </c>
      <c r="E193" s="262">
        <f>Alukset_Käynnit!E200</f>
        <v>0</v>
      </c>
      <c r="F193" s="262">
        <f>Alukset_Käynnit!F200</f>
        <v>0</v>
      </c>
      <c r="G193" s="262">
        <f>Alukset_Käynnit!G200</f>
        <v>0</v>
      </c>
      <c r="H193" s="262">
        <f>Alukset_Käynnit!H200</f>
        <v>0</v>
      </c>
      <c r="I193" s="262">
        <f>Alukset_Käynnit!I200</f>
        <v>0</v>
      </c>
      <c r="J193" s="262">
        <f>Alukset_Käynnit!J200</f>
        <v>0</v>
      </c>
      <c r="K193" s="262">
        <f>Alukset_Käynnit!K200</f>
        <v>0</v>
      </c>
      <c r="L193" s="205">
        <f>Alukset_Käynnit!L200</f>
        <v>0</v>
      </c>
      <c r="N193" s="273">
        <f t="shared" si="39"/>
        <v>0</v>
      </c>
      <c r="O193" s="274">
        <f t="shared" si="40"/>
        <v>0</v>
      </c>
      <c r="Q193" s="204">
        <f t="shared" si="29"/>
        <v>0</v>
      </c>
      <c r="R193" s="202">
        <f>IF(Q193="Other dry cargo",L193*Alukset_fx!$B$71,IF(OR(Q193="Dry bulk",Q193="Bulk carrier"),L193*Alukset_fx!$B$69,IF(Q193="Tugboat",L193*Alukset_fx!$B$76,IF(OR(Q193="Tanker",Q193="Gas tanker",Q193="Chemical tanker",Q193="Oil tanker"),L193*Alukset_fx!$B$68,IF(OR(Q193="RoRo",Q193="Vehicle carrier"),L193*Alukset_fx!$B$72,IF(Q193="RoPax",L193*Alukset_fx!$B$73,IF(Q193="Container ship",L193*Alukset_fx!$B$70,IF(Q193="Barge",0,L193*Alukset_fx!$B$75))))))))</f>
        <v>0</v>
      </c>
      <c r="S193" s="210">
        <f>IF(L193=0,IF(Q193="Other dry cargo",Alukset_fx!$H$73*(Alukset_Käynnit_Lask!K193^Alukset_fx!$I$73),IF(OR(Q193="Dry Bulk",Q193="Bulk carrier"),Alukset_fx!$H$71*(Alukset_Käynnit_Lask!K193^Alukset_fx!$I$71),IF(Q193="Tugboat",Alukset_fx!$H$78*(Alukset_Käynnit_Lask!K193^Alukset_fx!$I$78),IF(OR(Q193="Tanker",Q193="Gas tanker",Q193="Chemical tanker",Q193="Oil tanker"),Alukset_fx!$H$70*(Alukset_Käynnit_Lask!K193^Alukset_fx!$I$70),IF(Q193="Container ship",Alukset_fx!$H$72*(Alukset_Käynnit_Lask!K193^Alukset_fx!$I$72),IF(Q193="Barge",0,IF(Q193="RoPax",Alukset_fx!$H$75*(Alukset_Käynnit_Lask!K193^Alukset_fx!$I$75),IF(OR(Q193="RoRo",Q193="Vehicle carrier"),Alukset_fx!$H$74*(Alukset_Käynnit_Lask!K193^Alukset_fx!$I$74),Alukset_fx!$H$77*(Alukset_Käynnit_Lask!K193^Alukset_fx!$I$77))))))))),"-")</f>
        <v>0</v>
      </c>
      <c r="T193" s="208">
        <f>IF(R193=0,IF(Q193="Other dry cargo",S193*Alukset_fx!$B$71,IF(OR(Q193="Dry bulk",Q193="Bulk carrier"),S193*Alukset_fx!$B$69,IF(Q193="Tugboat",S193*Alukset_fx!$B$76,IF(OR(Q193="Tanker",Q193="Gas tanker",Q193="Chemical tanker",Q193="Oil tanker"),S193*Alukset_fx!$B$68,IF(OR(Q193="RoRo",Q193="Vehicle carrier"),S193*Alukset_fx!$B$72,IF(Q193="RoPax",S193*Alukset_fx!$B$73,IF(Q193="Container ship",S193*Alukset_fx!$B$70,S193*Alukset_fx!$B$75))))))),"-")</f>
        <v>0</v>
      </c>
      <c r="U193" s="208">
        <f t="shared" si="30"/>
        <v>0</v>
      </c>
      <c r="V193" s="208">
        <f t="shared" si="31"/>
        <v>0</v>
      </c>
      <c r="W193" s="202">
        <f>Alukset_Käynnit!N200</f>
        <v>0</v>
      </c>
      <c r="X193" s="211">
        <f>IF(Q193="Other dry cargo", Alukset_fx!$C$52, IF(OR(Q193="Dry bulk",Q193="Bulk carrier"),Alukset_fx!$C$35,IF(OR(Q193="Tanker",Q193="Gas tanker",Q193="Oil tanker"),Alukset_fx!$C$57,IF(Q193="Chemical tanker",Alukset_fx!$C$56,IF(OR(Q193="Tugboat",Q193="Barge"),0,IF(Q193="Other vessel",Alukset_fx!$C$54,IF(Q193="Container ship",Alukset_fx!$C$37,IF(OR(Q193="RoPax",Q193="RoRo",Q193="Vehicle carrier"),Alukset_fx!$C$55,0))))))))</f>
        <v>0</v>
      </c>
      <c r="Y193" s="211">
        <f>IF(Q193="Other dry cargo", Alukset_fx!$Q$52, IF(OR(Q193="Dry bulk",Q193="Bulk carrier"),Alukset_fx!$Q$35,IF(OR(Q193="Tanker",Q193="Gas tanker",Q193="Oil tanker"),Alukset_fx!$Q$57,IF(Q193="Chemical tanker",Alukset_fx!$Q$56,IF(OR(Q193="Tugboat",Q193="Barge"),0,IF(Q193="Other vessel",Alukset_fx!$Q$54,IF(Q193="Container ship",Alukset_fx!$Q$37,IF(OR(Q193="RoPax",Q193="RoRo",Q193="Vehicle carrier"),Alukset_fx!$Q$55,0))))))))</f>
        <v>0</v>
      </c>
      <c r="Z193" t="str">
        <f t="shared" si="32"/>
        <v>MDO/MGO</v>
      </c>
      <c r="AA193" t="str">
        <f t="shared" si="33"/>
        <v>MSD</v>
      </c>
      <c r="AB193" t="str">
        <f t="shared" si="34"/>
        <v>MDO/MGO</v>
      </c>
      <c r="AC193" t="str">
        <f t="shared" si="35"/>
        <v>MSD</v>
      </c>
      <c r="AD193" t="str">
        <f t="shared" si="36"/>
        <v>MDO/MGO</v>
      </c>
      <c r="AE193" t="str">
        <f t="shared" si="37"/>
        <v>ST</v>
      </c>
      <c r="AG193">
        <f>Alukset_Käynnit!O200</f>
        <v>0</v>
      </c>
      <c r="AH193" s="207">
        <f>IF(AA193="SSD",((U193*Alukset_fx!$B$24)*Alukset_Käynnit_Lask!W193*(Alukset_fx!$K$49)/1000),IF(AA193="MSD",((U193*Alukset_fx!$B$24)*Alukset_Käynnit_Lask!W193*(Alukset_fx!$K$52)/1000),IF(AA193="HSD",((U193*Alukset_fx!$B$24)*Alukset_Käynnit_Lask!W193*(Alukset_fx!$K$55)/1000),0)))</f>
        <v>0</v>
      </c>
      <c r="AI193" s="207">
        <f>IF(AC193="MSD",((V193*Alukset_fx!$B$25)*Alukset_Käynnit_Lask!W193*(Alukset_fx!$L$52)/1000),IF(AC193="HSD",((V193*Alukset_fx!$B$25)*Alukset_Käynnit_Lask!W193*(Alukset_fx!$L$55)/1000),0))</f>
        <v>0</v>
      </c>
      <c r="AJ193" s="207">
        <f>X193*W193*Alukset_fx!$K$61/1000</f>
        <v>0</v>
      </c>
      <c r="AK193">
        <v>0</v>
      </c>
      <c r="AL193" s="207">
        <f>IF(AG193="Käytetty",0,IF(AC193="MSD",((V193*Alukset_fx!$O$25)*Alukset_Käynnit_Lask!O193*(Alukset_fx!$L$52)/1000),IF(AC193="HSD",((V193*Alukset_fx!$O$25)*Alukset_Käynnit_Lask!O193*(Alukset_fx!$L$55)/1000),0)))</f>
        <v>0</v>
      </c>
      <c r="AM193" s="207">
        <f>IF(AG193="Käytetty",0,Y193*O193*Alukset_fx!$K$61/1000)</f>
        <v>0</v>
      </c>
      <c r="AN193" s="213">
        <f t="shared" si="38"/>
        <v>0</v>
      </c>
    </row>
    <row r="194" spans="1:40" x14ac:dyDescent="0.25">
      <c r="A194" s="203">
        <f>Alukset_Käynnit!A201</f>
        <v>0</v>
      </c>
      <c r="B194" s="203">
        <f>Alukset_Käynnit!B201</f>
        <v>0</v>
      </c>
      <c r="C194" s="262">
        <f>Alukset_Käynnit!C201</f>
        <v>0</v>
      </c>
      <c r="D194" s="266">
        <f>Alukset_Käynnit!D201</f>
        <v>0</v>
      </c>
      <c r="E194" s="262">
        <f>Alukset_Käynnit!E201</f>
        <v>0</v>
      </c>
      <c r="F194" s="262">
        <f>Alukset_Käynnit!F201</f>
        <v>0</v>
      </c>
      <c r="G194" s="262">
        <f>Alukset_Käynnit!G201</f>
        <v>0</v>
      </c>
      <c r="H194" s="262">
        <f>Alukset_Käynnit!H201</f>
        <v>0</v>
      </c>
      <c r="I194" s="262">
        <f>Alukset_Käynnit!I201</f>
        <v>0</v>
      </c>
      <c r="J194" s="262">
        <f>Alukset_Käynnit!J201</f>
        <v>0</v>
      </c>
      <c r="K194" s="262">
        <f>Alukset_Käynnit!K201</f>
        <v>0</v>
      </c>
      <c r="L194" s="205">
        <f>Alukset_Käynnit!L201</f>
        <v>0</v>
      </c>
      <c r="N194" s="273">
        <f t="shared" si="39"/>
        <v>0</v>
      </c>
      <c r="O194" s="274">
        <f t="shared" si="40"/>
        <v>0</v>
      </c>
      <c r="Q194" s="204">
        <f t="shared" si="29"/>
        <v>0</v>
      </c>
      <c r="R194" s="202">
        <f>IF(Q194="Other dry cargo",L194*Alukset_fx!$B$71,IF(OR(Q194="Dry bulk",Q194="Bulk carrier"),L194*Alukset_fx!$B$69,IF(Q194="Tugboat",L194*Alukset_fx!$B$76,IF(OR(Q194="Tanker",Q194="Gas tanker",Q194="Chemical tanker",Q194="Oil tanker"),L194*Alukset_fx!$B$68,IF(OR(Q194="RoRo",Q194="Vehicle carrier"),L194*Alukset_fx!$B$72,IF(Q194="RoPax",L194*Alukset_fx!$B$73,IF(Q194="Container ship",L194*Alukset_fx!$B$70,IF(Q194="Barge",0,L194*Alukset_fx!$B$75))))))))</f>
        <v>0</v>
      </c>
      <c r="S194" s="210">
        <f>IF(L194=0,IF(Q194="Other dry cargo",Alukset_fx!$H$73*(Alukset_Käynnit_Lask!K194^Alukset_fx!$I$73),IF(OR(Q194="Dry Bulk",Q194="Bulk carrier"),Alukset_fx!$H$71*(Alukset_Käynnit_Lask!K194^Alukset_fx!$I$71),IF(Q194="Tugboat",Alukset_fx!$H$78*(Alukset_Käynnit_Lask!K194^Alukset_fx!$I$78),IF(OR(Q194="Tanker",Q194="Gas tanker",Q194="Chemical tanker",Q194="Oil tanker"),Alukset_fx!$H$70*(Alukset_Käynnit_Lask!K194^Alukset_fx!$I$70),IF(Q194="Container ship",Alukset_fx!$H$72*(Alukset_Käynnit_Lask!K194^Alukset_fx!$I$72),IF(Q194="Barge",0,IF(Q194="RoPax",Alukset_fx!$H$75*(Alukset_Käynnit_Lask!K194^Alukset_fx!$I$75),IF(OR(Q194="RoRo",Q194="Vehicle carrier"),Alukset_fx!$H$74*(Alukset_Käynnit_Lask!K194^Alukset_fx!$I$74),Alukset_fx!$H$77*(Alukset_Käynnit_Lask!K194^Alukset_fx!$I$77))))))))),"-")</f>
        <v>0</v>
      </c>
      <c r="T194" s="208">
        <f>IF(R194=0,IF(Q194="Other dry cargo",S194*Alukset_fx!$B$71,IF(OR(Q194="Dry bulk",Q194="Bulk carrier"),S194*Alukset_fx!$B$69,IF(Q194="Tugboat",S194*Alukset_fx!$B$76,IF(OR(Q194="Tanker",Q194="Gas tanker",Q194="Chemical tanker",Q194="Oil tanker"),S194*Alukset_fx!$B$68,IF(OR(Q194="RoRo",Q194="Vehicle carrier"),S194*Alukset_fx!$B$72,IF(Q194="RoPax",S194*Alukset_fx!$B$73,IF(Q194="Container ship",S194*Alukset_fx!$B$70,S194*Alukset_fx!$B$75))))))),"-")</f>
        <v>0</v>
      </c>
      <c r="U194" s="208">
        <f t="shared" si="30"/>
        <v>0</v>
      </c>
      <c r="V194" s="208">
        <f t="shared" si="31"/>
        <v>0</v>
      </c>
      <c r="W194" s="202">
        <f>Alukset_Käynnit!N201</f>
        <v>0</v>
      </c>
      <c r="X194" s="211">
        <f>IF(Q194="Other dry cargo", Alukset_fx!$C$52, IF(OR(Q194="Dry bulk",Q194="Bulk carrier"),Alukset_fx!$C$35,IF(OR(Q194="Tanker",Q194="Gas tanker",Q194="Oil tanker"),Alukset_fx!$C$57,IF(Q194="Chemical tanker",Alukset_fx!$C$56,IF(OR(Q194="Tugboat",Q194="Barge"),0,IF(Q194="Other vessel",Alukset_fx!$C$54,IF(Q194="Container ship",Alukset_fx!$C$37,IF(OR(Q194="RoPax",Q194="RoRo",Q194="Vehicle carrier"),Alukset_fx!$C$55,0))))))))</f>
        <v>0</v>
      </c>
      <c r="Y194" s="211">
        <f>IF(Q194="Other dry cargo", Alukset_fx!$Q$52, IF(OR(Q194="Dry bulk",Q194="Bulk carrier"),Alukset_fx!$Q$35,IF(OR(Q194="Tanker",Q194="Gas tanker",Q194="Oil tanker"),Alukset_fx!$Q$57,IF(Q194="Chemical tanker",Alukset_fx!$Q$56,IF(OR(Q194="Tugboat",Q194="Barge"),0,IF(Q194="Other vessel",Alukset_fx!$Q$54,IF(Q194="Container ship",Alukset_fx!$Q$37,IF(OR(Q194="RoPax",Q194="RoRo",Q194="Vehicle carrier"),Alukset_fx!$Q$55,0))))))))</f>
        <v>0</v>
      </c>
      <c r="Z194" t="str">
        <f t="shared" si="32"/>
        <v>MDO/MGO</v>
      </c>
      <c r="AA194" t="str">
        <f t="shared" si="33"/>
        <v>MSD</v>
      </c>
      <c r="AB194" t="str">
        <f t="shared" si="34"/>
        <v>MDO/MGO</v>
      </c>
      <c r="AC194" t="str">
        <f t="shared" si="35"/>
        <v>MSD</v>
      </c>
      <c r="AD194" t="str">
        <f t="shared" si="36"/>
        <v>MDO/MGO</v>
      </c>
      <c r="AE194" t="str">
        <f t="shared" si="37"/>
        <v>ST</v>
      </c>
      <c r="AG194">
        <f>Alukset_Käynnit!O201</f>
        <v>0</v>
      </c>
      <c r="AH194" s="207">
        <f>IF(AA194="SSD",((U194*Alukset_fx!$B$24)*Alukset_Käynnit_Lask!W194*(Alukset_fx!$K$49)/1000),IF(AA194="MSD",((U194*Alukset_fx!$B$24)*Alukset_Käynnit_Lask!W194*(Alukset_fx!$K$52)/1000),IF(AA194="HSD",((U194*Alukset_fx!$B$24)*Alukset_Käynnit_Lask!W194*(Alukset_fx!$K$55)/1000),0)))</f>
        <v>0</v>
      </c>
      <c r="AI194" s="207">
        <f>IF(AC194="MSD",((V194*Alukset_fx!$B$25)*Alukset_Käynnit_Lask!W194*(Alukset_fx!$L$52)/1000),IF(AC194="HSD",((V194*Alukset_fx!$B$25)*Alukset_Käynnit_Lask!W194*(Alukset_fx!$L$55)/1000),0))</f>
        <v>0</v>
      </c>
      <c r="AJ194" s="207">
        <f>X194*W194*Alukset_fx!$K$61/1000</f>
        <v>0</v>
      </c>
      <c r="AK194">
        <v>0</v>
      </c>
      <c r="AL194" s="207">
        <f>IF(AG194="Käytetty",0,IF(AC194="MSD",((V194*Alukset_fx!$O$25)*Alukset_Käynnit_Lask!O194*(Alukset_fx!$L$52)/1000),IF(AC194="HSD",((V194*Alukset_fx!$O$25)*Alukset_Käynnit_Lask!O194*(Alukset_fx!$L$55)/1000),0)))</f>
        <v>0</v>
      </c>
      <c r="AM194" s="207">
        <f>IF(AG194="Käytetty",0,Y194*O194*Alukset_fx!$K$61/1000)</f>
        <v>0</v>
      </c>
      <c r="AN194" s="213">
        <f t="shared" si="38"/>
        <v>0</v>
      </c>
    </row>
    <row r="195" spans="1:40" x14ac:dyDescent="0.25">
      <c r="A195" s="203">
        <f>Alukset_Käynnit!A202</f>
        <v>0</v>
      </c>
      <c r="B195" s="203">
        <f>Alukset_Käynnit!B202</f>
        <v>0</v>
      </c>
      <c r="C195" s="262">
        <f>Alukset_Käynnit!C202</f>
        <v>0</v>
      </c>
      <c r="D195" s="266">
        <f>Alukset_Käynnit!D202</f>
        <v>0</v>
      </c>
      <c r="E195" s="262">
        <f>Alukset_Käynnit!E202</f>
        <v>0</v>
      </c>
      <c r="F195" s="262">
        <f>Alukset_Käynnit!F202</f>
        <v>0</v>
      </c>
      <c r="G195" s="262">
        <f>Alukset_Käynnit!G202</f>
        <v>0</v>
      </c>
      <c r="H195" s="262">
        <f>Alukset_Käynnit!H202</f>
        <v>0</v>
      </c>
      <c r="I195" s="262">
        <f>Alukset_Käynnit!I202</f>
        <v>0</v>
      </c>
      <c r="J195" s="262">
        <f>Alukset_Käynnit!J202</f>
        <v>0</v>
      </c>
      <c r="K195" s="262">
        <f>Alukset_Käynnit!K202</f>
        <v>0</v>
      </c>
      <c r="L195" s="205">
        <f>Alukset_Käynnit!L202</f>
        <v>0</v>
      </c>
      <c r="N195" s="273">
        <f t="shared" si="39"/>
        <v>0</v>
      </c>
      <c r="O195" s="274">
        <f t="shared" si="40"/>
        <v>0</v>
      </c>
      <c r="Q195" s="204">
        <f t="shared" si="29"/>
        <v>0</v>
      </c>
      <c r="R195" s="202">
        <f>IF(Q195="Other dry cargo",L195*Alukset_fx!$B$71,IF(OR(Q195="Dry bulk",Q195="Bulk carrier"),L195*Alukset_fx!$B$69,IF(Q195="Tugboat",L195*Alukset_fx!$B$76,IF(OR(Q195="Tanker",Q195="Gas tanker",Q195="Chemical tanker",Q195="Oil tanker"),L195*Alukset_fx!$B$68,IF(OR(Q195="RoRo",Q195="Vehicle carrier"),L195*Alukset_fx!$B$72,IF(Q195="RoPax",L195*Alukset_fx!$B$73,IF(Q195="Container ship",L195*Alukset_fx!$B$70,IF(Q195="Barge",0,L195*Alukset_fx!$B$75))))))))</f>
        <v>0</v>
      </c>
      <c r="S195" s="210">
        <f>IF(L195=0,IF(Q195="Other dry cargo",Alukset_fx!$H$73*(Alukset_Käynnit_Lask!K195^Alukset_fx!$I$73),IF(OR(Q195="Dry Bulk",Q195="Bulk carrier"),Alukset_fx!$H$71*(Alukset_Käynnit_Lask!K195^Alukset_fx!$I$71),IF(Q195="Tugboat",Alukset_fx!$H$78*(Alukset_Käynnit_Lask!K195^Alukset_fx!$I$78),IF(OR(Q195="Tanker",Q195="Gas tanker",Q195="Chemical tanker",Q195="Oil tanker"),Alukset_fx!$H$70*(Alukset_Käynnit_Lask!K195^Alukset_fx!$I$70),IF(Q195="Container ship",Alukset_fx!$H$72*(Alukset_Käynnit_Lask!K195^Alukset_fx!$I$72),IF(Q195="Barge",0,IF(Q195="RoPax",Alukset_fx!$H$75*(Alukset_Käynnit_Lask!K195^Alukset_fx!$I$75),IF(OR(Q195="RoRo",Q195="Vehicle carrier"),Alukset_fx!$H$74*(Alukset_Käynnit_Lask!K195^Alukset_fx!$I$74),Alukset_fx!$H$77*(Alukset_Käynnit_Lask!K195^Alukset_fx!$I$77))))))))),"-")</f>
        <v>0</v>
      </c>
      <c r="T195" s="208">
        <f>IF(R195=0,IF(Q195="Other dry cargo",S195*Alukset_fx!$B$71,IF(OR(Q195="Dry bulk",Q195="Bulk carrier"),S195*Alukset_fx!$B$69,IF(Q195="Tugboat",S195*Alukset_fx!$B$76,IF(OR(Q195="Tanker",Q195="Gas tanker",Q195="Chemical tanker",Q195="Oil tanker"),S195*Alukset_fx!$B$68,IF(OR(Q195="RoRo",Q195="Vehicle carrier"),S195*Alukset_fx!$B$72,IF(Q195="RoPax",S195*Alukset_fx!$B$73,IF(Q195="Container ship",S195*Alukset_fx!$B$70,S195*Alukset_fx!$B$75))))))),"-")</f>
        <v>0</v>
      </c>
      <c r="U195" s="208">
        <f t="shared" si="30"/>
        <v>0</v>
      </c>
      <c r="V195" s="208">
        <f t="shared" si="31"/>
        <v>0</v>
      </c>
      <c r="W195" s="202">
        <f>Alukset_Käynnit!N202</f>
        <v>0</v>
      </c>
      <c r="X195" s="211">
        <f>IF(Q195="Other dry cargo", Alukset_fx!$C$52, IF(OR(Q195="Dry bulk",Q195="Bulk carrier"),Alukset_fx!$C$35,IF(OR(Q195="Tanker",Q195="Gas tanker",Q195="Oil tanker"),Alukset_fx!$C$57,IF(Q195="Chemical tanker",Alukset_fx!$C$56,IF(OR(Q195="Tugboat",Q195="Barge"),0,IF(Q195="Other vessel",Alukset_fx!$C$54,IF(Q195="Container ship",Alukset_fx!$C$37,IF(OR(Q195="RoPax",Q195="RoRo",Q195="Vehicle carrier"),Alukset_fx!$C$55,0))))))))</f>
        <v>0</v>
      </c>
      <c r="Y195" s="211">
        <f>IF(Q195="Other dry cargo", Alukset_fx!$Q$52, IF(OR(Q195="Dry bulk",Q195="Bulk carrier"),Alukset_fx!$Q$35,IF(OR(Q195="Tanker",Q195="Gas tanker",Q195="Oil tanker"),Alukset_fx!$Q$57,IF(Q195="Chemical tanker",Alukset_fx!$Q$56,IF(OR(Q195="Tugboat",Q195="Barge"),0,IF(Q195="Other vessel",Alukset_fx!$Q$54,IF(Q195="Container ship",Alukset_fx!$Q$37,IF(OR(Q195="RoPax",Q195="RoRo",Q195="Vehicle carrier"),Alukset_fx!$Q$55,0))))))))</f>
        <v>0</v>
      </c>
      <c r="Z195" t="str">
        <f t="shared" si="32"/>
        <v>MDO/MGO</v>
      </c>
      <c r="AA195" t="str">
        <f t="shared" si="33"/>
        <v>MSD</v>
      </c>
      <c r="AB195" t="str">
        <f t="shared" si="34"/>
        <v>MDO/MGO</v>
      </c>
      <c r="AC195" t="str">
        <f t="shared" si="35"/>
        <v>MSD</v>
      </c>
      <c r="AD195" t="str">
        <f t="shared" si="36"/>
        <v>MDO/MGO</v>
      </c>
      <c r="AE195" t="str">
        <f t="shared" si="37"/>
        <v>ST</v>
      </c>
      <c r="AG195">
        <f>Alukset_Käynnit!O202</f>
        <v>0</v>
      </c>
      <c r="AH195" s="207">
        <f>IF(AA195="SSD",((U195*Alukset_fx!$B$24)*Alukset_Käynnit_Lask!W195*(Alukset_fx!$K$49)/1000),IF(AA195="MSD",((U195*Alukset_fx!$B$24)*Alukset_Käynnit_Lask!W195*(Alukset_fx!$K$52)/1000),IF(AA195="HSD",((U195*Alukset_fx!$B$24)*Alukset_Käynnit_Lask!W195*(Alukset_fx!$K$55)/1000),0)))</f>
        <v>0</v>
      </c>
      <c r="AI195" s="207">
        <f>IF(AC195="MSD",((V195*Alukset_fx!$B$25)*Alukset_Käynnit_Lask!W195*(Alukset_fx!$L$52)/1000),IF(AC195="HSD",((V195*Alukset_fx!$B$25)*Alukset_Käynnit_Lask!W195*(Alukset_fx!$L$55)/1000),0))</f>
        <v>0</v>
      </c>
      <c r="AJ195" s="207">
        <f>X195*W195*Alukset_fx!$K$61/1000</f>
        <v>0</v>
      </c>
      <c r="AK195">
        <v>0</v>
      </c>
      <c r="AL195" s="207">
        <f>IF(AG195="Käytetty",0,IF(AC195="MSD",((V195*Alukset_fx!$O$25)*Alukset_Käynnit_Lask!O195*(Alukset_fx!$L$52)/1000),IF(AC195="HSD",((V195*Alukset_fx!$O$25)*Alukset_Käynnit_Lask!O195*(Alukset_fx!$L$55)/1000),0)))</f>
        <v>0</v>
      </c>
      <c r="AM195" s="207">
        <f>IF(AG195="Käytetty",0,Y195*O195*Alukset_fx!$K$61/1000)</f>
        <v>0</v>
      </c>
      <c r="AN195" s="213">
        <f t="shared" si="38"/>
        <v>0</v>
      </c>
    </row>
    <row r="196" spans="1:40" x14ac:dyDescent="0.25">
      <c r="A196" s="203">
        <f>Alukset_Käynnit!A203</f>
        <v>0</v>
      </c>
      <c r="B196" s="203">
        <f>Alukset_Käynnit!B203</f>
        <v>0</v>
      </c>
      <c r="C196" s="262">
        <f>Alukset_Käynnit!C203</f>
        <v>0</v>
      </c>
      <c r="D196" s="266">
        <f>Alukset_Käynnit!D203</f>
        <v>0</v>
      </c>
      <c r="E196" s="262">
        <f>Alukset_Käynnit!E203</f>
        <v>0</v>
      </c>
      <c r="F196" s="262">
        <f>Alukset_Käynnit!F203</f>
        <v>0</v>
      </c>
      <c r="G196" s="262">
        <f>Alukset_Käynnit!G203</f>
        <v>0</v>
      </c>
      <c r="H196" s="262">
        <f>Alukset_Käynnit!H203</f>
        <v>0</v>
      </c>
      <c r="I196" s="262">
        <f>Alukset_Käynnit!I203</f>
        <v>0</v>
      </c>
      <c r="J196" s="262">
        <f>Alukset_Käynnit!J203</f>
        <v>0</v>
      </c>
      <c r="K196" s="262">
        <f>Alukset_Käynnit!K203</f>
        <v>0</v>
      </c>
      <c r="L196" s="205">
        <f>Alukset_Käynnit!L203</f>
        <v>0</v>
      </c>
      <c r="N196" s="273">
        <f t="shared" si="39"/>
        <v>0</v>
      </c>
      <c r="O196" s="274">
        <f t="shared" si="40"/>
        <v>0</v>
      </c>
      <c r="Q196" s="204">
        <f t="shared" si="29"/>
        <v>0</v>
      </c>
      <c r="R196" s="202">
        <f>IF(Q196="Other dry cargo",L196*Alukset_fx!$B$71,IF(OR(Q196="Dry bulk",Q196="Bulk carrier"),L196*Alukset_fx!$B$69,IF(Q196="Tugboat",L196*Alukset_fx!$B$76,IF(OR(Q196="Tanker",Q196="Gas tanker",Q196="Chemical tanker",Q196="Oil tanker"),L196*Alukset_fx!$B$68,IF(OR(Q196="RoRo",Q196="Vehicle carrier"),L196*Alukset_fx!$B$72,IF(Q196="RoPax",L196*Alukset_fx!$B$73,IF(Q196="Container ship",L196*Alukset_fx!$B$70,IF(Q196="Barge",0,L196*Alukset_fx!$B$75))))))))</f>
        <v>0</v>
      </c>
      <c r="S196" s="210">
        <f>IF(L196=0,IF(Q196="Other dry cargo",Alukset_fx!$H$73*(Alukset_Käynnit_Lask!K196^Alukset_fx!$I$73),IF(OR(Q196="Dry Bulk",Q196="Bulk carrier"),Alukset_fx!$H$71*(Alukset_Käynnit_Lask!K196^Alukset_fx!$I$71),IF(Q196="Tugboat",Alukset_fx!$H$78*(Alukset_Käynnit_Lask!K196^Alukset_fx!$I$78),IF(OR(Q196="Tanker",Q196="Gas tanker",Q196="Chemical tanker",Q196="Oil tanker"),Alukset_fx!$H$70*(Alukset_Käynnit_Lask!K196^Alukset_fx!$I$70),IF(Q196="Container ship",Alukset_fx!$H$72*(Alukset_Käynnit_Lask!K196^Alukset_fx!$I$72),IF(Q196="Barge",0,IF(Q196="RoPax",Alukset_fx!$H$75*(Alukset_Käynnit_Lask!K196^Alukset_fx!$I$75),IF(OR(Q196="RoRo",Q196="Vehicle carrier"),Alukset_fx!$H$74*(Alukset_Käynnit_Lask!K196^Alukset_fx!$I$74),Alukset_fx!$H$77*(Alukset_Käynnit_Lask!K196^Alukset_fx!$I$77))))))))),"-")</f>
        <v>0</v>
      </c>
      <c r="T196" s="208">
        <f>IF(R196=0,IF(Q196="Other dry cargo",S196*Alukset_fx!$B$71,IF(OR(Q196="Dry bulk",Q196="Bulk carrier"),S196*Alukset_fx!$B$69,IF(Q196="Tugboat",S196*Alukset_fx!$B$76,IF(OR(Q196="Tanker",Q196="Gas tanker",Q196="Chemical tanker",Q196="Oil tanker"),S196*Alukset_fx!$B$68,IF(OR(Q196="RoRo",Q196="Vehicle carrier"),S196*Alukset_fx!$B$72,IF(Q196="RoPax",S196*Alukset_fx!$B$73,IF(Q196="Container ship",S196*Alukset_fx!$B$70,S196*Alukset_fx!$B$75))))))),"-")</f>
        <v>0</v>
      </c>
      <c r="U196" s="208">
        <f t="shared" si="30"/>
        <v>0</v>
      </c>
      <c r="V196" s="208">
        <f t="shared" si="31"/>
        <v>0</v>
      </c>
      <c r="W196" s="202">
        <f>Alukset_Käynnit!N203</f>
        <v>0</v>
      </c>
      <c r="X196" s="211">
        <f>IF(Q196="Other dry cargo", Alukset_fx!$C$52, IF(OR(Q196="Dry bulk",Q196="Bulk carrier"),Alukset_fx!$C$35,IF(OR(Q196="Tanker",Q196="Gas tanker",Q196="Oil tanker"),Alukset_fx!$C$57,IF(Q196="Chemical tanker",Alukset_fx!$C$56,IF(OR(Q196="Tugboat",Q196="Barge"),0,IF(Q196="Other vessel",Alukset_fx!$C$54,IF(Q196="Container ship",Alukset_fx!$C$37,IF(OR(Q196="RoPax",Q196="RoRo",Q196="Vehicle carrier"),Alukset_fx!$C$55,0))))))))</f>
        <v>0</v>
      </c>
      <c r="Y196" s="211">
        <f>IF(Q196="Other dry cargo", Alukset_fx!$Q$52, IF(OR(Q196="Dry bulk",Q196="Bulk carrier"),Alukset_fx!$Q$35,IF(OR(Q196="Tanker",Q196="Gas tanker",Q196="Oil tanker"),Alukset_fx!$Q$57,IF(Q196="Chemical tanker",Alukset_fx!$Q$56,IF(OR(Q196="Tugboat",Q196="Barge"),0,IF(Q196="Other vessel",Alukset_fx!$Q$54,IF(Q196="Container ship",Alukset_fx!$Q$37,IF(OR(Q196="RoPax",Q196="RoRo",Q196="Vehicle carrier"),Alukset_fx!$Q$55,0))))))))</f>
        <v>0</v>
      </c>
      <c r="Z196" t="str">
        <f t="shared" si="32"/>
        <v>MDO/MGO</v>
      </c>
      <c r="AA196" t="str">
        <f t="shared" si="33"/>
        <v>MSD</v>
      </c>
      <c r="AB196" t="str">
        <f t="shared" si="34"/>
        <v>MDO/MGO</v>
      </c>
      <c r="AC196" t="str">
        <f t="shared" si="35"/>
        <v>MSD</v>
      </c>
      <c r="AD196" t="str">
        <f t="shared" si="36"/>
        <v>MDO/MGO</v>
      </c>
      <c r="AE196" t="str">
        <f t="shared" si="37"/>
        <v>ST</v>
      </c>
      <c r="AG196">
        <f>Alukset_Käynnit!O203</f>
        <v>0</v>
      </c>
      <c r="AH196" s="207">
        <f>IF(AA196="SSD",((U196*Alukset_fx!$B$24)*Alukset_Käynnit_Lask!W196*(Alukset_fx!$K$49)/1000),IF(AA196="MSD",((U196*Alukset_fx!$B$24)*Alukset_Käynnit_Lask!W196*(Alukset_fx!$K$52)/1000),IF(AA196="HSD",((U196*Alukset_fx!$B$24)*Alukset_Käynnit_Lask!W196*(Alukset_fx!$K$55)/1000),0)))</f>
        <v>0</v>
      </c>
      <c r="AI196" s="207">
        <f>IF(AC196="MSD",((V196*Alukset_fx!$B$25)*Alukset_Käynnit_Lask!W196*(Alukset_fx!$L$52)/1000),IF(AC196="HSD",((V196*Alukset_fx!$B$25)*Alukset_Käynnit_Lask!W196*(Alukset_fx!$L$55)/1000),0))</f>
        <v>0</v>
      </c>
      <c r="AJ196" s="207">
        <f>X196*W196*Alukset_fx!$K$61/1000</f>
        <v>0</v>
      </c>
      <c r="AK196">
        <v>0</v>
      </c>
      <c r="AL196" s="207">
        <f>IF(AG196="Käytetty",0,IF(AC196="MSD",((V196*Alukset_fx!$O$25)*Alukset_Käynnit_Lask!O196*(Alukset_fx!$L$52)/1000),IF(AC196="HSD",((V196*Alukset_fx!$O$25)*Alukset_Käynnit_Lask!O196*(Alukset_fx!$L$55)/1000),0)))</f>
        <v>0</v>
      </c>
      <c r="AM196" s="207">
        <f>IF(AG196="Käytetty",0,Y196*O196*Alukset_fx!$K$61/1000)</f>
        <v>0</v>
      </c>
      <c r="AN196" s="213">
        <f t="shared" si="38"/>
        <v>0</v>
      </c>
    </row>
    <row r="197" spans="1:40" x14ac:dyDescent="0.25">
      <c r="A197" s="203">
        <f>Alukset_Käynnit!A204</f>
        <v>0</v>
      </c>
      <c r="B197" s="203">
        <f>Alukset_Käynnit!B204</f>
        <v>0</v>
      </c>
      <c r="C197" s="262">
        <f>Alukset_Käynnit!C204</f>
        <v>0</v>
      </c>
      <c r="D197" s="266">
        <f>Alukset_Käynnit!D204</f>
        <v>0</v>
      </c>
      <c r="E197" s="262">
        <f>Alukset_Käynnit!E204</f>
        <v>0</v>
      </c>
      <c r="F197" s="262">
        <f>Alukset_Käynnit!F204</f>
        <v>0</v>
      </c>
      <c r="G197" s="262">
        <f>Alukset_Käynnit!G204</f>
        <v>0</v>
      </c>
      <c r="H197" s="262">
        <f>Alukset_Käynnit!H204</f>
        <v>0</v>
      </c>
      <c r="I197" s="262">
        <f>Alukset_Käynnit!I204</f>
        <v>0</v>
      </c>
      <c r="J197" s="262">
        <f>Alukset_Käynnit!J204</f>
        <v>0</v>
      </c>
      <c r="K197" s="262">
        <f>Alukset_Käynnit!K204</f>
        <v>0</v>
      </c>
      <c r="L197" s="205">
        <f>Alukset_Käynnit!L204</f>
        <v>0</v>
      </c>
      <c r="N197" s="273">
        <f t="shared" si="39"/>
        <v>0</v>
      </c>
      <c r="O197" s="274">
        <f t="shared" si="40"/>
        <v>0</v>
      </c>
      <c r="Q197" s="204">
        <f t="shared" si="29"/>
        <v>0</v>
      </c>
      <c r="R197" s="202">
        <f>IF(Q197="Other dry cargo",L197*Alukset_fx!$B$71,IF(OR(Q197="Dry bulk",Q197="Bulk carrier"),L197*Alukset_fx!$B$69,IF(Q197="Tugboat",L197*Alukset_fx!$B$76,IF(OR(Q197="Tanker",Q197="Gas tanker",Q197="Chemical tanker",Q197="Oil tanker"),L197*Alukset_fx!$B$68,IF(OR(Q197="RoRo",Q197="Vehicle carrier"),L197*Alukset_fx!$B$72,IF(Q197="RoPax",L197*Alukset_fx!$B$73,IF(Q197="Container ship",L197*Alukset_fx!$B$70,IF(Q197="Barge",0,L197*Alukset_fx!$B$75))))))))</f>
        <v>0</v>
      </c>
      <c r="S197" s="210">
        <f>IF(L197=0,IF(Q197="Other dry cargo",Alukset_fx!$H$73*(Alukset_Käynnit_Lask!K197^Alukset_fx!$I$73),IF(OR(Q197="Dry Bulk",Q197="Bulk carrier"),Alukset_fx!$H$71*(Alukset_Käynnit_Lask!K197^Alukset_fx!$I$71),IF(Q197="Tugboat",Alukset_fx!$H$78*(Alukset_Käynnit_Lask!K197^Alukset_fx!$I$78),IF(OR(Q197="Tanker",Q197="Gas tanker",Q197="Chemical tanker",Q197="Oil tanker"),Alukset_fx!$H$70*(Alukset_Käynnit_Lask!K197^Alukset_fx!$I$70),IF(Q197="Container ship",Alukset_fx!$H$72*(Alukset_Käynnit_Lask!K197^Alukset_fx!$I$72),IF(Q197="Barge",0,IF(Q197="RoPax",Alukset_fx!$H$75*(Alukset_Käynnit_Lask!K197^Alukset_fx!$I$75),IF(OR(Q197="RoRo",Q197="Vehicle carrier"),Alukset_fx!$H$74*(Alukset_Käynnit_Lask!K197^Alukset_fx!$I$74),Alukset_fx!$H$77*(Alukset_Käynnit_Lask!K197^Alukset_fx!$I$77))))))))),"-")</f>
        <v>0</v>
      </c>
      <c r="T197" s="208">
        <f>IF(R197=0,IF(Q197="Other dry cargo",S197*Alukset_fx!$B$71,IF(OR(Q197="Dry bulk",Q197="Bulk carrier"),S197*Alukset_fx!$B$69,IF(Q197="Tugboat",S197*Alukset_fx!$B$76,IF(OR(Q197="Tanker",Q197="Gas tanker",Q197="Chemical tanker",Q197="Oil tanker"),S197*Alukset_fx!$B$68,IF(OR(Q197="RoRo",Q197="Vehicle carrier"),S197*Alukset_fx!$B$72,IF(Q197="RoPax",S197*Alukset_fx!$B$73,IF(Q197="Container ship",S197*Alukset_fx!$B$70,S197*Alukset_fx!$B$75))))))),"-")</f>
        <v>0</v>
      </c>
      <c r="U197" s="208">
        <f t="shared" si="30"/>
        <v>0</v>
      </c>
      <c r="V197" s="208">
        <f t="shared" si="31"/>
        <v>0</v>
      </c>
      <c r="W197" s="202">
        <f>Alukset_Käynnit!N204</f>
        <v>0</v>
      </c>
      <c r="X197" s="211">
        <f>IF(Q197="Other dry cargo", Alukset_fx!$C$52, IF(OR(Q197="Dry bulk",Q197="Bulk carrier"),Alukset_fx!$C$35,IF(OR(Q197="Tanker",Q197="Gas tanker",Q197="Oil tanker"),Alukset_fx!$C$57,IF(Q197="Chemical tanker",Alukset_fx!$C$56,IF(OR(Q197="Tugboat",Q197="Barge"),0,IF(Q197="Other vessel",Alukset_fx!$C$54,IF(Q197="Container ship",Alukset_fx!$C$37,IF(OR(Q197="RoPax",Q197="RoRo",Q197="Vehicle carrier"),Alukset_fx!$C$55,0))))))))</f>
        <v>0</v>
      </c>
      <c r="Y197" s="211">
        <f>IF(Q197="Other dry cargo", Alukset_fx!$Q$52, IF(OR(Q197="Dry bulk",Q197="Bulk carrier"),Alukset_fx!$Q$35,IF(OR(Q197="Tanker",Q197="Gas tanker",Q197="Oil tanker"),Alukset_fx!$Q$57,IF(Q197="Chemical tanker",Alukset_fx!$Q$56,IF(OR(Q197="Tugboat",Q197="Barge"),0,IF(Q197="Other vessel",Alukset_fx!$Q$54,IF(Q197="Container ship",Alukset_fx!$Q$37,IF(OR(Q197="RoPax",Q197="RoRo",Q197="Vehicle carrier"),Alukset_fx!$Q$55,0))))))))</f>
        <v>0</v>
      </c>
      <c r="Z197" t="str">
        <f t="shared" si="32"/>
        <v>MDO/MGO</v>
      </c>
      <c r="AA197" t="str">
        <f t="shared" si="33"/>
        <v>MSD</v>
      </c>
      <c r="AB197" t="str">
        <f t="shared" si="34"/>
        <v>MDO/MGO</v>
      </c>
      <c r="AC197" t="str">
        <f t="shared" si="35"/>
        <v>MSD</v>
      </c>
      <c r="AD197" t="str">
        <f t="shared" si="36"/>
        <v>MDO/MGO</v>
      </c>
      <c r="AE197" t="str">
        <f t="shared" si="37"/>
        <v>ST</v>
      </c>
      <c r="AG197">
        <f>Alukset_Käynnit!O204</f>
        <v>0</v>
      </c>
      <c r="AH197" s="207">
        <f>IF(AA197="SSD",((U197*Alukset_fx!$B$24)*Alukset_Käynnit_Lask!W197*(Alukset_fx!$K$49)/1000),IF(AA197="MSD",((U197*Alukset_fx!$B$24)*Alukset_Käynnit_Lask!W197*(Alukset_fx!$K$52)/1000),IF(AA197="HSD",((U197*Alukset_fx!$B$24)*Alukset_Käynnit_Lask!W197*(Alukset_fx!$K$55)/1000),0)))</f>
        <v>0</v>
      </c>
      <c r="AI197" s="207">
        <f>IF(AC197="MSD",((V197*Alukset_fx!$B$25)*Alukset_Käynnit_Lask!W197*(Alukset_fx!$L$52)/1000),IF(AC197="HSD",((V197*Alukset_fx!$B$25)*Alukset_Käynnit_Lask!W197*(Alukset_fx!$L$55)/1000),0))</f>
        <v>0</v>
      </c>
      <c r="AJ197" s="207">
        <f>X197*W197*Alukset_fx!$K$61/1000</f>
        <v>0</v>
      </c>
      <c r="AK197">
        <v>0</v>
      </c>
      <c r="AL197" s="207">
        <f>IF(AG197="Käytetty",0,IF(AC197="MSD",((V197*Alukset_fx!$O$25)*Alukset_Käynnit_Lask!O197*(Alukset_fx!$L$52)/1000),IF(AC197="HSD",((V197*Alukset_fx!$O$25)*Alukset_Käynnit_Lask!O197*(Alukset_fx!$L$55)/1000),0)))</f>
        <v>0</v>
      </c>
      <c r="AM197" s="207">
        <f>IF(AG197="Käytetty",0,Y197*O197*Alukset_fx!$K$61/1000)</f>
        <v>0</v>
      </c>
      <c r="AN197" s="213">
        <f t="shared" si="38"/>
        <v>0</v>
      </c>
    </row>
    <row r="198" spans="1:40" x14ac:dyDescent="0.25">
      <c r="A198" s="203">
        <f>Alukset_Käynnit!A205</f>
        <v>0</v>
      </c>
      <c r="B198" s="203">
        <f>Alukset_Käynnit!B205</f>
        <v>0</v>
      </c>
      <c r="C198" s="262">
        <f>Alukset_Käynnit!C205</f>
        <v>0</v>
      </c>
      <c r="D198" s="266">
        <f>Alukset_Käynnit!D205</f>
        <v>0</v>
      </c>
      <c r="E198" s="262">
        <f>Alukset_Käynnit!E205</f>
        <v>0</v>
      </c>
      <c r="F198" s="262">
        <f>Alukset_Käynnit!F205</f>
        <v>0</v>
      </c>
      <c r="G198" s="262">
        <f>Alukset_Käynnit!G205</f>
        <v>0</v>
      </c>
      <c r="H198" s="262">
        <f>Alukset_Käynnit!H205</f>
        <v>0</v>
      </c>
      <c r="I198" s="262">
        <f>Alukset_Käynnit!I205</f>
        <v>0</v>
      </c>
      <c r="J198" s="262">
        <f>Alukset_Käynnit!J205</f>
        <v>0</v>
      </c>
      <c r="K198" s="262">
        <f>Alukset_Käynnit!K205</f>
        <v>0</v>
      </c>
      <c r="L198" s="205">
        <f>Alukset_Käynnit!L205</f>
        <v>0</v>
      </c>
      <c r="N198" s="273">
        <f t="shared" si="39"/>
        <v>0</v>
      </c>
      <c r="O198" s="274">
        <f t="shared" si="40"/>
        <v>0</v>
      </c>
      <c r="Q198" s="204">
        <f t="shared" si="29"/>
        <v>0</v>
      </c>
      <c r="R198" s="202">
        <f>IF(Q198="Other dry cargo",L198*Alukset_fx!$B$71,IF(OR(Q198="Dry bulk",Q198="Bulk carrier"),L198*Alukset_fx!$B$69,IF(Q198="Tugboat",L198*Alukset_fx!$B$76,IF(OR(Q198="Tanker",Q198="Gas tanker",Q198="Chemical tanker",Q198="Oil tanker"),L198*Alukset_fx!$B$68,IF(OR(Q198="RoRo",Q198="Vehicle carrier"),L198*Alukset_fx!$B$72,IF(Q198="RoPax",L198*Alukset_fx!$B$73,IF(Q198="Container ship",L198*Alukset_fx!$B$70,IF(Q198="Barge",0,L198*Alukset_fx!$B$75))))))))</f>
        <v>0</v>
      </c>
      <c r="S198" s="210">
        <f>IF(L198=0,IF(Q198="Other dry cargo",Alukset_fx!$H$73*(Alukset_Käynnit_Lask!K198^Alukset_fx!$I$73),IF(OR(Q198="Dry Bulk",Q198="Bulk carrier"),Alukset_fx!$H$71*(Alukset_Käynnit_Lask!K198^Alukset_fx!$I$71),IF(Q198="Tugboat",Alukset_fx!$H$78*(Alukset_Käynnit_Lask!K198^Alukset_fx!$I$78),IF(OR(Q198="Tanker",Q198="Gas tanker",Q198="Chemical tanker",Q198="Oil tanker"),Alukset_fx!$H$70*(Alukset_Käynnit_Lask!K198^Alukset_fx!$I$70),IF(Q198="Container ship",Alukset_fx!$H$72*(Alukset_Käynnit_Lask!K198^Alukset_fx!$I$72),IF(Q198="Barge",0,IF(Q198="RoPax",Alukset_fx!$H$75*(Alukset_Käynnit_Lask!K198^Alukset_fx!$I$75),IF(OR(Q198="RoRo",Q198="Vehicle carrier"),Alukset_fx!$H$74*(Alukset_Käynnit_Lask!K198^Alukset_fx!$I$74),Alukset_fx!$H$77*(Alukset_Käynnit_Lask!K198^Alukset_fx!$I$77))))))))),"-")</f>
        <v>0</v>
      </c>
      <c r="T198" s="208">
        <f>IF(R198=0,IF(Q198="Other dry cargo",S198*Alukset_fx!$B$71,IF(OR(Q198="Dry bulk",Q198="Bulk carrier"),S198*Alukset_fx!$B$69,IF(Q198="Tugboat",S198*Alukset_fx!$B$76,IF(OR(Q198="Tanker",Q198="Gas tanker",Q198="Chemical tanker",Q198="Oil tanker"),S198*Alukset_fx!$B$68,IF(OR(Q198="RoRo",Q198="Vehicle carrier"),S198*Alukset_fx!$B$72,IF(Q198="RoPax",S198*Alukset_fx!$B$73,IF(Q198="Container ship",S198*Alukset_fx!$B$70,S198*Alukset_fx!$B$75))))))),"-")</f>
        <v>0</v>
      </c>
      <c r="U198" s="208">
        <f t="shared" si="30"/>
        <v>0</v>
      </c>
      <c r="V198" s="208">
        <f t="shared" si="31"/>
        <v>0</v>
      </c>
      <c r="W198" s="202">
        <f>Alukset_Käynnit!N205</f>
        <v>0</v>
      </c>
      <c r="X198" s="211">
        <f>IF(Q198="Other dry cargo", Alukset_fx!$C$52, IF(OR(Q198="Dry bulk",Q198="Bulk carrier"),Alukset_fx!$C$35,IF(OR(Q198="Tanker",Q198="Gas tanker",Q198="Oil tanker"),Alukset_fx!$C$57,IF(Q198="Chemical tanker",Alukset_fx!$C$56,IF(OR(Q198="Tugboat",Q198="Barge"),0,IF(Q198="Other vessel",Alukset_fx!$C$54,IF(Q198="Container ship",Alukset_fx!$C$37,IF(OR(Q198="RoPax",Q198="RoRo",Q198="Vehicle carrier"),Alukset_fx!$C$55,0))))))))</f>
        <v>0</v>
      </c>
      <c r="Y198" s="211">
        <f>IF(Q198="Other dry cargo", Alukset_fx!$Q$52, IF(OR(Q198="Dry bulk",Q198="Bulk carrier"),Alukset_fx!$Q$35,IF(OR(Q198="Tanker",Q198="Gas tanker",Q198="Oil tanker"),Alukset_fx!$Q$57,IF(Q198="Chemical tanker",Alukset_fx!$Q$56,IF(OR(Q198="Tugboat",Q198="Barge"),0,IF(Q198="Other vessel",Alukset_fx!$Q$54,IF(Q198="Container ship",Alukset_fx!$Q$37,IF(OR(Q198="RoPax",Q198="RoRo",Q198="Vehicle carrier"),Alukset_fx!$Q$55,0))))))))</f>
        <v>0</v>
      </c>
      <c r="Z198" t="str">
        <f t="shared" si="32"/>
        <v>MDO/MGO</v>
      </c>
      <c r="AA198" t="str">
        <f t="shared" si="33"/>
        <v>MSD</v>
      </c>
      <c r="AB198" t="str">
        <f t="shared" si="34"/>
        <v>MDO/MGO</v>
      </c>
      <c r="AC198" t="str">
        <f t="shared" si="35"/>
        <v>MSD</v>
      </c>
      <c r="AD198" t="str">
        <f t="shared" si="36"/>
        <v>MDO/MGO</v>
      </c>
      <c r="AE198" t="str">
        <f t="shared" si="37"/>
        <v>ST</v>
      </c>
      <c r="AG198">
        <f>Alukset_Käynnit!O205</f>
        <v>0</v>
      </c>
      <c r="AH198" s="207">
        <f>IF(AA198="SSD",((U198*Alukset_fx!$B$24)*Alukset_Käynnit_Lask!W198*(Alukset_fx!$K$49)/1000),IF(AA198="MSD",((U198*Alukset_fx!$B$24)*Alukset_Käynnit_Lask!W198*(Alukset_fx!$K$52)/1000),IF(AA198="HSD",((U198*Alukset_fx!$B$24)*Alukset_Käynnit_Lask!W198*(Alukset_fx!$K$55)/1000),0)))</f>
        <v>0</v>
      </c>
      <c r="AI198" s="207">
        <f>IF(AC198="MSD",((V198*Alukset_fx!$B$25)*Alukset_Käynnit_Lask!W198*(Alukset_fx!$L$52)/1000),IF(AC198="HSD",((V198*Alukset_fx!$B$25)*Alukset_Käynnit_Lask!W198*(Alukset_fx!$L$55)/1000),0))</f>
        <v>0</v>
      </c>
      <c r="AJ198" s="207">
        <f>X198*W198*Alukset_fx!$K$61/1000</f>
        <v>0</v>
      </c>
      <c r="AK198">
        <v>0</v>
      </c>
      <c r="AL198" s="207">
        <f>IF(AG198="Käytetty",0,IF(AC198="MSD",((V198*Alukset_fx!$O$25)*Alukset_Käynnit_Lask!O198*(Alukset_fx!$L$52)/1000),IF(AC198="HSD",((V198*Alukset_fx!$O$25)*Alukset_Käynnit_Lask!O198*(Alukset_fx!$L$55)/1000),0)))</f>
        <v>0</v>
      </c>
      <c r="AM198" s="207">
        <f>IF(AG198="Käytetty",0,Y198*O198*Alukset_fx!$K$61/1000)</f>
        <v>0</v>
      </c>
      <c r="AN198" s="213">
        <f t="shared" si="38"/>
        <v>0</v>
      </c>
    </row>
    <row r="199" spans="1:40" x14ac:dyDescent="0.25">
      <c r="A199" s="203">
        <f>Alukset_Käynnit!A206</f>
        <v>0</v>
      </c>
      <c r="B199" s="203">
        <f>Alukset_Käynnit!B206</f>
        <v>0</v>
      </c>
      <c r="C199" s="262">
        <f>Alukset_Käynnit!C206</f>
        <v>0</v>
      </c>
      <c r="D199" s="266">
        <f>Alukset_Käynnit!D206</f>
        <v>0</v>
      </c>
      <c r="E199" s="262">
        <f>Alukset_Käynnit!E206</f>
        <v>0</v>
      </c>
      <c r="F199" s="262">
        <f>Alukset_Käynnit!F206</f>
        <v>0</v>
      </c>
      <c r="G199" s="262">
        <f>Alukset_Käynnit!G206</f>
        <v>0</v>
      </c>
      <c r="H199" s="262">
        <f>Alukset_Käynnit!H206</f>
        <v>0</v>
      </c>
      <c r="I199" s="262">
        <f>Alukset_Käynnit!I206</f>
        <v>0</v>
      </c>
      <c r="J199" s="262">
        <f>Alukset_Käynnit!J206</f>
        <v>0</v>
      </c>
      <c r="K199" s="262">
        <f>Alukset_Käynnit!K206</f>
        <v>0</v>
      </c>
      <c r="L199" s="205">
        <f>Alukset_Käynnit!L206</f>
        <v>0</v>
      </c>
      <c r="N199" s="273">
        <f t="shared" si="39"/>
        <v>0</v>
      </c>
      <c r="O199" s="274">
        <f t="shared" si="40"/>
        <v>0</v>
      </c>
      <c r="Q199" s="204">
        <f t="shared" si="29"/>
        <v>0</v>
      </c>
      <c r="R199" s="202">
        <f>IF(Q199="Other dry cargo",L199*Alukset_fx!$B$71,IF(OR(Q199="Dry bulk",Q199="Bulk carrier"),L199*Alukset_fx!$B$69,IF(Q199="Tugboat",L199*Alukset_fx!$B$76,IF(OR(Q199="Tanker",Q199="Gas tanker",Q199="Chemical tanker",Q199="Oil tanker"),L199*Alukset_fx!$B$68,IF(OR(Q199="RoRo",Q199="Vehicle carrier"),L199*Alukset_fx!$B$72,IF(Q199="RoPax",L199*Alukset_fx!$B$73,IF(Q199="Container ship",L199*Alukset_fx!$B$70,IF(Q199="Barge",0,L199*Alukset_fx!$B$75))))))))</f>
        <v>0</v>
      </c>
      <c r="S199" s="210">
        <f>IF(L199=0,IF(Q199="Other dry cargo",Alukset_fx!$H$73*(Alukset_Käynnit_Lask!K199^Alukset_fx!$I$73),IF(OR(Q199="Dry Bulk",Q199="Bulk carrier"),Alukset_fx!$H$71*(Alukset_Käynnit_Lask!K199^Alukset_fx!$I$71),IF(Q199="Tugboat",Alukset_fx!$H$78*(Alukset_Käynnit_Lask!K199^Alukset_fx!$I$78),IF(OR(Q199="Tanker",Q199="Gas tanker",Q199="Chemical tanker",Q199="Oil tanker"),Alukset_fx!$H$70*(Alukset_Käynnit_Lask!K199^Alukset_fx!$I$70),IF(Q199="Container ship",Alukset_fx!$H$72*(Alukset_Käynnit_Lask!K199^Alukset_fx!$I$72),IF(Q199="Barge",0,IF(Q199="RoPax",Alukset_fx!$H$75*(Alukset_Käynnit_Lask!K199^Alukset_fx!$I$75),IF(OR(Q199="RoRo",Q199="Vehicle carrier"),Alukset_fx!$H$74*(Alukset_Käynnit_Lask!K199^Alukset_fx!$I$74),Alukset_fx!$H$77*(Alukset_Käynnit_Lask!K199^Alukset_fx!$I$77))))))))),"-")</f>
        <v>0</v>
      </c>
      <c r="T199" s="208">
        <f>IF(R199=0,IF(Q199="Other dry cargo",S199*Alukset_fx!$B$71,IF(OR(Q199="Dry bulk",Q199="Bulk carrier"),S199*Alukset_fx!$B$69,IF(Q199="Tugboat",S199*Alukset_fx!$B$76,IF(OR(Q199="Tanker",Q199="Gas tanker",Q199="Chemical tanker",Q199="Oil tanker"),S199*Alukset_fx!$B$68,IF(OR(Q199="RoRo",Q199="Vehicle carrier"),S199*Alukset_fx!$B$72,IF(Q199="RoPax",S199*Alukset_fx!$B$73,IF(Q199="Container ship",S199*Alukset_fx!$B$70,S199*Alukset_fx!$B$75))))))),"-")</f>
        <v>0</v>
      </c>
      <c r="U199" s="208">
        <f t="shared" si="30"/>
        <v>0</v>
      </c>
      <c r="V199" s="208">
        <f t="shared" si="31"/>
        <v>0</v>
      </c>
      <c r="W199" s="202">
        <f>Alukset_Käynnit!N206</f>
        <v>0</v>
      </c>
      <c r="X199" s="211">
        <f>IF(Q199="Other dry cargo", Alukset_fx!$C$52, IF(OR(Q199="Dry bulk",Q199="Bulk carrier"),Alukset_fx!$C$35,IF(OR(Q199="Tanker",Q199="Gas tanker",Q199="Oil tanker"),Alukset_fx!$C$57,IF(Q199="Chemical tanker",Alukset_fx!$C$56,IF(OR(Q199="Tugboat",Q199="Barge"),0,IF(Q199="Other vessel",Alukset_fx!$C$54,IF(Q199="Container ship",Alukset_fx!$C$37,IF(OR(Q199="RoPax",Q199="RoRo",Q199="Vehicle carrier"),Alukset_fx!$C$55,0))))))))</f>
        <v>0</v>
      </c>
      <c r="Y199" s="211">
        <f>IF(Q199="Other dry cargo", Alukset_fx!$Q$52, IF(OR(Q199="Dry bulk",Q199="Bulk carrier"),Alukset_fx!$Q$35,IF(OR(Q199="Tanker",Q199="Gas tanker",Q199="Oil tanker"),Alukset_fx!$Q$57,IF(Q199="Chemical tanker",Alukset_fx!$Q$56,IF(OR(Q199="Tugboat",Q199="Barge"),0,IF(Q199="Other vessel",Alukset_fx!$Q$54,IF(Q199="Container ship",Alukset_fx!$Q$37,IF(OR(Q199="RoPax",Q199="RoRo",Q199="Vehicle carrier"),Alukset_fx!$Q$55,0))))))))</f>
        <v>0</v>
      </c>
      <c r="Z199" t="str">
        <f t="shared" si="32"/>
        <v>MDO/MGO</v>
      </c>
      <c r="AA199" t="str">
        <f t="shared" si="33"/>
        <v>MSD</v>
      </c>
      <c r="AB199" t="str">
        <f t="shared" si="34"/>
        <v>MDO/MGO</v>
      </c>
      <c r="AC199" t="str">
        <f t="shared" si="35"/>
        <v>MSD</v>
      </c>
      <c r="AD199" t="str">
        <f t="shared" si="36"/>
        <v>MDO/MGO</v>
      </c>
      <c r="AE199" t="str">
        <f t="shared" si="37"/>
        <v>ST</v>
      </c>
      <c r="AG199">
        <f>Alukset_Käynnit!O206</f>
        <v>0</v>
      </c>
      <c r="AH199" s="207">
        <f>IF(AA199="SSD",((U199*Alukset_fx!$B$24)*Alukset_Käynnit_Lask!W199*(Alukset_fx!$K$49)/1000),IF(AA199="MSD",((U199*Alukset_fx!$B$24)*Alukset_Käynnit_Lask!W199*(Alukset_fx!$K$52)/1000),IF(AA199="HSD",((U199*Alukset_fx!$B$24)*Alukset_Käynnit_Lask!W199*(Alukset_fx!$K$55)/1000),0)))</f>
        <v>0</v>
      </c>
      <c r="AI199" s="207">
        <f>IF(AC199="MSD",((V199*Alukset_fx!$B$25)*Alukset_Käynnit_Lask!W199*(Alukset_fx!$L$52)/1000),IF(AC199="HSD",((V199*Alukset_fx!$B$25)*Alukset_Käynnit_Lask!W199*(Alukset_fx!$L$55)/1000),0))</f>
        <v>0</v>
      </c>
      <c r="AJ199" s="207">
        <f>X199*W199*Alukset_fx!$K$61/1000</f>
        <v>0</v>
      </c>
      <c r="AK199">
        <v>0</v>
      </c>
      <c r="AL199" s="207">
        <f>IF(AG199="Käytetty",0,IF(AC199="MSD",((V199*Alukset_fx!$O$25)*Alukset_Käynnit_Lask!O199*(Alukset_fx!$L$52)/1000),IF(AC199="HSD",((V199*Alukset_fx!$O$25)*Alukset_Käynnit_Lask!O199*(Alukset_fx!$L$55)/1000),0)))</f>
        <v>0</v>
      </c>
      <c r="AM199" s="207">
        <f>IF(AG199="Käytetty",0,Y199*O199*Alukset_fx!$K$61/1000)</f>
        <v>0</v>
      </c>
      <c r="AN199" s="213">
        <f t="shared" si="38"/>
        <v>0</v>
      </c>
    </row>
    <row r="200" spans="1:40" x14ac:dyDescent="0.25">
      <c r="A200" s="203">
        <f>Alukset_Käynnit!A207</f>
        <v>0</v>
      </c>
      <c r="B200" s="203">
        <f>Alukset_Käynnit!B207</f>
        <v>0</v>
      </c>
      <c r="C200" s="262">
        <f>Alukset_Käynnit!C207</f>
        <v>0</v>
      </c>
      <c r="D200" s="266">
        <f>Alukset_Käynnit!D207</f>
        <v>0</v>
      </c>
      <c r="E200" s="262">
        <f>Alukset_Käynnit!E207</f>
        <v>0</v>
      </c>
      <c r="F200" s="262">
        <f>Alukset_Käynnit!F207</f>
        <v>0</v>
      </c>
      <c r="G200" s="262">
        <f>Alukset_Käynnit!G207</f>
        <v>0</v>
      </c>
      <c r="H200" s="262">
        <f>Alukset_Käynnit!H207</f>
        <v>0</v>
      </c>
      <c r="I200" s="262">
        <f>Alukset_Käynnit!I207</f>
        <v>0</v>
      </c>
      <c r="J200" s="262">
        <f>Alukset_Käynnit!J207</f>
        <v>0</v>
      </c>
      <c r="K200" s="262">
        <f>Alukset_Käynnit!K207</f>
        <v>0</v>
      </c>
      <c r="L200" s="205">
        <f>Alukset_Käynnit!L207</f>
        <v>0</v>
      </c>
      <c r="N200" s="273">
        <f t="shared" si="39"/>
        <v>0</v>
      </c>
      <c r="O200" s="274">
        <f t="shared" si="40"/>
        <v>0</v>
      </c>
      <c r="Q200" s="204">
        <f t="shared" si="29"/>
        <v>0</v>
      </c>
      <c r="R200" s="202">
        <f>IF(Q200="Other dry cargo",L200*Alukset_fx!$B$71,IF(OR(Q200="Dry bulk",Q200="Bulk carrier"),L200*Alukset_fx!$B$69,IF(Q200="Tugboat",L200*Alukset_fx!$B$76,IF(OR(Q200="Tanker",Q200="Gas tanker",Q200="Chemical tanker",Q200="Oil tanker"),L200*Alukset_fx!$B$68,IF(OR(Q200="RoRo",Q200="Vehicle carrier"),L200*Alukset_fx!$B$72,IF(Q200="RoPax",L200*Alukset_fx!$B$73,IF(Q200="Container ship",L200*Alukset_fx!$B$70,IF(Q200="Barge",0,L200*Alukset_fx!$B$75))))))))</f>
        <v>0</v>
      </c>
      <c r="S200" s="210">
        <f>IF(L200=0,IF(Q200="Other dry cargo",Alukset_fx!$H$73*(Alukset_Käynnit_Lask!K200^Alukset_fx!$I$73),IF(OR(Q200="Dry Bulk",Q200="Bulk carrier"),Alukset_fx!$H$71*(Alukset_Käynnit_Lask!K200^Alukset_fx!$I$71),IF(Q200="Tugboat",Alukset_fx!$H$78*(Alukset_Käynnit_Lask!K200^Alukset_fx!$I$78),IF(OR(Q200="Tanker",Q200="Gas tanker",Q200="Chemical tanker",Q200="Oil tanker"),Alukset_fx!$H$70*(Alukset_Käynnit_Lask!K200^Alukset_fx!$I$70),IF(Q200="Container ship",Alukset_fx!$H$72*(Alukset_Käynnit_Lask!K200^Alukset_fx!$I$72),IF(Q200="Barge",0,IF(Q200="RoPax",Alukset_fx!$H$75*(Alukset_Käynnit_Lask!K200^Alukset_fx!$I$75),IF(OR(Q200="RoRo",Q200="Vehicle carrier"),Alukset_fx!$H$74*(Alukset_Käynnit_Lask!K200^Alukset_fx!$I$74),Alukset_fx!$H$77*(Alukset_Käynnit_Lask!K200^Alukset_fx!$I$77))))))))),"-")</f>
        <v>0</v>
      </c>
      <c r="T200" s="208">
        <f>IF(R200=0,IF(Q200="Other dry cargo",S200*Alukset_fx!$B$71,IF(OR(Q200="Dry bulk",Q200="Bulk carrier"),S200*Alukset_fx!$B$69,IF(Q200="Tugboat",S200*Alukset_fx!$B$76,IF(OR(Q200="Tanker",Q200="Gas tanker",Q200="Chemical tanker",Q200="Oil tanker"),S200*Alukset_fx!$B$68,IF(OR(Q200="RoRo",Q200="Vehicle carrier"),S200*Alukset_fx!$B$72,IF(Q200="RoPax",S200*Alukset_fx!$B$73,IF(Q200="Container ship",S200*Alukset_fx!$B$70,S200*Alukset_fx!$B$75))))))),"-")</f>
        <v>0</v>
      </c>
      <c r="U200" s="208">
        <f t="shared" si="30"/>
        <v>0</v>
      </c>
      <c r="V200" s="208">
        <f t="shared" si="31"/>
        <v>0</v>
      </c>
      <c r="W200" s="202">
        <f>Alukset_Käynnit!N207</f>
        <v>0</v>
      </c>
      <c r="X200" s="211">
        <f>IF(Q200="Other dry cargo", Alukset_fx!$C$52, IF(OR(Q200="Dry bulk",Q200="Bulk carrier"),Alukset_fx!$C$35,IF(OR(Q200="Tanker",Q200="Gas tanker",Q200="Oil tanker"),Alukset_fx!$C$57,IF(Q200="Chemical tanker",Alukset_fx!$C$56,IF(OR(Q200="Tugboat",Q200="Barge"),0,IF(Q200="Other vessel",Alukset_fx!$C$54,IF(Q200="Container ship",Alukset_fx!$C$37,IF(OR(Q200="RoPax",Q200="RoRo",Q200="Vehicle carrier"),Alukset_fx!$C$55,0))))))))</f>
        <v>0</v>
      </c>
      <c r="Y200" s="211">
        <f>IF(Q200="Other dry cargo", Alukset_fx!$Q$52, IF(OR(Q200="Dry bulk",Q200="Bulk carrier"),Alukset_fx!$Q$35,IF(OR(Q200="Tanker",Q200="Gas tanker",Q200="Oil tanker"),Alukset_fx!$Q$57,IF(Q200="Chemical tanker",Alukset_fx!$Q$56,IF(OR(Q200="Tugboat",Q200="Barge"),0,IF(Q200="Other vessel",Alukset_fx!$Q$54,IF(Q200="Container ship",Alukset_fx!$Q$37,IF(OR(Q200="RoPax",Q200="RoRo",Q200="Vehicle carrier"),Alukset_fx!$Q$55,0))))))))</f>
        <v>0</v>
      </c>
      <c r="Z200" t="str">
        <f t="shared" si="32"/>
        <v>MDO/MGO</v>
      </c>
      <c r="AA200" t="str">
        <f t="shared" si="33"/>
        <v>MSD</v>
      </c>
      <c r="AB200" t="str">
        <f t="shared" si="34"/>
        <v>MDO/MGO</v>
      </c>
      <c r="AC200" t="str">
        <f t="shared" si="35"/>
        <v>MSD</v>
      </c>
      <c r="AD200" t="str">
        <f t="shared" si="36"/>
        <v>MDO/MGO</v>
      </c>
      <c r="AE200" t="str">
        <f t="shared" si="37"/>
        <v>ST</v>
      </c>
      <c r="AG200">
        <f>Alukset_Käynnit!O207</f>
        <v>0</v>
      </c>
      <c r="AH200" s="207">
        <f>IF(AA200="SSD",((U200*Alukset_fx!$B$24)*Alukset_Käynnit_Lask!W200*(Alukset_fx!$K$49)/1000),IF(AA200="MSD",((U200*Alukset_fx!$B$24)*Alukset_Käynnit_Lask!W200*(Alukset_fx!$K$52)/1000),IF(AA200="HSD",((U200*Alukset_fx!$B$24)*Alukset_Käynnit_Lask!W200*(Alukset_fx!$K$55)/1000),0)))</f>
        <v>0</v>
      </c>
      <c r="AI200" s="207">
        <f>IF(AC200="MSD",((V200*Alukset_fx!$B$25)*Alukset_Käynnit_Lask!W200*(Alukset_fx!$L$52)/1000),IF(AC200="HSD",((V200*Alukset_fx!$B$25)*Alukset_Käynnit_Lask!W200*(Alukset_fx!$L$55)/1000),0))</f>
        <v>0</v>
      </c>
      <c r="AJ200" s="207">
        <f>X200*W200*Alukset_fx!$K$61/1000</f>
        <v>0</v>
      </c>
      <c r="AK200">
        <v>0</v>
      </c>
      <c r="AL200" s="207">
        <f>IF(AG200="Käytetty",0,IF(AC200="MSD",((V200*Alukset_fx!$O$25)*Alukset_Käynnit_Lask!O200*(Alukset_fx!$L$52)/1000),IF(AC200="HSD",((V200*Alukset_fx!$O$25)*Alukset_Käynnit_Lask!O200*(Alukset_fx!$L$55)/1000),0)))</f>
        <v>0</v>
      </c>
      <c r="AM200" s="207">
        <f>IF(AG200="Käytetty",0,Y200*O200*Alukset_fx!$K$61/1000)</f>
        <v>0</v>
      </c>
      <c r="AN200" s="213">
        <f t="shared" si="38"/>
        <v>0</v>
      </c>
    </row>
    <row r="201" spans="1:40" x14ac:dyDescent="0.25">
      <c r="A201" s="203">
        <f>Alukset_Käynnit!A208</f>
        <v>0</v>
      </c>
      <c r="B201" s="203">
        <f>Alukset_Käynnit!B208</f>
        <v>0</v>
      </c>
      <c r="C201" s="262">
        <f>Alukset_Käynnit!C208</f>
        <v>0</v>
      </c>
      <c r="D201" s="266">
        <f>Alukset_Käynnit!D208</f>
        <v>0</v>
      </c>
      <c r="E201" s="262">
        <f>Alukset_Käynnit!E208</f>
        <v>0</v>
      </c>
      <c r="F201" s="262">
        <f>Alukset_Käynnit!F208</f>
        <v>0</v>
      </c>
      <c r="G201" s="262">
        <f>Alukset_Käynnit!G208</f>
        <v>0</v>
      </c>
      <c r="H201" s="262">
        <f>Alukset_Käynnit!H208</f>
        <v>0</v>
      </c>
      <c r="I201" s="262">
        <f>Alukset_Käynnit!I208</f>
        <v>0</v>
      </c>
      <c r="J201" s="262">
        <f>Alukset_Käynnit!J208</f>
        <v>0</v>
      </c>
      <c r="K201" s="262">
        <f>Alukset_Käynnit!K208</f>
        <v>0</v>
      </c>
      <c r="L201" s="205">
        <f>Alukset_Käynnit!L208</f>
        <v>0</v>
      </c>
      <c r="N201" s="273">
        <f t="shared" si="39"/>
        <v>0</v>
      </c>
      <c r="O201" s="274">
        <f t="shared" si="40"/>
        <v>0</v>
      </c>
      <c r="Q201" s="204">
        <f t="shared" si="29"/>
        <v>0</v>
      </c>
      <c r="R201" s="202">
        <f>IF(Q201="Other dry cargo",L201*Alukset_fx!$B$71,IF(OR(Q201="Dry bulk",Q201="Bulk carrier"),L201*Alukset_fx!$B$69,IF(Q201="Tugboat",L201*Alukset_fx!$B$76,IF(OR(Q201="Tanker",Q201="Gas tanker",Q201="Chemical tanker",Q201="Oil tanker"),L201*Alukset_fx!$B$68,IF(OR(Q201="RoRo",Q201="Vehicle carrier"),L201*Alukset_fx!$B$72,IF(Q201="RoPax",L201*Alukset_fx!$B$73,IF(Q201="Container ship",L201*Alukset_fx!$B$70,IF(Q201="Barge",0,L201*Alukset_fx!$B$75))))))))</f>
        <v>0</v>
      </c>
      <c r="S201" s="210">
        <f>IF(L201=0,IF(Q201="Other dry cargo",Alukset_fx!$H$73*(Alukset_Käynnit_Lask!K201^Alukset_fx!$I$73),IF(OR(Q201="Dry Bulk",Q201="Bulk carrier"),Alukset_fx!$H$71*(Alukset_Käynnit_Lask!K201^Alukset_fx!$I$71),IF(Q201="Tugboat",Alukset_fx!$H$78*(Alukset_Käynnit_Lask!K201^Alukset_fx!$I$78),IF(OR(Q201="Tanker",Q201="Gas tanker",Q201="Chemical tanker",Q201="Oil tanker"),Alukset_fx!$H$70*(Alukset_Käynnit_Lask!K201^Alukset_fx!$I$70),IF(Q201="Container ship",Alukset_fx!$H$72*(Alukset_Käynnit_Lask!K201^Alukset_fx!$I$72),IF(Q201="Barge",0,IF(Q201="RoPax",Alukset_fx!$H$75*(Alukset_Käynnit_Lask!K201^Alukset_fx!$I$75),IF(OR(Q201="RoRo",Q201="Vehicle carrier"),Alukset_fx!$H$74*(Alukset_Käynnit_Lask!K201^Alukset_fx!$I$74),Alukset_fx!$H$77*(Alukset_Käynnit_Lask!K201^Alukset_fx!$I$77))))))))),"-")</f>
        <v>0</v>
      </c>
      <c r="T201" s="208">
        <f>IF(R201=0,IF(Q201="Other dry cargo",S201*Alukset_fx!$B$71,IF(OR(Q201="Dry bulk",Q201="Bulk carrier"),S201*Alukset_fx!$B$69,IF(Q201="Tugboat",S201*Alukset_fx!$B$76,IF(OR(Q201="Tanker",Q201="Gas tanker",Q201="Chemical tanker",Q201="Oil tanker"),S201*Alukset_fx!$B$68,IF(OR(Q201="RoRo",Q201="Vehicle carrier"),S201*Alukset_fx!$B$72,IF(Q201="RoPax",S201*Alukset_fx!$B$73,IF(Q201="Container ship",S201*Alukset_fx!$B$70,S201*Alukset_fx!$B$75))))))),"-")</f>
        <v>0</v>
      </c>
      <c r="U201" s="208">
        <f t="shared" si="30"/>
        <v>0</v>
      </c>
      <c r="V201" s="208">
        <f t="shared" si="31"/>
        <v>0</v>
      </c>
      <c r="W201" s="202">
        <f>Alukset_Käynnit!N208</f>
        <v>0</v>
      </c>
      <c r="X201" s="211">
        <f>IF(Q201="Other dry cargo", Alukset_fx!$C$52, IF(OR(Q201="Dry bulk",Q201="Bulk carrier"),Alukset_fx!$C$35,IF(OR(Q201="Tanker",Q201="Gas tanker",Q201="Oil tanker"),Alukset_fx!$C$57,IF(Q201="Chemical tanker",Alukset_fx!$C$56,IF(OR(Q201="Tugboat",Q201="Barge"),0,IF(Q201="Other vessel",Alukset_fx!$C$54,IF(Q201="Container ship",Alukset_fx!$C$37,IF(OR(Q201="RoPax",Q201="RoRo",Q201="Vehicle carrier"),Alukset_fx!$C$55,0))))))))</f>
        <v>0</v>
      </c>
      <c r="Y201" s="211">
        <f>IF(Q201="Other dry cargo", Alukset_fx!$Q$52, IF(OR(Q201="Dry bulk",Q201="Bulk carrier"),Alukset_fx!$Q$35,IF(OR(Q201="Tanker",Q201="Gas tanker",Q201="Oil tanker"),Alukset_fx!$Q$57,IF(Q201="Chemical tanker",Alukset_fx!$Q$56,IF(OR(Q201="Tugboat",Q201="Barge"),0,IF(Q201="Other vessel",Alukset_fx!$Q$54,IF(Q201="Container ship",Alukset_fx!$Q$37,IF(OR(Q201="RoPax",Q201="RoRo",Q201="Vehicle carrier"),Alukset_fx!$Q$55,0))))))))</f>
        <v>0</v>
      </c>
      <c r="Z201" t="str">
        <f t="shared" si="32"/>
        <v>MDO/MGO</v>
      </c>
      <c r="AA201" t="str">
        <f t="shared" si="33"/>
        <v>MSD</v>
      </c>
      <c r="AB201" t="str">
        <f t="shared" si="34"/>
        <v>MDO/MGO</v>
      </c>
      <c r="AC201" t="str">
        <f t="shared" si="35"/>
        <v>MSD</v>
      </c>
      <c r="AD201" t="str">
        <f t="shared" si="36"/>
        <v>MDO/MGO</v>
      </c>
      <c r="AE201" t="str">
        <f t="shared" si="37"/>
        <v>ST</v>
      </c>
      <c r="AG201">
        <f>Alukset_Käynnit!O208</f>
        <v>0</v>
      </c>
      <c r="AH201" s="207">
        <f>IF(AA201="SSD",((U201*Alukset_fx!$B$24)*Alukset_Käynnit_Lask!W201*(Alukset_fx!$K$49)/1000),IF(AA201="MSD",((U201*Alukset_fx!$B$24)*Alukset_Käynnit_Lask!W201*(Alukset_fx!$K$52)/1000),IF(AA201="HSD",((U201*Alukset_fx!$B$24)*Alukset_Käynnit_Lask!W201*(Alukset_fx!$K$55)/1000),0)))</f>
        <v>0</v>
      </c>
      <c r="AI201" s="207">
        <f>IF(AC201="MSD",((V201*Alukset_fx!$B$25)*Alukset_Käynnit_Lask!W201*(Alukset_fx!$L$52)/1000),IF(AC201="HSD",((V201*Alukset_fx!$B$25)*Alukset_Käynnit_Lask!W201*(Alukset_fx!$L$55)/1000),0))</f>
        <v>0</v>
      </c>
      <c r="AJ201" s="207">
        <f>X201*W201*Alukset_fx!$K$61/1000</f>
        <v>0</v>
      </c>
      <c r="AK201">
        <v>0</v>
      </c>
      <c r="AL201" s="207">
        <f>IF(AG201="Käytetty",0,IF(AC201="MSD",((V201*Alukset_fx!$O$25)*Alukset_Käynnit_Lask!O201*(Alukset_fx!$L$52)/1000),IF(AC201="HSD",((V201*Alukset_fx!$O$25)*Alukset_Käynnit_Lask!O201*(Alukset_fx!$L$55)/1000),0)))</f>
        <v>0</v>
      </c>
      <c r="AM201" s="207">
        <f>IF(AG201="Käytetty",0,Y201*O201*Alukset_fx!$K$61/1000)</f>
        <v>0</v>
      </c>
      <c r="AN201" s="213">
        <f t="shared" si="38"/>
        <v>0</v>
      </c>
    </row>
    <row r="202" spans="1:40" x14ac:dyDescent="0.25">
      <c r="A202" s="203">
        <f>Alukset_Käynnit!A209</f>
        <v>0</v>
      </c>
      <c r="B202" s="203">
        <f>Alukset_Käynnit!B209</f>
        <v>0</v>
      </c>
      <c r="C202" s="262">
        <f>Alukset_Käynnit!C209</f>
        <v>0</v>
      </c>
      <c r="D202" s="266">
        <f>Alukset_Käynnit!D209</f>
        <v>0</v>
      </c>
      <c r="E202" s="262">
        <f>Alukset_Käynnit!E209</f>
        <v>0</v>
      </c>
      <c r="F202" s="262">
        <f>Alukset_Käynnit!F209</f>
        <v>0</v>
      </c>
      <c r="G202" s="262">
        <f>Alukset_Käynnit!G209</f>
        <v>0</v>
      </c>
      <c r="H202" s="262">
        <f>Alukset_Käynnit!H209</f>
        <v>0</v>
      </c>
      <c r="I202" s="262">
        <f>Alukset_Käynnit!I209</f>
        <v>0</v>
      </c>
      <c r="J202" s="262">
        <f>Alukset_Käynnit!J209</f>
        <v>0</v>
      </c>
      <c r="K202" s="262">
        <f>Alukset_Käynnit!K209</f>
        <v>0</v>
      </c>
      <c r="L202" s="205">
        <f>Alukset_Käynnit!L209</f>
        <v>0</v>
      </c>
      <c r="N202" s="273">
        <f t="shared" si="39"/>
        <v>0</v>
      </c>
      <c r="O202" s="274">
        <f t="shared" si="40"/>
        <v>0</v>
      </c>
      <c r="Q202" s="204">
        <f t="shared" si="29"/>
        <v>0</v>
      </c>
      <c r="R202" s="202">
        <f>IF(Q202="Other dry cargo",L202*Alukset_fx!$B$71,IF(OR(Q202="Dry bulk",Q202="Bulk carrier"),L202*Alukset_fx!$B$69,IF(Q202="Tugboat",L202*Alukset_fx!$B$76,IF(OR(Q202="Tanker",Q202="Gas tanker",Q202="Chemical tanker",Q202="Oil tanker"),L202*Alukset_fx!$B$68,IF(OR(Q202="RoRo",Q202="Vehicle carrier"),L202*Alukset_fx!$B$72,IF(Q202="RoPax",L202*Alukset_fx!$B$73,IF(Q202="Container ship",L202*Alukset_fx!$B$70,IF(Q202="Barge",0,L202*Alukset_fx!$B$75))))))))</f>
        <v>0</v>
      </c>
      <c r="S202" s="210">
        <f>IF(L202=0,IF(Q202="Other dry cargo",Alukset_fx!$H$73*(Alukset_Käynnit_Lask!K202^Alukset_fx!$I$73),IF(OR(Q202="Dry Bulk",Q202="Bulk carrier"),Alukset_fx!$H$71*(Alukset_Käynnit_Lask!K202^Alukset_fx!$I$71),IF(Q202="Tugboat",Alukset_fx!$H$78*(Alukset_Käynnit_Lask!K202^Alukset_fx!$I$78),IF(OR(Q202="Tanker",Q202="Gas tanker",Q202="Chemical tanker",Q202="Oil tanker"),Alukset_fx!$H$70*(Alukset_Käynnit_Lask!K202^Alukset_fx!$I$70),IF(Q202="Container ship",Alukset_fx!$H$72*(Alukset_Käynnit_Lask!K202^Alukset_fx!$I$72),IF(Q202="Barge",0,IF(Q202="RoPax",Alukset_fx!$H$75*(Alukset_Käynnit_Lask!K202^Alukset_fx!$I$75),IF(OR(Q202="RoRo",Q202="Vehicle carrier"),Alukset_fx!$H$74*(Alukset_Käynnit_Lask!K202^Alukset_fx!$I$74),Alukset_fx!$H$77*(Alukset_Käynnit_Lask!K202^Alukset_fx!$I$77))))))))),"-")</f>
        <v>0</v>
      </c>
      <c r="T202" s="208">
        <f>IF(R202=0,IF(Q202="Other dry cargo",S202*Alukset_fx!$B$71,IF(OR(Q202="Dry bulk",Q202="Bulk carrier"),S202*Alukset_fx!$B$69,IF(Q202="Tugboat",S202*Alukset_fx!$B$76,IF(OR(Q202="Tanker",Q202="Gas tanker",Q202="Chemical tanker",Q202="Oil tanker"),S202*Alukset_fx!$B$68,IF(OR(Q202="RoRo",Q202="Vehicle carrier"),S202*Alukset_fx!$B$72,IF(Q202="RoPax",S202*Alukset_fx!$B$73,IF(Q202="Container ship",S202*Alukset_fx!$B$70,S202*Alukset_fx!$B$75))))))),"-")</f>
        <v>0</v>
      </c>
      <c r="U202" s="208">
        <f t="shared" si="30"/>
        <v>0</v>
      </c>
      <c r="V202" s="208">
        <f t="shared" si="31"/>
        <v>0</v>
      </c>
      <c r="W202" s="202">
        <f>Alukset_Käynnit!N209</f>
        <v>0</v>
      </c>
      <c r="X202" s="211">
        <f>IF(Q202="Other dry cargo", Alukset_fx!$C$52, IF(OR(Q202="Dry bulk",Q202="Bulk carrier"),Alukset_fx!$C$35,IF(OR(Q202="Tanker",Q202="Gas tanker",Q202="Oil tanker"),Alukset_fx!$C$57,IF(Q202="Chemical tanker",Alukset_fx!$C$56,IF(OR(Q202="Tugboat",Q202="Barge"),0,IF(Q202="Other vessel",Alukset_fx!$C$54,IF(Q202="Container ship",Alukset_fx!$C$37,IF(OR(Q202="RoPax",Q202="RoRo",Q202="Vehicle carrier"),Alukset_fx!$C$55,0))))))))</f>
        <v>0</v>
      </c>
      <c r="Y202" s="211">
        <f>IF(Q202="Other dry cargo", Alukset_fx!$Q$52, IF(OR(Q202="Dry bulk",Q202="Bulk carrier"),Alukset_fx!$Q$35,IF(OR(Q202="Tanker",Q202="Gas tanker",Q202="Oil tanker"),Alukset_fx!$Q$57,IF(Q202="Chemical tanker",Alukset_fx!$Q$56,IF(OR(Q202="Tugboat",Q202="Barge"),0,IF(Q202="Other vessel",Alukset_fx!$Q$54,IF(Q202="Container ship",Alukset_fx!$Q$37,IF(OR(Q202="RoPax",Q202="RoRo",Q202="Vehicle carrier"),Alukset_fx!$Q$55,0))))))))</f>
        <v>0</v>
      </c>
      <c r="Z202" t="str">
        <f t="shared" si="32"/>
        <v>MDO/MGO</v>
      </c>
      <c r="AA202" t="str">
        <f t="shared" si="33"/>
        <v>MSD</v>
      </c>
      <c r="AB202" t="str">
        <f t="shared" si="34"/>
        <v>MDO/MGO</v>
      </c>
      <c r="AC202" t="str">
        <f t="shared" si="35"/>
        <v>MSD</v>
      </c>
      <c r="AD202" t="str">
        <f t="shared" si="36"/>
        <v>MDO/MGO</v>
      </c>
      <c r="AE202" t="str">
        <f t="shared" si="37"/>
        <v>ST</v>
      </c>
      <c r="AG202">
        <f>Alukset_Käynnit!O209</f>
        <v>0</v>
      </c>
      <c r="AH202" s="207">
        <f>IF(AA202="SSD",((U202*Alukset_fx!$B$24)*Alukset_Käynnit_Lask!W202*(Alukset_fx!$K$49)/1000),IF(AA202="MSD",((U202*Alukset_fx!$B$24)*Alukset_Käynnit_Lask!W202*(Alukset_fx!$K$52)/1000),IF(AA202="HSD",((U202*Alukset_fx!$B$24)*Alukset_Käynnit_Lask!W202*(Alukset_fx!$K$55)/1000),0)))</f>
        <v>0</v>
      </c>
      <c r="AI202" s="207">
        <f>IF(AC202="MSD",((V202*Alukset_fx!$B$25)*Alukset_Käynnit_Lask!W202*(Alukset_fx!$L$52)/1000),IF(AC202="HSD",((V202*Alukset_fx!$B$25)*Alukset_Käynnit_Lask!W202*(Alukset_fx!$L$55)/1000),0))</f>
        <v>0</v>
      </c>
      <c r="AJ202" s="207">
        <f>X202*W202*Alukset_fx!$K$61/1000</f>
        <v>0</v>
      </c>
      <c r="AK202">
        <v>0</v>
      </c>
      <c r="AL202" s="207">
        <f>IF(AG202="Käytetty",0,IF(AC202="MSD",((V202*Alukset_fx!$O$25)*Alukset_Käynnit_Lask!O202*(Alukset_fx!$L$52)/1000),IF(AC202="HSD",((V202*Alukset_fx!$O$25)*Alukset_Käynnit_Lask!O202*(Alukset_fx!$L$55)/1000),0)))</f>
        <v>0</v>
      </c>
      <c r="AM202" s="207">
        <f>IF(AG202="Käytetty",0,Y202*O202*Alukset_fx!$K$61/1000)</f>
        <v>0</v>
      </c>
      <c r="AN202" s="213">
        <f t="shared" si="38"/>
        <v>0</v>
      </c>
    </row>
    <row r="203" spans="1:40" x14ac:dyDescent="0.25">
      <c r="A203" s="203">
        <f>Alukset_Käynnit!A210</f>
        <v>0</v>
      </c>
      <c r="B203" s="203">
        <f>Alukset_Käynnit!B210</f>
        <v>0</v>
      </c>
      <c r="C203" s="262">
        <f>Alukset_Käynnit!C210</f>
        <v>0</v>
      </c>
      <c r="D203" s="266">
        <f>Alukset_Käynnit!D210</f>
        <v>0</v>
      </c>
      <c r="E203" s="262">
        <f>Alukset_Käynnit!E210</f>
        <v>0</v>
      </c>
      <c r="F203" s="262">
        <f>Alukset_Käynnit!F210</f>
        <v>0</v>
      </c>
      <c r="G203" s="262">
        <f>Alukset_Käynnit!G210</f>
        <v>0</v>
      </c>
      <c r="H203" s="262">
        <f>Alukset_Käynnit!H210</f>
        <v>0</v>
      </c>
      <c r="I203" s="262">
        <f>Alukset_Käynnit!I210</f>
        <v>0</v>
      </c>
      <c r="J203" s="262">
        <f>Alukset_Käynnit!J210</f>
        <v>0</v>
      </c>
      <c r="K203" s="262">
        <f>Alukset_Käynnit!K210</f>
        <v>0</v>
      </c>
      <c r="L203" s="205">
        <f>Alukset_Käynnit!L210</f>
        <v>0</v>
      </c>
      <c r="N203" s="273">
        <f t="shared" si="39"/>
        <v>0</v>
      </c>
      <c r="O203" s="274">
        <f t="shared" si="40"/>
        <v>0</v>
      </c>
      <c r="Q203" s="204">
        <f t="shared" si="29"/>
        <v>0</v>
      </c>
      <c r="R203" s="202">
        <f>IF(Q203="Other dry cargo",L203*Alukset_fx!$B$71,IF(OR(Q203="Dry bulk",Q203="Bulk carrier"),L203*Alukset_fx!$B$69,IF(Q203="Tugboat",L203*Alukset_fx!$B$76,IF(OR(Q203="Tanker",Q203="Gas tanker",Q203="Chemical tanker",Q203="Oil tanker"),L203*Alukset_fx!$B$68,IF(OR(Q203="RoRo",Q203="Vehicle carrier"),L203*Alukset_fx!$B$72,IF(Q203="RoPax",L203*Alukset_fx!$B$73,IF(Q203="Container ship",L203*Alukset_fx!$B$70,IF(Q203="Barge",0,L203*Alukset_fx!$B$75))))))))</f>
        <v>0</v>
      </c>
      <c r="S203" s="210">
        <f>IF(L203=0,IF(Q203="Other dry cargo",Alukset_fx!$H$73*(Alukset_Käynnit_Lask!K203^Alukset_fx!$I$73),IF(OR(Q203="Dry Bulk",Q203="Bulk carrier"),Alukset_fx!$H$71*(Alukset_Käynnit_Lask!K203^Alukset_fx!$I$71),IF(Q203="Tugboat",Alukset_fx!$H$78*(Alukset_Käynnit_Lask!K203^Alukset_fx!$I$78),IF(OR(Q203="Tanker",Q203="Gas tanker",Q203="Chemical tanker",Q203="Oil tanker"),Alukset_fx!$H$70*(Alukset_Käynnit_Lask!K203^Alukset_fx!$I$70),IF(Q203="Container ship",Alukset_fx!$H$72*(Alukset_Käynnit_Lask!K203^Alukset_fx!$I$72),IF(Q203="Barge",0,IF(Q203="RoPax",Alukset_fx!$H$75*(Alukset_Käynnit_Lask!K203^Alukset_fx!$I$75),IF(OR(Q203="RoRo",Q203="Vehicle carrier"),Alukset_fx!$H$74*(Alukset_Käynnit_Lask!K203^Alukset_fx!$I$74),Alukset_fx!$H$77*(Alukset_Käynnit_Lask!K203^Alukset_fx!$I$77))))))))),"-")</f>
        <v>0</v>
      </c>
      <c r="T203" s="208">
        <f>IF(R203=0,IF(Q203="Other dry cargo",S203*Alukset_fx!$B$71,IF(OR(Q203="Dry bulk",Q203="Bulk carrier"),S203*Alukset_fx!$B$69,IF(Q203="Tugboat",S203*Alukset_fx!$B$76,IF(OR(Q203="Tanker",Q203="Gas tanker",Q203="Chemical tanker",Q203="Oil tanker"),S203*Alukset_fx!$B$68,IF(OR(Q203="RoRo",Q203="Vehicle carrier"),S203*Alukset_fx!$B$72,IF(Q203="RoPax",S203*Alukset_fx!$B$73,IF(Q203="Container ship",S203*Alukset_fx!$B$70,S203*Alukset_fx!$B$75))))))),"-")</f>
        <v>0</v>
      </c>
      <c r="U203" s="208">
        <f t="shared" si="30"/>
        <v>0</v>
      </c>
      <c r="V203" s="208">
        <f t="shared" si="31"/>
        <v>0</v>
      </c>
      <c r="W203" s="202">
        <f>Alukset_Käynnit!N210</f>
        <v>0</v>
      </c>
      <c r="X203" s="211">
        <f>IF(Q203="Other dry cargo", Alukset_fx!$C$52, IF(OR(Q203="Dry bulk",Q203="Bulk carrier"),Alukset_fx!$C$35,IF(OR(Q203="Tanker",Q203="Gas tanker",Q203="Oil tanker"),Alukset_fx!$C$57,IF(Q203="Chemical tanker",Alukset_fx!$C$56,IF(OR(Q203="Tugboat",Q203="Barge"),0,IF(Q203="Other vessel",Alukset_fx!$C$54,IF(Q203="Container ship",Alukset_fx!$C$37,IF(OR(Q203="RoPax",Q203="RoRo",Q203="Vehicle carrier"),Alukset_fx!$C$55,0))))))))</f>
        <v>0</v>
      </c>
      <c r="Y203" s="211">
        <f>IF(Q203="Other dry cargo", Alukset_fx!$Q$52, IF(OR(Q203="Dry bulk",Q203="Bulk carrier"),Alukset_fx!$Q$35,IF(OR(Q203="Tanker",Q203="Gas tanker",Q203="Oil tanker"),Alukset_fx!$Q$57,IF(Q203="Chemical tanker",Alukset_fx!$Q$56,IF(OR(Q203="Tugboat",Q203="Barge"),0,IF(Q203="Other vessel",Alukset_fx!$Q$54,IF(Q203="Container ship",Alukset_fx!$Q$37,IF(OR(Q203="RoPax",Q203="RoRo",Q203="Vehicle carrier"),Alukset_fx!$Q$55,0))))))))</f>
        <v>0</v>
      </c>
      <c r="Z203" t="str">
        <f t="shared" si="32"/>
        <v>MDO/MGO</v>
      </c>
      <c r="AA203" t="str">
        <f t="shared" si="33"/>
        <v>MSD</v>
      </c>
      <c r="AB203" t="str">
        <f t="shared" si="34"/>
        <v>MDO/MGO</v>
      </c>
      <c r="AC203" t="str">
        <f t="shared" si="35"/>
        <v>MSD</v>
      </c>
      <c r="AD203" t="str">
        <f t="shared" si="36"/>
        <v>MDO/MGO</v>
      </c>
      <c r="AE203" t="str">
        <f t="shared" si="37"/>
        <v>ST</v>
      </c>
      <c r="AG203">
        <f>Alukset_Käynnit!O210</f>
        <v>0</v>
      </c>
      <c r="AH203" s="207">
        <f>IF(AA203="SSD",((U203*Alukset_fx!$B$24)*Alukset_Käynnit_Lask!W203*(Alukset_fx!$K$49)/1000),IF(AA203="MSD",((U203*Alukset_fx!$B$24)*Alukset_Käynnit_Lask!W203*(Alukset_fx!$K$52)/1000),IF(AA203="HSD",((U203*Alukset_fx!$B$24)*Alukset_Käynnit_Lask!W203*(Alukset_fx!$K$55)/1000),0)))</f>
        <v>0</v>
      </c>
      <c r="AI203" s="207">
        <f>IF(AC203="MSD",((V203*Alukset_fx!$B$25)*Alukset_Käynnit_Lask!W203*(Alukset_fx!$L$52)/1000),IF(AC203="HSD",((V203*Alukset_fx!$B$25)*Alukset_Käynnit_Lask!W203*(Alukset_fx!$L$55)/1000),0))</f>
        <v>0</v>
      </c>
      <c r="AJ203" s="207">
        <f>X203*W203*Alukset_fx!$K$61/1000</f>
        <v>0</v>
      </c>
      <c r="AK203">
        <v>0</v>
      </c>
      <c r="AL203" s="207">
        <f>IF(AG203="Käytetty",0,IF(AC203="MSD",((V203*Alukset_fx!$O$25)*Alukset_Käynnit_Lask!O203*(Alukset_fx!$L$52)/1000),IF(AC203="HSD",((V203*Alukset_fx!$O$25)*Alukset_Käynnit_Lask!O203*(Alukset_fx!$L$55)/1000),0)))</f>
        <v>0</v>
      </c>
      <c r="AM203" s="207">
        <f>IF(AG203="Käytetty",0,Y203*O203*Alukset_fx!$K$61/1000)</f>
        <v>0</v>
      </c>
      <c r="AN203" s="213">
        <f t="shared" si="38"/>
        <v>0</v>
      </c>
    </row>
    <row r="204" spans="1:40" x14ac:dyDescent="0.25">
      <c r="A204" s="203">
        <f>Alukset_Käynnit!A211</f>
        <v>0</v>
      </c>
      <c r="B204" s="203">
        <f>Alukset_Käynnit!B211</f>
        <v>0</v>
      </c>
      <c r="C204" s="262">
        <f>Alukset_Käynnit!C211</f>
        <v>0</v>
      </c>
      <c r="D204" s="266">
        <f>Alukset_Käynnit!D211</f>
        <v>0</v>
      </c>
      <c r="E204" s="262">
        <f>Alukset_Käynnit!E211</f>
        <v>0</v>
      </c>
      <c r="F204" s="262">
        <f>Alukset_Käynnit!F211</f>
        <v>0</v>
      </c>
      <c r="G204" s="262">
        <f>Alukset_Käynnit!G211</f>
        <v>0</v>
      </c>
      <c r="H204" s="262">
        <f>Alukset_Käynnit!H211</f>
        <v>0</v>
      </c>
      <c r="I204" s="262">
        <f>Alukset_Käynnit!I211</f>
        <v>0</v>
      </c>
      <c r="J204" s="262">
        <f>Alukset_Käynnit!J211</f>
        <v>0</v>
      </c>
      <c r="K204" s="262">
        <f>Alukset_Käynnit!K211</f>
        <v>0</v>
      </c>
      <c r="L204" s="205">
        <f>Alukset_Käynnit!L211</f>
        <v>0</v>
      </c>
      <c r="N204" s="273">
        <f t="shared" si="39"/>
        <v>0</v>
      </c>
      <c r="O204" s="274">
        <f t="shared" si="40"/>
        <v>0</v>
      </c>
      <c r="Q204" s="204">
        <f t="shared" si="29"/>
        <v>0</v>
      </c>
      <c r="R204" s="202">
        <f>IF(Q204="Other dry cargo",L204*Alukset_fx!$B$71,IF(OR(Q204="Dry bulk",Q204="Bulk carrier"),L204*Alukset_fx!$B$69,IF(Q204="Tugboat",L204*Alukset_fx!$B$76,IF(OR(Q204="Tanker",Q204="Gas tanker",Q204="Chemical tanker",Q204="Oil tanker"),L204*Alukset_fx!$B$68,IF(OR(Q204="RoRo",Q204="Vehicle carrier"),L204*Alukset_fx!$B$72,IF(Q204="RoPax",L204*Alukset_fx!$B$73,IF(Q204="Container ship",L204*Alukset_fx!$B$70,IF(Q204="Barge",0,L204*Alukset_fx!$B$75))))))))</f>
        <v>0</v>
      </c>
      <c r="S204" s="210">
        <f>IF(L204=0,IF(Q204="Other dry cargo",Alukset_fx!$H$73*(Alukset_Käynnit_Lask!K204^Alukset_fx!$I$73),IF(OR(Q204="Dry Bulk",Q204="Bulk carrier"),Alukset_fx!$H$71*(Alukset_Käynnit_Lask!K204^Alukset_fx!$I$71),IF(Q204="Tugboat",Alukset_fx!$H$78*(Alukset_Käynnit_Lask!K204^Alukset_fx!$I$78),IF(OR(Q204="Tanker",Q204="Gas tanker",Q204="Chemical tanker",Q204="Oil tanker"),Alukset_fx!$H$70*(Alukset_Käynnit_Lask!K204^Alukset_fx!$I$70),IF(Q204="Container ship",Alukset_fx!$H$72*(Alukset_Käynnit_Lask!K204^Alukset_fx!$I$72),IF(Q204="Barge",0,IF(Q204="RoPax",Alukset_fx!$H$75*(Alukset_Käynnit_Lask!K204^Alukset_fx!$I$75),IF(OR(Q204="RoRo",Q204="Vehicle carrier"),Alukset_fx!$H$74*(Alukset_Käynnit_Lask!K204^Alukset_fx!$I$74),Alukset_fx!$H$77*(Alukset_Käynnit_Lask!K204^Alukset_fx!$I$77))))))))),"-")</f>
        <v>0</v>
      </c>
      <c r="T204" s="208">
        <f>IF(R204=0,IF(Q204="Other dry cargo",S204*Alukset_fx!$B$71,IF(OR(Q204="Dry bulk",Q204="Bulk carrier"),S204*Alukset_fx!$B$69,IF(Q204="Tugboat",S204*Alukset_fx!$B$76,IF(OR(Q204="Tanker",Q204="Gas tanker",Q204="Chemical tanker",Q204="Oil tanker"),S204*Alukset_fx!$B$68,IF(OR(Q204="RoRo",Q204="Vehicle carrier"),S204*Alukset_fx!$B$72,IF(Q204="RoPax",S204*Alukset_fx!$B$73,IF(Q204="Container ship",S204*Alukset_fx!$B$70,S204*Alukset_fx!$B$75))))))),"-")</f>
        <v>0</v>
      </c>
      <c r="U204" s="208">
        <f t="shared" si="30"/>
        <v>0</v>
      </c>
      <c r="V204" s="208">
        <f t="shared" si="31"/>
        <v>0</v>
      </c>
      <c r="W204" s="202">
        <f>Alukset_Käynnit!N211</f>
        <v>0</v>
      </c>
      <c r="X204" s="211">
        <f>IF(Q204="Other dry cargo", Alukset_fx!$C$52, IF(OR(Q204="Dry bulk",Q204="Bulk carrier"),Alukset_fx!$C$35,IF(OR(Q204="Tanker",Q204="Gas tanker",Q204="Oil tanker"),Alukset_fx!$C$57,IF(Q204="Chemical tanker",Alukset_fx!$C$56,IF(OR(Q204="Tugboat",Q204="Barge"),0,IF(Q204="Other vessel",Alukset_fx!$C$54,IF(Q204="Container ship",Alukset_fx!$C$37,IF(OR(Q204="RoPax",Q204="RoRo",Q204="Vehicle carrier"),Alukset_fx!$C$55,0))))))))</f>
        <v>0</v>
      </c>
      <c r="Y204" s="211">
        <f>IF(Q204="Other dry cargo", Alukset_fx!$Q$52, IF(OR(Q204="Dry bulk",Q204="Bulk carrier"),Alukset_fx!$Q$35,IF(OR(Q204="Tanker",Q204="Gas tanker",Q204="Oil tanker"),Alukset_fx!$Q$57,IF(Q204="Chemical tanker",Alukset_fx!$Q$56,IF(OR(Q204="Tugboat",Q204="Barge"),0,IF(Q204="Other vessel",Alukset_fx!$Q$54,IF(Q204="Container ship",Alukset_fx!$Q$37,IF(OR(Q204="RoPax",Q204="RoRo",Q204="Vehicle carrier"),Alukset_fx!$Q$55,0))))))))</f>
        <v>0</v>
      </c>
      <c r="Z204" t="str">
        <f t="shared" si="32"/>
        <v>MDO/MGO</v>
      </c>
      <c r="AA204" t="str">
        <f t="shared" si="33"/>
        <v>MSD</v>
      </c>
      <c r="AB204" t="str">
        <f t="shared" si="34"/>
        <v>MDO/MGO</v>
      </c>
      <c r="AC204" t="str">
        <f t="shared" si="35"/>
        <v>MSD</v>
      </c>
      <c r="AD204" t="str">
        <f t="shared" si="36"/>
        <v>MDO/MGO</v>
      </c>
      <c r="AE204" t="str">
        <f t="shared" si="37"/>
        <v>ST</v>
      </c>
      <c r="AG204">
        <f>Alukset_Käynnit!O211</f>
        <v>0</v>
      </c>
      <c r="AH204" s="207">
        <f>IF(AA204="SSD",((U204*Alukset_fx!$B$24)*Alukset_Käynnit_Lask!W204*(Alukset_fx!$K$49)/1000),IF(AA204="MSD",((U204*Alukset_fx!$B$24)*Alukset_Käynnit_Lask!W204*(Alukset_fx!$K$52)/1000),IF(AA204="HSD",((U204*Alukset_fx!$B$24)*Alukset_Käynnit_Lask!W204*(Alukset_fx!$K$55)/1000),0)))</f>
        <v>0</v>
      </c>
      <c r="AI204" s="207">
        <f>IF(AC204="MSD",((V204*Alukset_fx!$B$25)*Alukset_Käynnit_Lask!W204*(Alukset_fx!$L$52)/1000),IF(AC204="HSD",((V204*Alukset_fx!$B$25)*Alukset_Käynnit_Lask!W204*(Alukset_fx!$L$55)/1000),0))</f>
        <v>0</v>
      </c>
      <c r="AJ204" s="207">
        <f>X204*W204*Alukset_fx!$K$61/1000</f>
        <v>0</v>
      </c>
      <c r="AK204">
        <v>0</v>
      </c>
      <c r="AL204" s="207">
        <f>IF(AG204="Käytetty",0,IF(AC204="MSD",((V204*Alukset_fx!$O$25)*Alukset_Käynnit_Lask!O204*(Alukset_fx!$L$52)/1000),IF(AC204="HSD",((V204*Alukset_fx!$O$25)*Alukset_Käynnit_Lask!O204*(Alukset_fx!$L$55)/1000),0)))</f>
        <v>0</v>
      </c>
      <c r="AM204" s="207">
        <f>IF(AG204="Käytetty",0,Y204*O204*Alukset_fx!$K$61/1000)</f>
        <v>0</v>
      </c>
      <c r="AN204" s="213">
        <f t="shared" si="38"/>
        <v>0</v>
      </c>
    </row>
    <row r="205" spans="1:40" x14ac:dyDescent="0.25">
      <c r="A205" s="203">
        <f>Alukset_Käynnit!A212</f>
        <v>0</v>
      </c>
      <c r="B205" s="203">
        <f>Alukset_Käynnit!B212</f>
        <v>0</v>
      </c>
      <c r="C205" s="262">
        <f>Alukset_Käynnit!C212</f>
        <v>0</v>
      </c>
      <c r="D205" s="266">
        <f>Alukset_Käynnit!D212</f>
        <v>0</v>
      </c>
      <c r="E205" s="262">
        <f>Alukset_Käynnit!E212</f>
        <v>0</v>
      </c>
      <c r="F205" s="262">
        <f>Alukset_Käynnit!F212</f>
        <v>0</v>
      </c>
      <c r="G205" s="262">
        <f>Alukset_Käynnit!G212</f>
        <v>0</v>
      </c>
      <c r="H205" s="262">
        <f>Alukset_Käynnit!H212</f>
        <v>0</v>
      </c>
      <c r="I205" s="262">
        <f>Alukset_Käynnit!I212</f>
        <v>0</v>
      </c>
      <c r="J205" s="262">
        <f>Alukset_Käynnit!J212</f>
        <v>0</v>
      </c>
      <c r="K205" s="262">
        <f>Alukset_Käynnit!K212</f>
        <v>0</v>
      </c>
      <c r="L205" s="205">
        <f>Alukset_Käynnit!L212</f>
        <v>0</v>
      </c>
      <c r="N205" s="273">
        <f t="shared" si="39"/>
        <v>0</v>
      </c>
      <c r="O205" s="274">
        <f t="shared" si="40"/>
        <v>0</v>
      </c>
      <c r="Q205" s="204">
        <f t="shared" si="29"/>
        <v>0</v>
      </c>
      <c r="R205" s="202">
        <f>IF(Q205="Other dry cargo",L205*Alukset_fx!$B$71,IF(OR(Q205="Dry bulk",Q205="Bulk carrier"),L205*Alukset_fx!$B$69,IF(Q205="Tugboat",L205*Alukset_fx!$B$76,IF(OR(Q205="Tanker",Q205="Gas tanker",Q205="Chemical tanker",Q205="Oil tanker"),L205*Alukset_fx!$B$68,IF(OR(Q205="RoRo",Q205="Vehicle carrier"),L205*Alukset_fx!$B$72,IF(Q205="RoPax",L205*Alukset_fx!$B$73,IF(Q205="Container ship",L205*Alukset_fx!$B$70,IF(Q205="Barge",0,L205*Alukset_fx!$B$75))))))))</f>
        <v>0</v>
      </c>
      <c r="S205" s="210">
        <f>IF(L205=0,IF(Q205="Other dry cargo",Alukset_fx!$H$73*(Alukset_Käynnit_Lask!K205^Alukset_fx!$I$73),IF(OR(Q205="Dry Bulk",Q205="Bulk carrier"),Alukset_fx!$H$71*(Alukset_Käynnit_Lask!K205^Alukset_fx!$I$71),IF(Q205="Tugboat",Alukset_fx!$H$78*(Alukset_Käynnit_Lask!K205^Alukset_fx!$I$78),IF(OR(Q205="Tanker",Q205="Gas tanker",Q205="Chemical tanker",Q205="Oil tanker"),Alukset_fx!$H$70*(Alukset_Käynnit_Lask!K205^Alukset_fx!$I$70),IF(Q205="Container ship",Alukset_fx!$H$72*(Alukset_Käynnit_Lask!K205^Alukset_fx!$I$72),IF(Q205="Barge",0,IF(Q205="RoPax",Alukset_fx!$H$75*(Alukset_Käynnit_Lask!K205^Alukset_fx!$I$75),IF(OR(Q205="RoRo",Q205="Vehicle carrier"),Alukset_fx!$H$74*(Alukset_Käynnit_Lask!K205^Alukset_fx!$I$74),Alukset_fx!$H$77*(Alukset_Käynnit_Lask!K205^Alukset_fx!$I$77))))))))),"-")</f>
        <v>0</v>
      </c>
      <c r="T205" s="208">
        <f>IF(R205=0,IF(Q205="Other dry cargo",S205*Alukset_fx!$B$71,IF(OR(Q205="Dry bulk",Q205="Bulk carrier"),S205*Alukset_fx!$B$69,IF(Q205="Tugboat",S205*Alukset_fx!$B$76,IF(OR(Q205="Tanker",Q205="Gas tanker",Q205="Chemical tanker",Q205="Oil tanker"),S205*Alukset_fx!$B$68,IF(OR(Q205="RoRo",Q205="Vehicle carrier"),S205*Alukset_fx!$B$72,IF(Q205="RoPax",S205*Alukset_fx!$B$73,IF(Q205="Container ship",S205*Alukset_fx!$B$70,S205*Alukset_fx!$B$75))))))),"-")</f>
        <v>0</v>
      </c>
      <c r="U205" s="208">
        <f t="shared" si="30"/>
        <v>0</v>
      </c>
      <c r="V205" s="208">
        <f t="shared" si="31"/>
        <v>0</v>
      </c>
      <c r="W205" s="202">
        <f>Alukset_Käynnit!N212</f>
        <v>0</v>
      </c>
      <c r="X205" s="211">
        <f>IF(Q205="Other dry cargo", Alukset_fx!$C$52, IF(OR(Q205="Dry bulk",Q205="Bulk carrier"),Alukset_fx!$C$35,IF(OR(Q205="Tanker",Q205="Gas tanker",Q205="Oil tanker"),Alukset_fx!$C$57,IF(Q205="Chemical tanker",Alukset_fx!$C$56,IF(OR(Q205="Tugboat",Q205="Barge"),0,IF(Q205="Other vessel",Alukset_fx!$C$54,IF(Q205="Container ship",Alukset_fx!$C$37,IF(OR(Q205="RoPax",Q205="RoRo",Q205="Vehicle carrier"),Alukset_fx!$C$55,0))))))))</f>
        <v>0</v>
      </c>
      <c r="Y205" s="211">
        <f>IF(Q205="Other dry cargo", Alukset_fx!$Q$52, IF(OR(Q205="Dry bulk",Q205="Bulk carrier"),Alukset_fx!$Q$35,IF(OR(Q205="Tanker",Q205="Gas tanker",Q205="Oil tanker"),Alukset_fx!$Q$57,IF(Q205="Chemical tanker",Alukset_fx!$Q$56,IF(OR(Q205="Tugboat",Q205="Barge"),0,IF(Q205="Other vessel",Alukset_fx!$Q$54,IF(Q205="Container ship",Alukset_fx!$Q$37,IF(OR(Q205="RoPax",Q205="RoRo",Q205="Vehicle carrier"),Alukset_fx!$Q$55,0))))))))</f>
        <v>0</v>
      </c>
      <c r="Z205" t="str">
        <f t="shared" si="32"/>
        <v>MDO/MGO</v>
      </c>
      <c r="AA205" t="str">
        <f t="shared" si="33"/>
        <v>MSD</v>
      </c>
      <c r="AB205" t="str">
        <f t="shared" si="34"/>
        <v>MDO/MGO</v>
      </c>
      <c r="AC205" t="str">
        <f t="shared" si="35"/>
        <v>MSD</v>
      </c>
      <c r="AD205" t="str">
        <f t="shared" si="36"/>
        <v>MDO/MGO</v>
      </c>
      <c r="AE205" t="str">
        <f t="shared" si="37"/>
        <v>ST</v>
      </c>
      <c r="AG205">
        <f>Alukset_Käynnit!O212</f>
        <v>0</v>
      </c>
      <c r="AH205" s="207">
        <f>IF(AA205="SSD",((U205*Alukset_fx!$B$24)*Alukset_Käynnit_Lask!W205*(Alukset_fx!$K$49)/1000),IF(AA205="MSD",((U205*Alukset_fx!$B$24)*Alukset_Käynnit_Lask!W205*(Alukset_fx!$K$52)/1000),IF(AA205="HSD",((U205*Alukset_fx!$B$24)*Alukset_Käynnit_Lask!W205*(Alukset_fx!$K$55)/1000),0)))</f>
        <v>0</v>
      </c>
      <c r="AI205" s="207">
        <f>IF(AC205="MSD",((V205*Alukset_fx!$B$25)*Alukset_Käynnit_Lask!W205*(Alukset_fx!$L$52)/1000),IF(AC205="HSD",((V205*Alukset_fx!$B$25)*Alukset_Käynnit_Lask!W205*(Alukset_fx!$L$55)/1000),0))</f>
        <v>0</v>
      </c>
      <c r="AJ205" s="207">
        <f>X205*W205*Alukset_fx!$K$61/1000</f>
        <v>0</v>
      </c>
      <c r="AK205">
        <v>0</v>
      </c>
      <c r="AL205" s="207">
        <f>IF(AG205="Käytetty",0,IF(AC205="MSD",((V205*Alukset_fx!$O$25)*Alukset_Käynnit_Lask!O205*(Alukset_fx!$L$52)/1000),IF(AC205="HSD",((V205*Alukset_fx!$O$25)*Alukset_Käynnit_Lask!O205*(Alukset_fx!$L$55)/1000),0)))</f>
        <v>0</v>
      </c>
      <c r="AM205" s="207">
        <f>IF(AG205="Käytetty",0,Y205*O205*Alukset_fx!$K$61/1000)</f>
        <v>0</v>
      </c>
      <c r="AN205" s="213">
        <f t="shared" si="38"/>
        <v>0</v>
      </c>
    </row>
    <row r="206" spans="1:40" x14ac:dyDescent="0.25">
      <c r="A206" s="203">
        <f>Alukset_Käynnit!A213</f>
        <v>0</v>
      </c>
      <c r="B206" s="203">
        <f>Alukset_Käynnit!B213</f>
        <v>0</v>
      </c>
      <c r="C206" s="262">
        <f>Alukset_Käynnit!C213</f>
        <v>0</v>
      </c>
      <c r="D206" s="266">
        <f>Alukset_Käynnit!D213</f>
        <v>0</v>
      </c>
      <c r="E206" s="262">
        <f>Alukset_Käynnit!E213</f>
        <v>0</v>
      </c>
      <c r="F206" s="262">
        <f>Alukset_Käynnit!F213</f>
        <v>0</v>
      </c>
      <c r="G206" s="262">
        <f>Alukset_Käynnit!G213</f>
        <v>0</v>
      </c>
      <c r="H206" s="262">
        <f>Alukset_Käynnit!H213</f>
        <v>0</v>
      </c>
      <c r="I206" s="262">
        <f>Alukset_Käynnit!I213</f>
        <v>0</v>
      </c>
      <c r="J206" s="262">
        <f>Alukset_Käynnit!J213</f>
        <v>0</v>
      </c>
      <c r="K206" s="262">
        <f>Alukset_Käynnit!K213</f>
        <v>0</v>
      </c>
      <c r="L206" s="205">
        <f>Alukset_Käynnit!L213</f>
        <v>0</v>
      </c>
      <c r="N206" s="273">
        <f t="shared" si="39"/>
        <v>0</v>
      </c>
      <c r="O206" s="274">
        <f t="shared" si="40"/>
        <v>0</v>
      </c>
      <c r="Q206" s="204">
        <f t="shared" ref="Q206:Q269" si="41">IF(H206="Muu kuivalasti","Other dry cargo",IF(H206="Muu kuivalastialus","Other dry cargo",IF(H206="Hinaaja","Tugboat",IF(H206="Proomu","Barge",IF(H206="Pusku-Proomu","Barge",IF(H206="Säiliöalus","Tanker",IF(H206="Ro-Ro-Matkustaja-Alus","RoPax",IF(H206="Irtolastialus","Bulk carrier",IF(H206="Kaasusäiliöalus","Gas tanker",IF(H206="Kemikaalisäiliöalus","Chemical tanker",IF(H206="Muu Alus","Other Vessel",IF(H206="Ro-Ro-Lastialus","RoRo",IF(H206="Öljysäiliöalus","Oil tanker",IF(H206="Ajoneuvojenkuljetusalus","Vehicle carrier",IF(H206="Kuiva Bulk","Dry bulk",IF(H206="Konttialus","Container ship",H206))))))))))))))))</f>
        <v>0</v>
      </c>
      <c r="R206" s="202">
        <f>IF(Q206="Other dry cargo",L206*Alukset_fx!$B$71,IF(OR(Q206="Dry bulk",Q206="Bulk carrier"),L206*Alukset_fx!$B$69,IF(Q206="Tugboat",L206*Alukset_fx!$B$76,IF(OR(Q206="Tanker",Q206="Gas tanker",Q206="Chemical tanker",Q206="Oil tanker"),L206*Alukset_fx!$B$68,IF(OR(Q206="RoRo",Q206="Vehicle carrier"),L206*Alukset_fx!$B$72,IF(Q206="RoPax",L206*Alukset_fx!$B$73,IF(Q206="Container ship",L206*Alukset_fx!$B$70,IF(Q206="Barge",0,L206*Alukset_fx!$B$75))))))))</f>
        <v>0</v>
      </c>
      <c r="S206" s="210">
        <f>IF(L206=0,IF(Q206="Other dry cargo",Alukset_fx!$H$73*(Alukset_Käynnit_Lask!K206^Alukset_fx!$I$73),IF(OR(Q206="Dry Bulk",Q206="Bulk carrier"),Alukset_fx!$H$71*(Alukset_Käynnit_Lask!K206^Alukset_fx!$I$71),IF(Q206="Tugboat",Alukset_fx!$H$78*(Alukset_Käynnit_Lask!K206^Alukset_fx!$I$78),IF(OR(Q206="Tanker",Q206="Gas tanker",Q206="Chemical tanker",Q206="Oil tanker"),Alukset_fx!$H$70*(Alukset_Käynnit_Lask!K206^Alukset_fx!$I$70),IF(Q206="Container ship",Alukset_fx!$H$72*(Alukset_Käynnit_Lask!K206^Alukset_fx!$I$72),IF(Q206="Barge",0,IF(Q206="RoPax",Alukset_fx!$H$75*(Alukset_Käynnit_Lask!K206^Alukset_fx!$I$75),IF(OR(Q206="RoRo",Q206="Vehicle carrier"),Alukset_fx!$H$74*(Alukset_Käynnit_Lask!K206^Alukset_fx!$I$74),Alukset_fx!$H$77*(Alukset_Käynnit_Lask!K206^Alukset_fx!$I$77))))))))),"-")</f>
        <v>0</v>
      </c>
      <c r="T206" s="208">
        <f>IF(R206=0,IF(Q206="Other dry cargo",S206*Alukset_fx!$B$71,IF(OR(Q206="Dry bulk",Q206="Bulk carrier"),S206*Alukset_fx!$B$69,IF(Q206="Tugboat",S206*Alukset_fx!$B$76,IF(OR(Q206="Tanker",Q206="Gas tanker",Q206="Chemical tanker",Q206="Oil tanker"),S206*Alukset_fx!$B$68,IF(OR(Q206="RoRo",Q206="Vehicle carrier"),S206*Alukset_fx!$B$72,IF(Q206="RoPax",S206*Alukset_fx!$B$73,IF(Q206="Container ship",S206*Alukset_fx!$B$70,S206*Alukset_fx!$B$75))))))),"-")</f>
        <v>0</v>
      </c>
      <c r="U206" s="208">
        <f t="shared" ref="U206:U269" si="42">IF(L206=0,S206,L206)</f>
        <v>0</v>
      </c>
      <c r="V206" s="208">
        <f t="shared" ref="V206:V269" si="43">IF(R206=0,T206,R206)</f>
        <v>0</v>
      </c>
      <c r="W206" s="202">
        <f>Alukset_Käynnit!N213</f>
        <v>0</v>
      </c>
      <c r="X206" s="211">
        <f>IF(Q206="Other dry cargo", Alukset_fx!$C$52, IF(OR(Q206="Dry bulk",Q206="Bulk carrier"),Alukset_fx!$C$35,IF(OR(Q206="Tanker",Q206="Gas tanker",Q206="Oil tanker"),Alukset_fx!$C$57,IF(Q206="Chemical tanker",Alukset_fx!$C$56,IF(OR(Q206="Tugboat",Q206="Barge"),0,IF(Q206="Other vessel",Alukset_fx!$C$54,IF(Q206="Container ship",Alukset_fx!$C$37,IF(OR(Q206="RoPax",Q206="RoRo",Q206="Vehicle carrier"),Alukset_fx!$C$55,0))))))))</f>
        <v>0</v>
      </c>
      <c r="Y206" s="211">
        <f>IF(Q206="Other dry cargo", Alukset_fx!$Q$52, IF(OR(Q206="Dry bulk",Q206="Bulk carrier"),Alukset_fx!$Q$35,IF(OR(Q206="Tanker",Q206="Gas tanker",Q206="Oil tanker"),Alukset_fx!$Q$57,IF(Q206="Chemical tanker",Alukset_fx!$Q$56,IF(OR(Q206="Tugboat",Q206="Barge"),0,IF(Q206="Other vessel",Alukset_fx!$Q$54,IF(Q206="Container ship",Alukset_fx!$Q$37,IF(OR(Q206="RoPax",Q206="RoRo",Q206="Vehicle carrier"),Alukset_fx!$Q$55,0))))))))</f>
        <v>0</v>
      </c>
      <c r="Z206" t="str">
        <f t="shared" ref="Z206:Z269" si="44">IF(Q206="Barge","-","MDO/MGO")</f>
        <v>MDO/MGO</v>
      </c>
      <c r="AA206" t="str">
        <f t="shared" ref="AA206:AA269" si="45">IF(Q206="Container ship","SSD",IF(Q206="Tugboat","HSD",IF(Q206="Barge","-","MSD")))</f>
        <v>MSD</v>
      </c>
      <c r="AB206" t="str">
        <f t="shared" ref="AB206:AB269" si="46">IF(Q206="Barge","-","MDO/MGO")</f>
        <v>MDO/MGO</v>
      </c>
      <c r="AC206" t="str">
        <f t="shared" ref="AC206:AC269" si="47">IF(Q206="Barge","-","MSD")</f>
        <v>MSD</v>
      </c>
      <c r="AD206" t="str">
        <f t="shared" ref="AD206:AD269" si="48">IF(OR(Q206="Tugboat",Q206="Barge"),"-","MDO/MGO")</f>
        <v>MDO/MGO</v>
      </c>
      <c r="AE206" t="str">
        <f t="shared" ref="AE206:AE269" si="49">IF(OR(Q206="Barge",Q206="Tugboat"),"-","ST")</f>
        <v>ST</v>
      </c>
      <c r="AG206">
        <f>Alukset_Käynnit!O213</f>
        <v>0</v>
      </c>
      <c r="AH206" s="207">
        <f>IF(AA206="SSD",((U206*Alukset_fx!$B$24)*Alukset_Käynnit_Lask!W206*(Alukset_fx!$K$49)/1000),IF(AA206="MSD",((U206*Alukset_fx!$B$24)*Alukset_Käynnit_Lask!W206*(Alukset_fx!$K$52)/1000),IF(AA206="HSD",((U206*Alukset_fx!$B$24)*Alukset_Käynnit_Lask!W206*(Alukset_fx!$K$55)/1000),0)))</f>
        <v>0</v>
      </c>
      <c r="AI206" s="207">
        <f>IF(AC206="MSD",((V206*Alukset_fx!$B$25)*Alukset_Käynnit_Lask!W206*(Alukset_fx!$L$52)/1000),IF(AC206="HSD",((V206*Alukset_fx!$B$25)*Alukset_Käynnit_Lask!W206*(Alukset_fx!$L$55)/1000),0))</f>
        <v>0</v>
      </c>
      <c r="AJ206" s="207">
        <f>X206*W206*Alukset_fx!$K$61/1000</f>
        <v>0</v>
      </c>
      <c r="AK206">
        <v>0</v>
      </c>
      <c r="AL206" s="207">
        <f>IF(AG206="Käytetty",0,IF(AC206="MSD",((V206*Alukset_fx!$O$25)*Alukset_Käynnit_Lask!O206*(Alukset_fx!$L$52)/1000),IF(AC206="HSD",((V206*Alukset_fx!$O$25)*Alukset_Käynnit_Lask!O206*(Alukset_fx!$L$55)/1000),0)))</f>
        <v>0</v>
      </c>
      <c r="AM206" s="207">
        <f>IF(AG206="Käytetty",0,Y206*O206*Alukset_fx!$K$61/1000)</f>
        <v>0</v>
      </c>
      <c r="AN206" s="213">
        <f t="shared" ref="AN206:AN269" si="50">SUM(AH206:AM206)/1000</f>
        <v>0</v>
      </c>
    </row>
    <row r="207" spans="1:40" x14ac:dyDescent="0.25">
      <c r="A207" s="203">
        <f>Alukset_Käynnit!A214</f>
        <v>0</v>
      </c>
      <c r="B207" s="203">
        <f>Alukset_Käynnit!B214</f>
        <v>0</v>
      </c>
      <c r="C207" s="262">
        <f>Alukset_Käynnit!C214</f>
        <v>0</v>
      </c>
      <c r="D207" s="266">
        <f>Alukset_Käynnit!D214</f>
        <v>0</v>
      </c>
      <c r="E207" s="262">
        <f>Alukset_Käynnit!E214</f>
        <v>0</v>
      </c>
      <c r="F207" s="262">
        <f>Alukset_Käynnit!F214</f>
        <v>0</v>
      </c>
      <c r="G207" s="262">
        <f>Alukset_Käynnit!G214</f>
        <v>0</v>
      </c>
      <c r="H207" s="262">
        <f>Alukset_Käynnit!H214</f>
        <v>0</v>
      </c>
      <c r="I207" s="262">
        <f>Alukset_Käynnit!I214</f>
        <v>0</v>
      </c>
      <c r="J207" s="262">
        <f>Alukset_Käynnit!J214</f>
        <v>0</v>
      </c>
      <c r="K207" s="262">
        <f>Alukset_Käynnit!K214</f>
        <v>0</v>
      </c>
      <c r="L207" s="205">
        <f>Alukset_Käynnit!L214</f>
        <v>0</v>
      </c>
      <c r="N207" s="273">
        <f t="shared" si="39"/>
        <v>0</v>
      </c>
      <c r="O207" s="274">
        <f t="shared" si="40"/>
        <v>0</v>
      </c>
      <c r="Q207" s="204">
        <f t="shared" si="41"/>
        <v>0</v>
      </c>
      <c r="R207" s="202">
        <f>IF(Q207="Other dry cargo",L207*Alukset_fx!$B$71,IF(OR(Q207="Dry bulk",Q207="Bulk carrier"),L207*Alukset_fx!$B$69,IF(Q207="Tugboat",L207*Alukset_fx!$B$76,IF(OR(Q207="Tanker",Q207="Gas tanker",Q207="Chemical tanker",Q207="Oil tanker"),L207*Alukset_fx!$B$68,IF(OR(Q207="RoRo",Q207="Vehicle carrier"),L207*Alukset_fx!$B$72,IF(Q207="RoPax",L207*Alukset_fx!$B$73,IF(Q207="Container ship",L207*Alukset_fx!$B$70,IF(Q207="Barge",0,L207*Alukset_fx!$B$75))))))))</f>
        <v>0</v>
      </c>
      <c r="S207" s="210">
        <f>IF(L207=0,IF(Q207="Other dry cargo",Alukset_fx!$H$73*(Alukset_Käynnit_Lask!K207^Alukset_fx!$I$73),IF(OR(Q207="Dry Bulk",Q207="Bulk carrier"),Alukset_fx!$H$71*(Alukset_Käynnit_Lask!K207^Alukset_fx!$I$71),IF(Q207="Tugboat",Alukset_fx!$H$78*(Alukset_Käynnit_Lask!K207^Alukset_fx!$I$78),IF(OR(Q207="Tanker",Q207="Gas tanker",Q207="Chemical tanker",Q207="Oil tanker"),Alukset_fx!$H$70*(Alukset_Käynnit_Lask!K207^Alukset_fx!$I$70),IF(Q207="Container ship",Alukset_fx!$H$72*(Alukset_Käynnit_Lask!K207^Alukset_fx!$I$72),IF(Q207="Barge",0,IF(Q207="RoPax",Alukset_fx!$H$75*(Alukset_Käynnit_Lask!K207^Alukset_fx!$I$75),IF(OR(Q207="RoRo",Q207="Vehicle carrier"),Alukset_fx!$H$74*(Alukset_Käynnit_Lask!K207^Alukset_fx!$I$74),Alukset_fx!$H$77*(Alukset_Käynnit_Lask!K207^Alukset_fx!$I$77))))))))),"-")</f>
        <v>0</v>
      </c>
      <c r="T207" s="208">
        <f>IF(R207=0,IF(Q207="Other dry cargo",S207*Alukset_fx!$B$71,IF(OR(Q207="Dry bulk",Q207="Bulk carrier"),S207*Alukset_fx!$B$69,IF(Q207="Tugboat",S207*Alukset_fx!$B$76,IF(OR(Q207="Tanker",Q207="Gas tanker",Q207="Chemical tanker",Q207="Oil tanker"),S207*Alukset_fx!$B$68,IF(OR(Q207="RoRo",Q207="Vehicle carrier"),S207*Alukset_fx!$B$72,IF(Q207="RoPax",S207*Alukset_fx!$B$73,IF(Q207="Container ship",S207*Alukset_fx!$B$70,S207*Alukset_fx!$B$75))))))),"-")</f>
        <v>0</v>
      </c>
      <c r="U207" s="208">
        <f t="shared" si="42"/>
        <v>0</v>
      </c>
      <c r="V207" s="208">
        <f t="shared" si="43"/>
        <v>0</v>
      </c>
      <c r="W207" s="202">
        <f>Alukset_Käynnit!N214</f>
        <v>0</v>
      </c>
      <c r="X207" s="211">
        <f>IF(Q207="Other dry cargo", Alukset_fx!$C$52, IF(OR(Q207="Dry bulk",Q207="Bulk carrier"),Alukset_fx!$C$35,IF(OR(Q207="Tanker",Q207="Gas tanker",Q207="Oil tanker"),Alukset_fx!$C$57,IF(Q207="Chemical tanker",Alukset_fx!$C$56,IF(OR(Q207="Tugboat",Q207="Barge"),0,IF(Q207="Other vessel",Alukset_fx!$C$54,IF(Q207="Container ship",Alukset_fx!$C$37,IF(OR(Q207="RoPax",Q207="RoRo",Q207="Vehicle carrier"),Alukset_fx!$C$55,0))))))))</f>
        <v>0</v>
      </c>
      <c r="Y207" s="211">
        <f>IF(Q207="Other dry cargo", Alukset_fx!$Q$52, IF(OR(Q207="Dry bulk",Q207="Bulk carrier"),Alukset_fx!$Q$35,IF(OR(Q207="Tanker",Q207="Gas tanker",Q207="Oil tanker"),Alukset_fx!$Q$57,IF(Q207="Chemical tanker",Alukset_fx!$Q$56,IF(OR(Q207="Tugboat",Q207="Barge"),0,IF(Q207="Other vessel",Alukset_fx!$Q$54,IF(Q207="Container ship",Alukset_fx!$Q$37,IF(OR(Q207="RoPax",Q207="RoRo",Q207="Vehicle carrier"),Alukset_fx!$Q$55,0))))))))</f>
        <v>0</v>
      </c>
      <c r="Z207" t="str">
        <f t="shared" si="44"/>
        <v>MDO/MGO</v>
      </c>
      <c r="AA207" t="str">
        <f t="shared" si="45"/>
        <v>MSD</v>
      </c>
      <c r="AB207" t="str">
        <f t="shared" si="46"/>
        <v>MDO/MGO</v>
      </c>
      <c r="AC207" t="str">
        <f t="shared" si="47"/>
        <v>MSD</v>
      </c>
      <c r="AD207" t="str">
        <f t="shared" si="48"/>
        <v>MDO/MGO</v>
      </c>
      <c r="AE207" t="str">
        <f t="shared" si="49"/>
        <v>ST</v>
      </c>
      <c r="AG207">
        <f>Alukset_Käynnit!O214</f>
        <v>0</v>
      </c>
      <c r="AH207" s="207">
        <f>IF(AA207="SSD",((U207*Alukset_fx!$B$24)*Alukset_Käynnit_Lask!W207*(Alukset_fx!$K$49)/1000),IF(AA207="MSD",((U207*Alukset_fx!$B$24)*Alukset_Käynnit_Lask!W207*(Alukset_fx!$K$52)/1000),IF(AA207="HSD",((U207*Alukset_fx!$B$24)*Alukset_Käynnit_Lask!W207*(Alukset_fx!$K$55)/1000),0)))</f>
        <v>0</v>
      </c>
      <c r="AI207" s="207">
        <f>IF(AC207="MSD",((V207*Alukset_fx!$B$25)*Alukset_Käynnit_Lask!W207*(Alukset_fx!$L$52)/1000),IF(AC207="HSD",((V207*Alukset_fx!$B$25)*Alukset_Käynnit_Lask!W207*(Alukset_fx!$L$55)/1000),0))</f>
        <v>0</v>
      </c>
      <c r="AJ207" s="207">
        <f>X207*W207*Alukset_fx!$K$61/1000</f>
        <v>0</v>
      </c>
      <c r="AK207">
        <v>0</v>
      </c>
      <c r="AL207" s="207">
        <f>IF(AG207="Käytetty",0,IF(AC207="MSD",((V207*Alukset_fx!$O$25)*Alukset_Käynnit_Lask!O207*(Alukset_fx!$L$52)/1000),IF(AC207="HSD",((V207*Alukset_fx!$O$25)*Alukset_Käynnit_Lask!O207*(Alukset_fx!$L$55)/1000),0)))</f>
        <v>0</v>
      </c>
      <c r="AM207" s="207">
        <f>IF(AG207="Käytetty",0,Y207*O207*Alukset_fx!$K$61/1000)</f>
        <v>0</v>
      </c>
      <c r="AN207" s="213">
        <f t="shared" si="50"/>
        <v>0</v>
      </c>
    </row>
    <row r="208" spans="1:40" x14ac:dyDescent="0.25">
      <c r="A208" s="203">
        <f>Alukset_Käynnit!A215</f>
        <v>0</v>
      </c>
      <c r="B208" s="203">
        <f>Alukset_Käynnit!B215</f>
        <v>0</v>
      </c>
      <c r="C208" s="262">
        <f>Alukset_Käynnit!C215</f>
        <v>0</v>
      </c>
      <c r="D208" s="266">
        <f>Alukset_Käynnit!D215</f>
        <v>0</v>
      </c>
      <c r="E208" s="262">
        <f>Alukset_Käynnit!E215</f>
        <v>0</v>
      </c>
      <c r="F208" s="262">
        <f>Alukset_Käynnit!F215</f>
        <v>0</v>
      </c>
      <c r="G208" s="262">
        <f>Alukset_Käynnit!G215</f>
        <v>0</v>
      </c>
      <c r="H208" s="262">
        <f>Alukset_Käynnit!H215</f>
        <v>0</v>
      </c>
      <c r="I208" s="262">
        <f>Alukset_Käynnit!I215</f>
        <v>0</v>
      </c>
      <c r="J208" s="262">
        <f>Alukset_Käynnit!J215</f>
        <v>0</v>
      </c>
      <c r="K208" s="262">
        <f>Alukset_Käynnit!K215</f>
        <v>0</v>
      </c>
      <c r="L208" s="205">
        <f>Alukset_Käynnit!L215</f>
        <v>0</v>
      </c>
      <c r="N208" s="273">
        <f t="shared" si="39"/>
        <v>0</v>
      </c>
      <c r="O208" s="274">
        <f t="shared" si="40"/>
        <v>0</v>
      </c>
      <c r="Q208" s="204">
        <f t="shared" si="41"/>
        <v>0</v>
      </c>
      <c r="R208" s="202">
        <f>IF(Q208="Other dry cargo",L208*Alukset_fx!$B$71,IF(OR(Q208="Dry bulk",Q208="Bulk carrier"),L208*Alukset_fx!$B$69,IF(Q208="Tugboat",L208*Alukset_fx!$B$76,IF(OR(Q208="Tanker",Q208="Gas tanker",Q208="Chemical tanker",Q208="Oil tanker"),L208*Alukset_fx!$B$68,IF(OR(Q208="RoRo",Q208="Vehicle carrier"),L208*Alukset_fx!$B$72,IF(Q208="RoPax",L208*Alukset_fx!$B$73,IF(Q208="Container ship",L208*Alukset_fx!$B$70,IF(Q208="Barge",0,L208*Alukset_fx!$B$75))))))))</f>
        <v>0</v>
      </c>
      <c r="S208" s="210">
        <f>IF(L208=0,IF(Q208="Other dry cargo",Alukset_fx!$H$73*(Alukset_Käynnit_Lask!K208^Alukset_fx!$I$73),IF(OR(Q208="Dry Bulk",Q208="Bulk carrier"),Alukset_fx!$H$71*(Alukset_Käynnit_Lask!K208^Alukset_fx!$I$71),IF(Q208="Tugboat",Alukset_fx!$H$78*(Alukset_Käynnit_Lask!K208^Alukset_fx!$I$78),IF(OR(Q208="Tanker",Q208="Gas tanker",Q208="Chemical tanker",Q208="Oil tanker"),Alukset_fx!$H$70*(Alukset_Käynnit_Lask!K208^Alukset_fx!$I$70),IF(Q208="Container ship",Alukset_fx!$H$72*(Alukset_Käynnit_Lask!K208^Alukset_fx!$I$72),IF(Q208="Barge",0,IF(Q208="RoPax",Alukset_fx!$H$75*(Alukset_Käynnit_Lask!K208^Alukset_fx!$I$75),IF(OR(Q208="RoRo",Q208="Vehicle carrier"),Alukset_fx!$H$74*(Alukset_Käynnit_Lask!K208^Alukset_fx!$I$74),Alukset_fx!$H$77*(Alukset_Käynnit_Lask!K208^Alukset_fx!$I$77))))))))),"-")</f>
        <v>0</v>
      </c>
      <c r="T208" s="208">
        <f>IF(R208=0,IF(Q208="Other dry cargo",S208*Alukset_fx!$B$71,IF(OR(Q208="Dry bulk",Q208="Bulk carrier"),S208*Alukset_fx!$B$69,IF(Q208="Tugboat",S208*Alukset_fx!$B$76,IF(OR(Q208="Tanker",Q208="Gas tanker",Q208="Chemical tanker",Q208="Oil tanker"),S208*Alukset_fx!$B$68,IF(OR(Q208="RoRo",Q208="Vehicle carrier"),S208*Alukset_fx!$B$72,IF(Q208="RoPax",S208*Alukset_fx!$B$73,IF(Q208="Container ship",S208*Alukset_fx!$B$70,S208*Alukset_fx!$B$75))))))),"-")</f>
        <v>0</v>
      </c>
      <c r="U208" s="208">
        <f t="shared" si="42"/>
        <v>0</v>
      </c>
      <c r="V208" s="208">
        <f t="shared" si="43"/>
        <v>0</v>
      </c>
      <c r="W208" s="202">
        <f>Alukset_Käynnit!N215</f>
        <v>0</v>
      </c>
      <c r="X208" s="211">
        <f>IF(Q208="Other dry cargo", Alukset_fx!$C$52, IF(OR(Q208="Dry bulk",Q208="Bulk carrier"),Alukset_fx!$C$35,IF(OR(Q208="Tanker",Q208="Gas tanker",Q208="Oil tanker"),Alukset_fx!$C$57,IF(Q208="Chemical tanker",Alukset_fx!$C$56,IF(OR(Q208="Tugboat",Q208="Barge"),0,IF(Q208="Other vessel",Alukset_fx!$C$54,IF(Q208="Container ship",Alukset_fx!$C$37,IF(OR(Q208="RoPax",Q208="RoRo",Q208="Vehicle carrier"),Alukset_fx!$C$55,0))))))))</f>
        <v>0</v>
      </c>
      <c r="Y208" s="211">
        <f>IF(Q208="Other dry cargo", Alukset_fx!$Q$52, IF(OR(Q208="Dry bulk",Q208="Bulk carrier"),Alukset_fx!$Q$35,IF(OR(Q208="Tanker",Q208="Gas tanker",Q208="Oil tanker"),Alukset_fx!$Q$57,IF(Q208="Chemical tanker",Alukset_fx!$Q$56,IF(OR(Q208="Tugboat",Q208="Barge"),0,IF(Q208="Other vessel",Alukset_fx!$Q$54,IF(Q208="Container ship",Alukset_fx!$Q$37,IF(OR(Q208="RoPax",Q208="RoRo",Q208="Vehicle carrier"),Alukset_fx!$Q$55,0))))))))</f>
        <v>0</v>
      </c>
      <c r="Z208" t="str">
        <f t="shared" si="44"/>
        <v>MDO/MGO</v>
      </c>
      <c r="AA208" t="str">
        <f t="shared" si="45"/>
        <v>MSD</v>
      </c>
      <c r="AB208" t="str">
        <f t="shared" si="46"/>
        <v>MDO/MGO</v>
      </c>
      <c r="AC208" t="str">
        <f t="shared" si="47"/>
        <v>MSD</v>
      </c>
      <c r="AD208" t="str">
        <f t="shared" si="48"/>
        <v>MDO/MGO</v>
      </c>
      <c r="AE208" t="str">
        <f t="shared" si="49"/>
        <v>ST</v>
      </c>
      <c r="AG208">
        <f>Alukset_Käynnit!O215</f>
        <v>0</v>
      </c>
      <c r="AH208" s="207">
        <f>IF(AA208="SSD",((U208*Alukset_fx!$B$24)*Alukset_Käynnit_Lask!W208*(Alukset_fx!$K$49)/1000),IF(AA208="MSD",((U208*Alukset_fx!$B$24)*Alukset_Käynnit_Lask!W208*(Alukset_fx!$K$52)/1000),IF(AA208="HSD",((U208*Alukset_fx!$B$24)*Alukset_Käynnit_Lask!W208*(Alukset_fx!$K$55)/1000),0)))</f>
        <v>0</v>
      </c>
      <c r="AI208" s="207">
        <f>IF(AC208="MSD",((V208*Alukset_fx!$B$25)*Alukset_Käynnit_Lask!W208*(Alukset_fx!$L$52)/1000),IF(AC208="HSD",((V208*Alukset_fx!$B$25)*Alukset_Käynnit_Lask!W208*(Alukset_fx!$L$55)/1000),0))</f>
        <v>0</v>
      </c>
      <c r="AJ208" s="207">
        <f>X208*W208*Alukset_fx!$K$61/1000</f>
        <v>0</v>
      </c>
      <c r="AK208">
        <v>0</v>
      </c>
      <c r="AL208" s="207">
        <f>IF(AG208="Käytetty",0,IF(AC208="MSD",((V208*Alukset_fx!$O$25)*Alukset_Käynnit_Lask!O208*(Alukset_fx!$L$52)/1000),IF(AC208="HSD",((V208*Alukset_fx!$O$25)*Alukset_Käynnit_Lask!O208*(Alukset_fx!$L$55)/1000),0)))</f>
        <v>0</v>
      </c>
      <c r="AM208" s="207">
        <f>IF(AG208="Käytetty",0,Y208*O208*Alukset_fx!$K$61/1000)</f>
        <v>0</v>
      </c>
      <c r="AN208" s="213">
        <f t="shared" si="50"/>
        <v>0</v>
      </c>
    </row>
    <row r="209" spans="1:40" x14ac:dyDescent="0.25">
      <c r="A209" s="203">
        <f>Alukset_Käynnit!A216</f>
        <v>0</v>
      </c>
      <c r="B209" s="203">
        <f>Alukset_Käynnit!B216</f>
        <v>0</v>
      </c>
      <c r="C209" s="262">
        <f>Alukset_Käynnit!C216</f>
        <v>0</v>
      </c>
      <c r="D209" s="266">
        <f>Alukset_Käynnit!D216</f>
        <v>0</v>
      </c>
      <c r="E209" s="262">
        <f>Alukset_Käynnit!E216</f>
        <v>0</v>
      </c>
      <c r="F209" s="262">
        <f>Alukset_Käynnit!F216</f>
        <v>0</v>
      </c>
      <c r="G209" s="262">
        <f>Alukset_Käynnit!G216</f>
        <v>0</v>
      </c>
      <c r="H209" s="262">
        <f>Alukset_Käynnit!H216</f>
        <v>0</v>
      </c>
      <c r="I209" s="262">
        <f>Alukset_Käynnit!I216</f>
        <v>0</v>
      </c>
      <c r="J209" s="262">
        <f>Alukset_Käynnit!J216</f>
        <v>0</v>
      </c>
      <c r="K209" s="262">
        <f>Alukset_Käynnit!K216</f>
        <v>0</v>
      </c>
      <c r="L209" s="205">
        <f>Alukset_Käynnit!L216</f>
        <v>0</v>
      </c>
      <c r="N209" s="273">
        <f t="shared" si="39"/>
        <v>0</v>
      </c>
      <c r="O209" s="274">
        <f t="shared" si="40"/>
        <v>0</v>
      </c>
      <c r="Q209" s="204">
        <f t="shared" si="41"/>
        <v>0</v>
      </c>
      <c r="R209" s="202">
        <f>IF(Q209="Other dry cargo",L209*Alukset_fx!$B$71,IF(OR(Q209="Dry bulk",Q209="Bulk carrier"),L209*Alukset_fx!$B$69,IF(Q209="Tugboat",L209*Alukset_fx!$B$76,IF(OR(Q209="Tanker",Q209="Gas tanker",Q209="Chemical tanker",Q209="Oil tanker"),L209*Alukset_fx!$B$68,IF(OR(Q209="RoRo",Q209="Vehicle carrier"),L209*Alukset_fx!$B$72,IF(Q209="RoPax",L209*Alukset_fx!$B$73,IF(Q209="Container ship",L209*Alukset_fx!$B$70,IF(Q209="Barge",0,L209*Alukset_fx!$B$75))))))))</f>
        <v>0</v>
      </c>
      <c r="S209" s="210">
        <f>IF(L209=0,IF(Q209="Other dry cargo",Alukset_fx!$H$73*(Alukset_Käynnit_Lask!K209^Alukset_fx!$I$73),IF(OR(Q209="Dry Bulk",Q209="Bulk carrier"),Alukset_fx!$H$71*(Alukset_Käynnit_Lask!K209^Alukset_fx!$I$71),IF(Q209="Tugboat",Alukset_fx!$H$78*(Alukset_Käynnit_Lask!K209^Alukset_fx!$I$78),IF(OR(Q209="Tanker",Q209="Gas tanker",Q209="Chemical tanker",Q209="Oil tanker"),Alukset_fx!$H$70*(Alukset_Käynnit_Lask!K209^Alukset_fx!$I$70),IF(Q209="Container ship",Alukset_fx!$H$72*(Alukset_Käynnit_Lask!K209^Alukset_fx!$I$72),IF(Q209="Barge",0,IF(Q209="RoPax",Alukset_fx!$H$75*(Alukset_Käynnit_Lask!K209^Alukset_fx!$I$75),IF(OR(Q209="RoRo",Q209="Vehicle carrier"),Alukset_fx!$H$74*(Alukset_Käynnit_Lask!K209^Alukset_fx!$I$74),Alukset_fx!$H$77*(Alukset_Käynnit_Lask!K209^Alukset_fx!$I$77))))))))),"-")</f>
        <v>0</v>
      </c>
      <c r="T209" s="208">
        <f>IF(R209=0,IF(Q209="Other dry cargo",S209*Alukset_fx!$B$71,IF(OR(Q209="Dry bulk",Q209="Bulk carrier"),S209*Alukset_fx!$B$69,IF(Q209="Tugboat",S209*Alukset_fx!$B$76,IF(OR(Q209="Tanker",Q209="Gas tanker",Q209="Chemical tanker",Q209="Oil tanker"),S209*Alukset_fx!$B$68,IF(OR(Q209="RoRo",Q209="Vehicle carrier"),S209*Alukset_fx!$B$72,IF(Q209="RoPax",S209*Alukset_fx!$B$73,IF(Q209="Container ship",S209*Alukset_fx!$B$70,S209*Alukset_fx!$B$75))))))),"-")</f>
        <v>0</v>
      </c>
      <c r="U209" s="208">
        <f t="shared" si="42"/>
        <v>0</v>
      </c>
      <c r="V209" s="208">
        <f t="shared" si="43"/>
        <v>0</v>
      </c>
      <c r="W209" s="202">
        <f>Alukset_Käynnit!N216</f>
        <v>0</v>
      </c>
      <c r="X209" s="211">
        <f>IF(Q209="Other dry cargo", Alukset_fx!$C$52, IF(OR(Q209="Dry bulk",Q209="Bulk carrier"),Alukset_fx!$C$35,IF(OR(Q209="Tanker",Q209="Gas tanker",Q209="Oil tanker"),Alukset_fx!$C$57,IF(Q209="Chemical tanker",Alukset_fx!$C$56,IF(OR(Q209="Tugboat",Q209="Barge"),0,IF(Q209="Other vessel",Alukset_fx!$C$54,IF(Q209="Container ship",Alukset_fx!$C$37,IF(OR(Q209="RoPax",Q209="RoRo",Q209="Vehicle carrier"),Alukset_fx!$C$55,0))))))))</f>
        <v>0</v>
      </c>
      <c r="Y209" s="211">
        <f>IF(Q209="Other dry cargo", Alukset_fx!$Q$52, IF(OR(Q209="Dry bulk",Q209="Bulk carrier"),Alukset_fx!$Q$35,IF(OR(Q209="Tanker",Q209="Gas tanker",Q209="Oil tanker"),Alukset_fx!$Q$57,IF(Q209="Chemical tanker",Alukset_fx!$Q$56,IF(OR(Q209="Tugboat",Q209="Barge"),0,IF(Q209="Other vessel",Alukset_fx!$Q$54,IF(Q209="Container ship",Alukset_fx!$Q$37,IF(OR(Q209="RoPax",Q209="RoRo",Q209="Vehicle carrier"),Alukset_fx!$Q$55,0))))))))</f>
        <v>0</v>
      </c>
      <c r="Z209" t="str">
        <f t="shared" si="44"/>
        <v>MDO/MGO</v>
      </c>
      <c r="AA209" t="str">
        <f t="shared" si="45"/>
        <v>MSD</v>
      </c>
      <c r="AB209" t="str">
        <f t="shared" si="46"/>
        <v>MDO/MGO</v>
      </c>
      <c r="AC209" t="str">
        <f t="shared" si="47"/>
        <v>MSD</v>
      </c>
      <c r="AD209" t="str">
        <f t="shared" si="48"/>
        <v>MDO/MGO</v>
      </c>
      <c r="AE209" t="str">
        <f t="shared" si="49"/>
        <v>ST</v>
      </c>
      <c r="AG209">
        <f>Alukset_Käynnit!O216</f>
        <v>0</v>
      </c>
      <c r="AH209" s="207">
        <f>IF(AA209="SSD",((U209*Alukset_fx!$B$24)*Alukset_Käynnit_Lask!W209*(Alukset_fx!$K$49)/1000),IF(AA209="MSD",((U209*Alukset_fx!$B$24)*Alukset_Käynnit_Lask!W209*(Alukset_fx!$K$52)/1000),IF(AA209="HSD",((U209*Alukset_fx!$B$24)*Alukset_Käynnit_Lask!W209*(Alukset_fx!$K$55)/1000),0)))</f>
        <v>0</v>
      </c>
      <c r="AI209" s="207">
        <f>IF(AC209="MSD",((V209*Alukset_fx!$B$25)*Alukset_Käynnit_Lask!W209*(Alukset_fx!$L$52)/1000),IF(AC209="HSD",((V209*Alukset_fx!$B$25)*Alukset_Käynnit_Lask!W209*(Alukset_fx!$L$55)/1000),0))</f>
        <v>0</v>
      </c>
      <c r="AJ209" s="207">
        <f>X209*W209*Alukset_fx!$K$61/1000</f>
        <v>0</v>
      </c>
      <c r="AK209">
        <v>0</v>
      </c>
      <c r="AL209" s="207">
        <f>IF(AG209="Käytetty",0,IF(AC209="MSD",((V209*Alukset_fx!$O$25)*Alukset_Käynnit_Lask!O209*(Alukset_fx!$L$52)/1000),IF(AC209="HSD",((V209*Alukset_fx!$O$25)*Alukset_Käynnit_Lask!O209*(Alukset_fx!$L$55)/1000),0)))</f>
        <v>0</v>
      </c>
      <c r="AM209" s="207">
        <f>IF(AG209="Käytetty",0,Y209*O209*Alukset_fx!$K$61/1000)</f>
        <v>0</v>
      </c>
      <c r="AN209" s="213">
        <f t="shared" si="50"/>
        <v>0</v>
      </c>
    </row>
    <row r="210" spans="1:40" x14ac:dyDescent="0.25">
      <c r="A210" s="203">
        <f>Alukset_Käynnit!A217</f>
        <v>0</v>
      </c>
      <c r="B210" s="203">
        <f>Alukset_Käynnit!B217</f>
        <v>0</v>
      </c>
      <c r="C210" s="262">
        <f>Alukset_Käynnit!C217</f>
        <v>0</v>
      </c>
      <c r="D210" s="266">
        <f>Alukset_Käynnit!D217</f>
        <v>0</v>
      </c>
      <c r="E210" s="262">
        <f>Alukset_Käynnit!E217</f>
        <v>0</v>
      </c>
      <c r="F210" s="262">
        <f>Alukset_Käynnit!F217</f>
        <v>0</v>
      </c>
      <c r="G210" s="262">
        <f>Alukset_Käynnit!G217</f>
        <v>0</v>
      </c>
      <c r="H210" s="262">
        <f>Alukset_Käynnit!H217</f>
        <v>0</v>
      </c>
      <c r="I210" s="262">
        <f>Alukset_Käynnit!I217</f>
        <v>0</v>
      </c>
      <c r="J210" s="262">
        <f>Alukset_Käynnit!J217</f>
        <v>0</v>
      </c>
      <c r="K210" s="262">
        <f>Alukset_Käynnit!K217</f>
        <v>0</v>
      </c>
      <c r="L210" s="205">
        <f>Alukset_Käynnit!L217</f>
        <v>0</v>
      </c>
      <c r="N210" s="273">
        <f t="shared" si="39"/>
        <v>0</v>
      </c>
      <c r="O210" s="274">
        <f t="shared" si="40"/>
        <v>0</v>
      </c>
      <c r="Q210" s="204">
        <f t="shared" si="41"/>
        <v>0</v>
      </c>
      <c r="R210" s="202">
        <f>IF(Q210="Other dry cargo",L210*Alukset_fx!$B$71,IF(OR(Q210="Dry bulk",Q210="Bulk carrier"),L210*Alukset_fx!$B$69,IF(Q210="Tugboat",L210*Alukset_fx!$B$76,IF(OR(Q210="Tanker",Q210="Gas tanker",Q210="Chemical tanker",Q210="Oil tanker"),L210*Alukset_fx!$B$68,IF(OR(Q210="RoRo",Q210="Vehicle carrier"),L210*Alukset_fx!$B$72,IF(Q210="RoPax",L210*Alukset_fx!$B$73,IF(Q210="Container ship",L210*Alukset_fx!$B$70,IF(Q210="Barge",0,L210*Alukset_fx!$B$75))))))))</f>
        <v>0</v>
      </c>
      <c r="S210" s="210">
        <f>IF(L210=0,IF(Q210="Other dry cargo",Alukset_fx!$H$73*(Alukset_Käynnit_Lask!K210^Alukset_fx!$I$73),IF(OR(Q210="Dry Bulk",Q210="Bulk carrier"),Alukset_fx!$H$71*(Alukset_Käynnit_Lask!K210^Alukset_fx!$I$71),IF(Q210="Tugboat",Alukset_fx!$H$78*(Alukset_Käynnit_Lask!K210^Alukset_fx!$I$78),IF(OR(Q210="Tanker",Q210="Gas tanker",Q210="Chemical tanker",Q210="Oil tanker"),Alukset_fx!$H$70*(Alukset_Käynnit_Lask!K210^Alukset_fx!$I$70),IF(Q210="Container ship",Alukset_fx!$H$72*(Alukset_Käynnit_Lask!K210^Alukset_fx!$I$72),IF(Q210="Barge",0,IF(Q210="RoPax",Alukset_fx!$H$75*(Alukset_Käynnit_Lask!K210^Alukset_fx!$I$75),IF(OR(Q210="RoRo",Q210="Vehicle carrier"),Alukset_fx!$H$74*(Alukset_Käynnit_Lask!K210^Alukset_fx!$I$74),Alukset_fx!$H$77*(Alukset_Käynnit_Lask!K210^Alukset_fx!$I$77))))))))),"-")</f>
        <v>0</v>
      </c>
      <c r="T210" s="208">
        <f>IF(R210=0,IF(Q210="Other dry cargo",S210*Alukset_fx!$B$71,IF(OR(Q210="Dry bulk",Q210="Bulk carrier"),S210*Alukset_fx!$B$69,IF(Q210="Tugboat",S210*Alukset_fx!$B$76,IF(OR(Q210="Tanker",Q210="Gas tanker",Q210="Chemical tanker",Q210="Oil tanker"),S210*Alukset_fx!$B$68,IF(OR(Q210="RoRo",Q210="Vehicle carrier"),S210*Alukset_fx!$B$72,IF(Q210="RoPax",S210*Alukset_fx!$B$73,IF(Q210="Container ship",S210*Alukset_fx!$B$70,S210*Alukset_fx!$B$75))))))),"-")</f>
        <v>0</v>
      </c>
      <c r="U210" s="208">
        <f t="shared" si="42"/>
        <v>0</v>
      </c>
      <c r="V210" s="208">
        <f t="shared" si="43"/>
        <v>0</v>
      </c>
      <c r="W210" s="202">
        <f>Alukset_Käynnit!N217</f>
        <v>0</v>
      </c>
      <c r="X210" s="211">
        <f>IF(Q210="Other dry cargo", Alukset_fx!$C$52, IF(OR(Q210="Dry bulk",Q210="Bulk carrier"),Alukset_fx!$C$35,IF(OR(Q210="Tanker",Q210="Gas tanker",Q210="Oil tanker"),Alukset_fx!$C$57,IF(Q210="Chemical tanker",Alukset_fx!$C$56,IF(OR(Q210="Tugboat",Q210="Barge"),0,IF(Q210="Other vessel",Alukset_fx!$C$54,IF(Q210="Container ship",Alukset_fx!$C$37,IF(OR(Q210="RoPax",Q210="RoRo",Q210="Vehicle carrier"),Alukset_fx!$C$55,0))))))))</f>
        <v>0</v>
      </c>
      <c r="Y210" s="211">
        <f>IF(Q210="Other dry cargo", Alukset_fx!$Q$52, IF(OR(Q210="Dry bulk",Q210="Bulk carrier"),Alukset_fx!$Q$35,IF(OR(Q210="Tanker",Q210="Gas tanker",Q210="Oil tanker"),Alukset_fx!$Q$57,IF(Q210="Chemical tanker",Alukset_fx!$Q$56,IF(OR(Q210="Tugboat",Q210="Barge"),0,IF(Q210="Other vessel",Alukset_fx!$Q$54,IF(Q210="Container ship",Alukset_fx!$Q$37,IF(OR(Q210="RoPax",Q210="RoRo",Q210="Vehicle carrier"),Alukset_fx!$Q$55,0))))))))</f>
        <v>0</v>
      </c>
      <c r="Z210" t="str">
        <f t="shared" si="44"/>
        <v>MDO/MGO</v>
      </c>
      <c r="AA210" t="str">
        <f t="shared" si="45"/>
        <v>MSD</v>
      </c>
      <c r="AB210" t="str">
        <f t="shared" si="46"/>
        <v>MDO/MGO</v>
      </c>
      <c r="AC210" t="str">
        <f t="shared" si="47"/>
        <v>MSD</v>
      </c>
      <c r="AD210" t="str">
        <f t="shared" si="48"/>
        <v>MDO/MGO</v>
      </c>
      <c r="AE210" t="str">
        <f t="shared" si="49"/>
        <v>ST</v>
      </c>
      <c r="AG210">
        <f>Alukset_Käynnit!O217</f>
        <v>0</v>
      </c>
      <c r="AH210" s="207">
        <f>IF(AA210="SSD",((U210*Alukset_fx!$B$24)*Alukset_Käynnit_Lask!W210*(Alukset_fx!$K$49)/1000),IF(AA210="MSD",((U210*Alukset_fx!$B$24)*Alukset_Käynnit_Lask!W210*(Alukset_fx!$K$52)/1000),IF(AA210="HSD",((U210*Alukset_fx!$B$24)*Alukset_Käynnit_Lask!W210*(Alukset_fx!$K$55)/1000),0)))</f>
        <v>0</v>
      </c>
      <c r="AI210" s="207">
        <f>IF(AC210="MSD",((V210*Alukset_fx!$B$25)*Alukset_Käynnit_Lask!W210*(Alukset_fx!$L$52)/1000),IF(AC210="HSD",((V210*Alukset_fx!$B$25)*Alukset_Käynnit_Lask!W210*(Alukset_fx!$L$55)/1000),0))</f>
        <v>0</v>
      </c>
      <c r="AJ210" s="207">
        <f>X210*W210*Alukset_fx!$K$61/1000</f>
        <v>0</v>
      </c>
      <c r="AK210">
        <v>0</v>
      </c>
      <c r="AL210" s="207">
        <f>IF(AG210="Käytetty",0,IF(AC210="MSD",((V210*Alukset_fx!$O$25)*Alukset_Käynnit_Lask!O210*(Alukset_fx!$L$52)/1000),IF(AC210="HSD",((V210*Alukset_fx!$O$25)*Alukset_Käynnit_Lask!O210*(Alukset_fx!$L$55)/1000),0)))</f>
        <v>0</v>
      </c>
      <c r="AM210" s="207">
        <f>IF(AG210="Käytetty",0,Y210*O210*Alukset_fx!$K$61/1000)</f>
        <v>0</v>
      </c>
      <c r="AN210" s="213">
        <f t="shared" si="50"/>
        <v>0</v>
      </c>
    </row>
    <row r="211" spans="1:40" x14ac:dyDescent="0.25">
      <c r="A211" s="203">
        <f>Alukset_Käynnit!A218</f>
        <v>0</v>
      </c>
      <c r="B211" s="203">
        <f>Alukset_Käynnit!B218</f>
        <v>0</v>
      </c>
      <c r="C211" s="262">
        <f>Alukset_Käynnit!C218</f>
        <v>0</v>
      </c>
      <c r="D211" s="266">
        <f>Alukset_Käynnit!D218</f>
        <v>0</v>
      </c>
      <c r="E211" s="262">
        <f>Alukset_Käynnit!E218</f>
        <v>0</v>
      </c>
      <c r="F211" s="262">
        <f>Alukset_Käynnit!F218</f>
        <v>0</v>
      </c>
      <c r="G211" s="262">
        <f>Alukset_Käynnit!G218</f>
        <v>0</v>
      </c>
      <c r="H211" s="262">
        <f>Alukset_Käynnit!H218</f>
        <v>0</v>
      </c>
      <c r="I211" s="262">
        <f>Alukset_Käynnit!I218</f>
        <v>0</v>
      </c>
      <c r="J211" s="262">
        <f>Alukset_Käynnit!J218</f>
        <v>0</v>
      </c>
      <c r="K211" s="262">
        <f>Alukset_Käynnit!K218</f>
        <v>0</v>
      </c>
      <c r="L211" s="205">
        <f>Alukset_Käynnit!L218</f>
        <v>0</v>
      </c>
      <c r="N211" s="273">
        <f t="shared" si="39"/>
        <v>0</v>
      </c>
      <c r="O211" s="274">
        <f t="shared" si="40"/>
        <v>0</v>
      </c>
      <c r="Q211" s="204">
        <f t="shared" si="41"/>
        <v>0</v>
      </c>
      <c r="R211" s="202">
        <f>IF(Q211="Other dry cargo",L211*Alukset_fx!$B$71,IF(OR(Q211="Dry bulk",Q211="Bulk carrier"),L211*Alukset_fx!$B$69,IF(Q211="Tugboat",L211*Alukset_fx!$B$76,IF(OR(Q211="Tanker",Q211="Gas tanker",Q211="Chemical tanker",Q211="Oil tanker"),L211*Alukset_fx!$B$68,IF(OR(Q211="RoRo",Q211="Vehicle carrier"),L211*Alukset_fx!$B$72,IF(Q211="RoPax",L211*Alukset_fx!$B$73,IF(Q211="Container ship",L211*Alukset_fx!$B$70,IF(Q211="Barge",0,L211*Alukset_fx!$B$75))))))))</f>
        <v>0</v>
      </c>
      <c r="S211" s="210">
        <f>IF(L211=0,IF(Q211="Other dry cargo",Alukset_fx!$H$73*(Alukset_Käynnit_Lask!K211^Alukset_fx!$I$73),IF(OR(Q211="Dry Bulk",Q211="Bulk carrier"),Alukset_fx!$H$71*(Alukset_Käynnit_Lask!K211^Alukset_fx!$I$71),IF(Q211="Tugboat",Alukset_fx!$H$78*(Alukset_Käynnit_Lask!K211^Alukset_fx!$I$78),IF(OR(Q211="Tanker",Q211="Gas tanker",Q211="Chemical tanker",Q211="Oil tanker"),Alukset_fx!$H$70*(Alukset_Käynnit_Lask!K211^Alukset_fx!$I$70),IF(Q211="Container ship",Alukset_fx!$H$72*(Alukset_Käynnit_Lask!K211^Alukset_fx!$I$72),IF(Q211="Barge",0,IF(Q211="RoPax",Alukset_fx!$H$75*(Alukset_Käynnit_Lask!K211^Alukset_fx!$I$75),IF(OR(Q211="RoRo",Q211="Vehicle carrier"),Alukset_fx!$H$74*(Alukset_Käynnit_Lask!K211^Alukset_fx!$I$74),Alukset_fx!$H$77*(Alukset_Käynnit_Lask!K211^Alukset_fx!$I$77))))))))),"-")</f>
        <v>0</v>
      </c>
      <c r="T211" s="208">
        <f>IF(R211=0,IF(Q211="Other dry cargo",S211*Alukset_fx!$B$71,IF(OR(Q211="Dry bulk",Q211="Bulk carrier"),S211*Alukset_fx!$B$69,IF(Q211="Tugboat",S211*Alukset_fx!$B$76,IF(OR(Q211="Tanker",Q211="Gas tanker",Q211="Chemical tanker",Q211="Oil tanker"),S211*Alukset_fx!$B$68,IF(OR(Q211="RoRo",Q211="Vehicle carrier"),S211*Alukset_fx!$B$72,IF(Q211="RoPax",S211*Alukset_fx!$B$73,IF(Q211="Container ship",S211*Alukset_fx!$B$70,S211*Alukset_fx!$B$75))))))),"-")</f>
        <v>0</v>
      </c>
      <c r="U211" s="208">
        <f t="shared" si="42"/>
        <v>0</v>
      </c>
      <c r="V211" s="208">
        <f t="shared" si="43"/>
        <v>0</v>
      </c>
      <c r="W211" s="202">
        <f>Alukset_Käynnit!N218</f>
        <v>0</v>
      </c>
      <c r="X211" s="211">
        <f>IF(Q211="Other dry cargo", Alukset_fx!$C$52, IF(OR(Q211="Dry bulk",Q211="Bulk carrier"),Alukset_fx!$C$35,IF(OR(Q211="Tanker",Q211="Gas tanker",Q211="Oil tanker"),Alukset_fx!$C$57,IF(Q211="Chemical tanker",Alukset_fx!$C$56,IF(OR(Q211="Tugboat",Q211="Barge"),0,IF(Q211="Other vessel",Alukset_fx!$C$54,IF(Q211="Container ship",Alukset_fx!$C$37,IF(OR(Q211="RoPax",Q211="RoRo",Q211="Vehicle carrier"),Alukset_fx!$C$55,0))))))))</f>
        <v>0</v>
      </c>
      <c r="Y211" s="211">
        <f>IF(Q211="Other dry cargo", Alukset_fx!$Q$52, IF(OR(Q211="Dry bulk",Q211="Bulk carrier"),Alukset_fx!$Q$35,IF(OR(Q211="Tanker",Q211="Gas tanker",Q211="Oil tanker"),Alukset_fx!$Q$57,IF(Q211="Chemical tanker",Alukset_fx!$Q$56,IF(OR(Q211="Tugboat",Q211="Barge"),0,IF(Q211="Other vessel",Alukset_fx!$Q$54,IF(Q211="Container ship",Alukset_fx!$Q$37,IF(OR(Q211="RoPax",Q211="RoRo",Q211="Vehicle carrier"),Alukset_fx!$Q$55,0))))))))</f>
        <v>0</v>
      </c>
      <c r="Z211" t="str">
        <f t="shared" si="44"/>
        <v>MDO/MGO</v>
      </c>
      <c r="AA211" t="str">
        <f t="shared" si="45"/>
        <v>MSD</v>
      </c>
      <c r="AB211" t="str">
        <f t="shared" si="46"/>
        <v>MDO/MGO</v>
      </c>
      <c r="AC211" t="str">
        <f t="shared" si="47"/>
        <v>MSD</v>
      </c>
      <c r="AD211" t="str">
        <f t="shared" si="48"/>
        <v>MDO/MGO</v>
      </c>
      <c r="AE211" t="str">
        <f t="shared" si="49"/>
        <v>ST</v>
      </c>
      <c r="AG211">
        <f>Alukset_Käynnit!O218</f>
        <v>0</v>
      </c>
      <c r="AH211" s="207">
        <f>IF(AA211="SSD",((U211*Alukset_fx!$B$24)*Alukset_Käynnit_Lask!W211*(Alukset_fx!$K$49)/1000),IF(AA211="MSD",((U211*Alukset_fx!$B$24)*Alukset_Käynnit_Lask!W211*(Alukset_fx!$K$52)/1000),IF(AA211="HSD",((U211*Alukset_fx!$B$24)*Alukset_Käynnit_Lask!W211*(Alukset_fx!$K$55)/1000),0)))</f>
        <v>0</v>
      </c>
      <c r="AI211" s="207">
        <f>IF(AC211="MSD",((V211*Alukset_fx!$B$25)*Alukset_Käynnit_Lask!W211*(Alukset_fx!$L$52)/1000),IF(AC211="HSD",((V211*Alukset_fx!$B$25)*Alukset_Käynnit_Lask!W211*(Alukset_fx!$L$55)/1000),0))</f>
        <v>0</v>
      </c>
      <c r="AJ211" s="207">
        <f>X211*W211*Alukset_fx!$K$61/1000</f>
        <v>0</v>
      </c>
      <c r="AK211">
        <v>0</v>
      </c>
      <c r="AL211" s="207">
        <f>IF(AG211="Käytetty",0,IF(AC211="MSD",((V211*Alukset_fx!$O$25)*Alukset_Käynnit_Lask!O211*(Alukset_fx!$L$52)/1000),IF(AC211="HSD",((V211*Alukset_fx!$O$25)*Alukset_Käynnit_Lask!O211*(Alukset_fx!$L$55)/1000),0)))</f>
        <v>0</v>
      </c>
      <c r="AM211" s="207">
        <f>IF(AG211="Käytetty",0,Y211*O211*Alukset_fx!$K$61/1000)</f>
        <v>0</v>
      </c>
      <c r="AN211" s="213">
        <f t="shared" si="50"/>
        <v>0</v>
      </c>
    </row>
    <row r="212" spans="1:40" x14ac:dyDescent="0.25">
      <c r="A212" s="203">
        <f>Alukset_Käynnit!A219</f>
        <v>0</v>
      </c>
      <c r="B212" s="203">
        <f>Alukset_Käynnit!B219</f>
        <v>0</v>
      </c>
      <c r="C212" s="262">
        <f>Alukset_Käynnit!C219</f>
        <v>0</v>
      </c>
      <c r="D212" s="266">
        <f>Alukset_Käynnit!D219</f>
        <v>0</v>
      </c>
      <c r="E212" s="262">
        <f>Alukset_Käynnit!E219</f>
        <v>0</v>
      </c>
      <c r="F212" s="262">
        <f>Alukset_Käynnit!F219</f>
        <v>0</v>
      </c>
      <c r="G212" s="262">
        <f>Alukset_Käynnit!G219</f>
        <v>0</v>
      </c>
      <c r="H212" s="262">
        <f>Alukset_Käynnit!H219</f>
        <v>0</v>
      </c>
      <c r="I212" s="262">
        <f>Alukset_Käynnit!I219</f>
        <v>0</v>
      </c>
      <c r="J212" s="262">
        <f>Alukset_Käynnit!J219</f>
        <v>0</v>
      </c>
      <c r="K212" s="262">
        <f>Alukset_Käynnit!K219</f>
        <v>0</v>
      </c>
      <c r="L212" s="205">
        <f>Alukset_Käynnit!L219</f>
        <v>0</v>
      </c>
      <c r="N212" s="273">
        <f t="shared" si="39"/>
        <v>0</v>
      </c>
      <c r="O212" s="274">
        <f t="shared" si="40"/>
        <v>0</v>
      </c>
      <c r="Q212" s="204">
        <f t="shared" si="41"/>
        <v>0</v>
      </c>
      <c r="R212" s="202">
        <f>IF(Q212="Other dry cargo",L212*Alukset_fx!$B$71,IF(OR(Q212="Dry bulk",Q212="Bulk carrier"),L212*Alukset_fx!$B$69,IF(Q212="Tugboat",L212*Alukset_fx!$B$76,IF(OR(Q212="Tanker",Q212="Gas tanker",Q212="Chemical tanker",Q212="Oil tanker"),L212*Alukset_fx!$B$68,IF(OR(Q212="RoRo",Q212="Vehicle carrier"),L212*Alukset_fx!$B$72,IF(Q212="RoPax",L212*Alukset_fx!$B$73,IF(Q212="Container ship",L212*Alukset_fx!$B$70,IF(Q212="Barge",0,L212*Alukset_fx!$B$75))))))))</f>
        <v>0</v>
      </c>
      <c r="S212" s="210">
        <f>IF(L212=0,IF(Q212="Other dry cargo",Alukset_fx!$H$73*(Alukset_Käynnit_Lask!K212^Alukset_fx!$I$73),IF(OR(Q212="Dry Bulk",Q212="Bulk carrier"),Alukset_fx!$H$71*(Alukset_Käynnit_Lask!K212^Alukset_fx!$I$71),IF(Q212="Tugboat",Alukset_fx!$H$78*(Alukset_Käynnit_Lask!K212^Alukset_fx!$I$78),IF(OR(Q212="Tanker",Q212="Gas tanker",Q212="Chemical tanker",Q212="Oil tanker"),Alukset_fx!$H$70*(Alukset_Käynnit_Lask!K212^Alukset_fx!$I$70),IF(Q212="Container ship",Alukset_fx!$H$72*(Alukset_Käynnit_Lask!K212^Alukset_fx!$I$72),IF(Q212="Barge",0,IF(Q212="RoPax",Alukset_fx!$H$75*(Alukset_Käynnit_Lask!K212^Alukset_fx!$I$75),IF(OR(Q212="RoRo",Q212="Vehicle carrier"),Alukset_fx!$H$74*(Alukset_Käynnit_Lask!K212^Alukset_fx!$I$74),Alukset_fx!$H$77*(Alukset_Käynnit_Lask!K212^Alukset_fx!$I$77))))))))),"-")</f>
        <v>0</v>
      </c>
      <c r="T212" s="208">
        <f>IF(R212=0,IF(Q212="Other dry cargo",S212*Alukset_fx!$B$71,IF(OR(Q212="Dry bulk",Q212="Bulk carrier"),S212*Alukset_fx!$B$69,IF(Q212="Tugboat",S212*Alukset_fx!$B$76,IF(OR(Q212="Tanker",Q212="Gas tanker",Q212="Chemical tanker",Q212="Oil tanker"),S212*Alukset_fx!$B$68,IF(OR(Q212="RoRo",Q212="Vehicle carrier"),S212*Alukset_fx!$B$72,IF(Q212="RoPax",S212*Alukset_fx!$B$73,IF(Q212="Container ship",S212*Alukset_fx!$B$70,S212*Alukset_fx!$B$75))))))),"-")</f>
        <v>0</v>
      </c>
      <c r="U212" s="208">
        <f t="shared" si="42"/>
        <v>0</v>
      </c>
      <c r="V212" s="208">
        <f t="shared" si="43"/>
        <v>0</v>
      </c>
      <c r="W212" s="202">
        <f>Alukset_Käynnit!N219</f>
        <v>0</v>
      </c>
      <c r="X212" s="211">
        <f>IF(Q212="Other dry cargo", Alukset_fx!$C$52, IF(OR(Q212="Dry bulk",Q212="Bulk carrier"),Alukset_fx!$C$35,IF(OR(Q212="Tanker",Q212="Gas tanker",Q212="Oil tanker"),Alukset_fx!$C$57,IF(Q212="Chemical tanker",Alukset_fx!$C$56,IF(OR(Q212="Tugboat",Q212="Barge"),0,IF(Q212="Other vessel",Alukset_fx!$C$54,IF(Q212="Container ship",Alukset_fx!$C$37,IF(OR(Q212="RoPax",Q212="RoRo",Q212="Vehicle carrier"),Alukset_fx!$C$55,0))))))))</f>
        <v>0</v>
      </c>
      <c r="Y212" s="211">
        <f>IF(Q212="Other dry cargo", Alukset_fx!$Q$52, IF(OR(Q212="Dry bulk",Q212="Bulk carrier"),Alukset_fx!$Q$35,IF(OR(Q212="Tanker",Q212="Gas tanker",Q212="Oil tanker"),Alukset_fx!$Q$57,IF(Q212="Chemical tanker",Alukset_fx!$Q$56,IF(OR(Q212="Tugboat",Q212="Barge"),0,IF(Q212="Other vessel",Alukset_fx!$Q$54,IF(Q212="Container ship",Alukset_fx!$Q$37,IF(OR(Q212="RoPax",Q212="RoRo",Q212="Vehicle carrier"),Alukset_fx!$Q$55,0))))))))</f>
        <v>0</v>
      </c>
      <c r="Z212" t="str">
        <f t="shared" si="44"/>
        <v>MDO/MGO</v>
      </c>
      <c r="AA212" t="str">
        <f t="shared" si="45"/>
        <v>MSD</v>
      </c>
      <c r="AB212" t="str">
        <f t="shared" si="46"/>
        <v>MDO/MGO</v>
      </c>
      <c r="AC212" t="str">
        <f t="shared" si="47"/>
        <v>MSD</v>
      </c>
      <c r="AD212" t="str">
        <f t="shared" si="48"/>
        <v>MDO/MGO</v>
      </c>
      <c r="AE212" t="str">
        <f t="shared" si="49"/>
        <v>ST</v>
      </c>
      <c r="AG212">
        <f>Alukset_Käynnit!O219</f>
        <v>0</v>
      </c>
      <c r="AH212" s="207">
        <f>IF(AA212="SSD",((U212*Alukset_fx!$B$24)*Alukset_Käynnit_Lask!W212*(Alukset_fx!$K$49)/1000),IF(AA212="MSD",((U212*Alukset_fx!$B$24)*Alukset_Käynnit_Lask!W212*(Alukset_fx!$K$52)/1000),IF(AA212="HSD",((U212*Alukset_fx!$B$24)*Alukset_Käynnit_Lask!W212*(Alukset_fx!$K$55)/1000),0)))</f>
        <v>0</v>
      </c>
      <c r="AI212" s="207">
        <f>IF(AC212="MSD",((V212*Alukset_fx!$B$25)*Alukset_Käynnit_Lask!W212*(Alukset_fx!$L$52)/1000),IF(AC212="HSD",((V212*Alukset_fx!$B$25)*Alukset_Käynnit_Lask!W212*(Alukset_fx!$L$55)/1000),0))</f>
        <v>0</v>
      </c>
      <c r="AJ212" s="207">
        <f>X212*W212*Alukset_fx!$K$61/1000</f>
        <v>0</v>
      </c>
      <c r="AK212">
        <v>0</v>
      </c>
      <c r="AL212" s="207">
        <f>IF(AG212="Käytetty",0,IF(AC212="MSD",((V212*Alukset_fx!$O$25)*Alukset_Käynnit_Lask!O212*(Alukset_fx!$L$52)/1000),IF(AC212="HSD",((V212*Alukset_fx!$O$25)*Alukset_Käynnit_Lask!O212*(Alukset_fx!$L$55)/1000),0)))</f>
        <v>0</v>
      </c>
      <c r="AM212" s="207">
        <f>IF(AG212="Käytetty",0,Y212*O212*Alukset_fx!$K$61/1000)</f>
        <v>0</v>
      </c>
      <c r="AN212" s="213">
        <f t="shared" si="50"/>
        <v>0</v>
      </c>
    </row>
    <row r="213" spans="1:40" x14ac:dyDescent="0.25">
      <c r="A213" s="203">
        <f>Alukset_Käynnit!A220</f>
        <v>0</v>
      </c>
      <c r="B213" s="203">
        <f>Alukset_Käynnit!B220</f>
        <v>0</v>
      </c>
      <c r="C213" s="262">
        <f>Alukset_Käynnit!C220</f>
        <v>0</v>
      </c>
      <c r="D213" s="266">
        <f>Alukset_Käynnit!D220</f>
        <v>0</v>
      </c>
      <c r="E213" s="262">
        <f>Alukset_Käynnit!E220</f>
        <v>0</v>
      </c>
      <c r="F213" s="262">
        <f>Alukset_Käynnit!F220</f>
        <v>0</v>
      </c>
      <c r="G213" s="262">
        <f>Alukset_Käynnit!G220</f>
        <v>0</v>
      </c>
      <c r="H213" s="262">
        <f>Alukset_Käynnit!H220</f>
        <v>0</v>
      </c>
      <c r="I213" s="262">
        <f>Alukset_Käynnit!I220</f>
        <v>0</v>
      </c>
      <c r="J213" s="262">
        <f>Alukset_Käynnit!J220</f>
        <v>0</v>
      </c>
      <c r="K213" s="262">
        <f>Alukset_Käynnit!K220</f>
        <v>0</v>
      </c>
      <c r="L213" s="205">
        <f>Alukset_Käynnit!L220</f>
        <v>0</v>
      </c>
      <c r="N213" s="273">
        <f t="shared" ref="N213:N276" si="51">(B213-A213)*1440</f>
        <v>0</v>
      </c>
      <c r="O213" s="274">
        <f t="shared" ref="O213:O276" si="52">N213/60</f>
        <v>0</v>
      </c>
      <c r="Q213" s="204">
        <f t="shared" si="41"/>
        <v>0</v>
      </c>
      <c r="R213" s="202">
        <f>IF(Q213="Other dry cargo",L213*Alukset_fx!$B$71,IF(OR(Q213="Dry bulk",Q213="Bulk carrier"),L213*Alukset_fx!$B$69,IF(Q213="Tugboat",L213*Alukset_fx!$B$76,IF(OR(Q213="Tanker",Q213="Gas tanker",Q213="Chemical tanker",Q213="Oil tanker"),L213*Alukset_fx!$B$68,IF(OR(Q213="RoRo",Q213="Vehicle carrier"),L213*Alukset_fx!$B$72,IF(Q213="RoPax",L213*Alukset_fx!$B$73,IF(Q213="Container ship",L213*Alukset_fx!$B$70,IF(Q213="Barge",0,L213*Alukset_fx!$B$75))))))))</f>
        <v>0</v>
      </c>
      <c r="S213" s="210">
        <f>IF(L213=0,IF(Q213="Other dry cargo",Alukset_fx!$H$73*(Alukset_Käynnit_Lask!K213^Alukset_fx!$I$73),IF(OR(Q213="Dry Bulk",Q213="Bulk carrier"),Alukset_fx!$H$71*(Alukset_Käynnit_Lask!K213^Alukset_fx!$I$71),IF(Q213="Tugboat",Alukset_fx!$H$78*(Alukset_Käynnit_Lask!K213^Alukset_fx!$I$78),IF(OR(Q213="Tanker",Q213="Gas tanker",Q213="Chemical tanker",Q213="Oil tanker"),Alukset_fx!$H$70*(Alukset_Käynnit_Lask!K213^Alukset_fx!$I$70),IF(Q213="Container ship",Alukset_fx!$H$72*(Alukset_Käynnit_Lask!K213^Alukset_fx!$I$72),IF(Q213="Barge",0,IF(Q213="RoPax",Alukset_fx!$H$75*(Alukset_Käynnit_Lask!K213^Alukset_fx!$I$75),IF(OR(Q213="RoRo",Q213="Vehicle carrier"),Alukset_fx!$H$74*(Alukset_Käynnit_Lask!K213^Alukset_fx!$I$74),Alukset_fx!$H$77*(Alukset_Käynnit_Lask!K213^Alukset_fx!$I$77))))))))),"-")</f>
        <v>0</v>
      </c>
      <c r="T213" s="208">
        <f>IF(R213=0,IF(Q213="Other dry cargo",S213*Alukset_fx!$B$71,IF(OR(Q213="Dry bulk",Q213="Bulk carrier"),S213*Alukset_fx!$B$69,IF(Q213="Tugboat",S213*Alukset_fx!$B$76,IF(OR(Q213="Tanker",Q213="Gas tanker",Q213="Chemical tanker",Q213="Oil tanker"),S213*Alukset_fx!$B$68,IF(OR(Q213="RoRo",Q213="Vehicle carrier"),S213*Alukset_fx!$B$72,IF(Q213="RoPax",S213*Alukset_fx!$B$73,IF(Q213="Container ship",S213*Alukset_fx!$B$70,S213*Alukset_fx!$B$75))))))),"-")</f>
        <v>0</v>
      </c>
      <c r="U213" s="208">
        <f t="shared" si="42"/>
        <v>0</v>
      </c>
      <c r="V213" s="208">
        <f t="shared" si="43"/>
        <v>0</v>
      </c>
      <c r="W213" s="202">
        <f>Alukset_Käynnit!N220</f>
        <v>0</v>
      </c>
      <c r="X213" s="211">
        <f>IF(Q213="Other dry cargo", Alukset_fx!$C$52, IF(OR(Q213="Dry bulk",Q213="Bulk carrier"),Alukset_fx!$C$35,IF(OR(Q213="Tanker",Q213="Gas tanker",Q213="Oil tanker"),Alukset_fx!$C$57,IF(Q213="Chemical tanker",Alukset_fx!$C$56,IF(OR(Q213="Tugboat",Q213="Barge"),0,IF(Q213="Other vessel",Alukset_fx!$C$54,IF(Q213="Container ship",Alukset_fx!$C$37,IF(OR(Q213="RoPax",Q213="RoRo",Q213="Vehicle carrier"),Alukset_fx!$C$55,0))))))))</f>
        <v>0</v>
      </c>
      <c r="Y213" s="211">
        <f>IF(Q213="Other dry cargo", Alukset_fx!$Q$52, IF(OR(Q213="Dry bulk",Q213="Bulk carrier"),Alukset_fx!$Q$35,IF(OR(Q213="Tanker",Q213="Gas tanker",Q213="Oil tanker"),Alukset_fx!$Q$57,IF(Q213="Chemical tanker",Alukset_fx!$Q$56,IF(OR(Q213="Tugboat",Q213="Barge"),0,IF(Q213="Other vessel",Alukset_fx!$Q$54,IF(Q213="Container ship",Alukset_fx!$Q$37,IF(OR(Q213="RoPax",Q213="RoRo",Q213="Vehicle carrier"),Alukset_fx!$Q$55,0))))))))</f>
        <v>0</v>
      </c>
      <c r="Z213" t="str">
        <f t="shared" si="44"/>
        <v>MDO/MGO</v>
      </c>
      <c r="AA213" t="str">
        <f t="shared" si="45"/>
        <v>MSD</v>
      </c>
      <c r="AB213" t="str">
        <f t="shared" si="46"/>
        <v>MDO/MGO</v>
      </c>
      <c r="AC213" t="str">
        <f t="shared" si="47"/>
        <v>MSD</v>
      </c>
      <c r="AD213" t="str">
        <f t="shared" si="48"/>
        <v>MDO/MGO</v>
      </c>
      <c r="AE213" t="str">
        <f t="shared" si="49"/>
        <v>ST</v>
      </c>
      <c r="AG213">
        <f>Alukset_Käynnit!O220</f>
        <v>0</v>
      </c>
      <c r="AH213" s="207">
        <f>IF(AA213="SSD",((U213*Alukset_fx!$B$24)*Alukset_Käynnit_Lask!W213*(Alukset_fx!$K$49)/1000),IF(AA213="MSD",((U213*Alukset_fx!$B$24)*Alukset_Käynnit_Lask!W213*(Alukset_fx!$K$52)/1000),IF(AA213="HSD",((U213*Alukset_fx!$B$24)*Alukset_Käynnit_Lask!W213*(Alukset_fx!$K$55)/1000),0)))</f>
        <v>0</v>
      </c>
      <c r="AI213" s="207">
        <f>IF(AC213="MSD",((V213*Alukset_fx!$B$25)*Alukset_Käynnit_Lask!W213*(Alukset_fx!$L$52)/1000),IF(AC213="HSD",((V213*Alukset_fx!$B$25)*Alukset_Käynnit_Lask!W213*(Alukset_fx!$L$55)/1000),0))</f>
        <v>0</v>
      </c>
      <c r="AJ213" s="207">
        <f>X213*W213*Alukset_fx!$K$61/1000</f>
        <v>0</v>
      </c>
      <c r="AK213">
        <v>0</v>
      </c>
      <c r="AL213" s="207">
        <f>IF(AG213="Käytetty",0,IF(AC213="MSD",((V213*Alukset_fx!$O$25)*Alukset_Käynnit_Lask!O213*(Alukset_fx!$L$52)/1000),IF(AC213="HSD",((V213*Alukset_fx!$O$25)*Alukset_Käynnit_Lask!O213*(Alukset_fx!$L$55)/1000),0)))</f>
        <v>0</v>
      </c>
      <c r="AM213" s="207">
        <f>IF(AG213="Käytetty",0,Y213*O213*Alukset_fx!$K$61/1000)</f>
        <v>0</v>
      </c>
      <c r="AN213" s="213">
        <f t="shared" si="50"/>
        <v>0</v>
      </c>
    </row>
    <row r="214" spans="1:40" x14ac:dyDescent="0.25">
      <c r="A214" s="203">
        <f>Alukset_Käynnit!A221</f>
        <v>0</v>
      </c>
      <c r="B214" s="203">
        <f>Alukset_Käynnit!B221</f>
        <v>0</v>
      </c>
      <c r="C214" s="262">
        <f>Alukset_Käynnit!C221</f>
        <v>0</v>
      </c>
      <c r="D214" s="266">
        <f>Alukset_Käynnit!D221</f>
        <v>0</v>
      </c>
      <c r="E214" s="262">
        <f>Alukset_Käynnit!E221</f>
        <v>0</v>
      </c>
      <c r="F214" s="262">
        <f>Alukset_Käynnit!F221</f>
        <v>0</v>
      </c>
      <c r="G214" s="262">
        <f>Alukset_Käynnit!G221</f>
        <v>0</v>
      </c>
      <c r="H214" s="262">
        <f>Alukset_Käynnit!H221</f>
        <v>0</v>
      </c>
      <c r="I214" s="262">
        <f>Alukset_Käynnit!I221</f>
        <v>0</v>
      </c>
      <c r="J214" s="262">
        <f>Alukset_Käynnit!J221</f>
        <v>0</v>
      </c>
      <c r="K214" s="262">
        <f>Alukset_Käynnit!K221</f>
        <v>0</v>
      </c>
      <c r="L214" s="205">
        <f>Alukset_Käynnit!L221</f>
        <v>0</v>
      </c>
      <c r="N214" s="273">
        <f t="shared" si="51"/>
        <v>0</v>
      </c>
      <c r="O214" s="274">
        <f t="shared" si="52"/>
        <v>0</v>
      </c>
      <c r="Q214" s="204">
        <f t="shared" si="41"/>
        <v>0</v>
      </c>
      <c r="R214" s="202">
        <f>IF(Q214="Other dry cargo",L214*Alukset_fx!$B$71,IF(OR(Q214="Dry bulk",Q214="Bulk carrier"),L214*Alukset_fx!$B$69,IF(Q214="Tugboat",L214*Alukset_fx!$B$76,IF(OR(Q214="Tanker",Q214="Gas tanker",Q214="Chemical tanker",Q214="Oil tanker"),L214*Alukset_fx!$B$68,IF(OR(Q214="RoRo",Q214="Vehicle carrier"),L214*Alukset_fx!$B$72,IF(Q214="RoPax",L214*Alukset_fx!$B$73,IF(Q214="Container ship",L214*Alukset_fx!$B$70,IF(Q214="Barge",0,L214*Alukset_fx!$B$75))))))))</f>
        <v>0</v>
      </c>
      <c r="S214" s="210">
        <f>IF(L214=0,IF(Q214="Other dry cargo",Alukset_fx!$H$73*(Alukset_Käynnit_Lask!K214^Alukset_fx!$I$73),IF(OR(Q214="Dry Bulk",Q214="Bulk carrier"),Alukset_fx!$H$71*(Alukset_Käynnit_Lask!K214^Alukset_fx!$I$71),IF(Q214="Tugboat",Alukset_fx!$H$78*(Alukset_Käynnit_Lask!K214^Alukset_fx!$I$78),IF(OR(Q214="Tanker",Q214="Gas tanker",Q214="Chemical tanker",Q214="Oil tanker"),Alukset_fx!$H$70*(Alukset_Käynnit_Lask!K214^Alukset_fx!$I$70),IF(Q214="Container ship",Alukset_fx!$H$72*(Alukset_Käynnit_Lask!K214^Alukset_fx!$I$72),IF(Q214="Barge",0,IF(Q214="RoPax",Alukset_fx!$H$75*(Alukset_Käynnit_Lask!K214^Alukset_fx!$I$75),IF(OR(Q214="RoRo",Q214="Vehicle carrier"),Alukset_fx!$H$74*(Alukset_Käynnit_Lask!K214^Alukset_fx!$I$74),Alukset_fx!$H$77*(Alukset_Käynnit_Lask!K214^Alukset_fx!$I$77))))))))),"-")</f>
        <v>0</v>
      </c>
      <c r="T214" s="208">
        <f>IF(R214=0,IF(Q214="Other dry cargo",S214*Alukset_fx!$B$71,IF(OR(Q214="Dry bulk",Q214="Bulk carrier"),S214*Alukset_fx!$B$69,IF(Q214="Tugboat",S214*Alukset_fx!$B$76,IF(OR(Q214="Tanker",Q214="Gas tanker",Q214="Chemical tanker",Q214="Oil tanker"),S214*Alukset_fx!$B$68,IF(OR(Q214="RoRo",Q214="Vehicle carrier"),S214*Alukset_fx!$B$72,IF(Q214="RoPax",S214*Alukset_fx!$B$73,IF(Q214="Container ship",S214*Alukset_fx!$B$70,S214*Alukset_fx!$B$75))))))),"-")</f>
        <v>0</v>
      </c>
      <c r="U214" s="208">
        <f t="shared" si="42"/>
        <v>0</v>
      </c>
      <c r="V214" s="208">
        <f t="shared" si="43"/>
        <v>0</v>
      </c>
      <c r="W214" s="202">
        <f>Alukset_Käynnit!N221</f>
        <v>0</v>
      </c>
      <c r="X214" s="211">
        <f>IF(Q214="Other dry cargo", Alukset_fx!$C$52, IF(OR(Q214="Dry bulk",Q214="Bulk carrier"),Alukset_fx!$C$35,IF(OR(Q214="Tanker",Q214="Gas tanker",Q214="Oil tanker"),Alukset_fx!$C$57,IF(Q214="Chemical tanker",Alukset_fx!$C$56,IF(OR(Q214="Tugboat",Q214="Barge"),0,IF(Q214="Other vessel",Alukset_fx!$C$54,IF(Q214="Container ship",Alukset_fx!$C$37,IF(OR(Q214="RoPax",Q214="RoRo",Q214="Vehicle carrier"),Alukset_fx!$C$55,0))))))))</f>
        <v>0</v>
      </c>
      <c r="Y214" s="211">
        <f>IF(Q214="Other dry cargo", Alukset_fx!$Q$52, IF(OR(Q214="Dry bulk",Q214="Bulk carrier"),Alukset_fx!$Q$35,IF(OR(Q214="Tanker",Q214="Gas tanker",Q214="Oil tanker"),Alukset_fx!$Q$57,IF(Q214="Chemical tanker",Alukset_fx!$Q$56,IF(OR(Q214="Tugboat",Q214="Barge"),0,IF(Q214="Other vessel",Alukset_fx!$Q$54,IF(Q214="Container ship",Alukset_fx!$Q$37,IF(OR(Q214="RoPax",Q214="RoRo",Q214="Vehicle carrier"),Alukset_fx!$Q$55,0))))))))</f>
        <v>0</v>
      </c>
      <c r="Z214" t="str">
        <f t="shared" si="44"/>
        <v>MDO/MGO</v>
      </c>
      <c r="AA214" t="str">
        <f t="shared" si="45"/>
        <v>MSD</v>
      </c>
      <c r="AB214" t="str">
        <f t="shared" si="46"/>
        <v>MDO/MGO</v>
      </c>
      <c r="AC214" t="str">
        <f t="shared" si="47"/>
        <v>MSD</v>
      </c>
      <c r="AD214" t="str">
        <f t="shared" si="48"/>
        <v>MDO/MGO</v>
      </c>
      <c r="AE214" t="str">
        <f t="shared" si="49"/>
        <v>ST</v>
      </c>
      <c r="AG214">
        <f>Alukset_Käynnit!O221</f>
        <v>0</v>
      </c>
      <c r="AH214" s="207">
        <f>IF(AA214="SSD",((U214*Alukset_fx!$B$24)*Alukset_Käynnit_Lask!W214*(Alukset_fx!$K$49)/1000),IF(AA214="MSD",((U214*Alukset_fx!$B$24)*Alukset_Käynnit_Lask!W214*(Alukset_fx!$K$52)/1000),IF(AA214="HSD",((U214*Alukset_fx!$B$24)*Alukset_Käynnit_Lask!W214*(Alukset_fx!$K$55)/1000),0)))</f>
        <v>0</v>
      </c>
      <c r="AI214" s="207">
        <f>IF(AC214="MSD",((V214*Alukset_fx!$B$25)*Alukset_Käynnit_Lask!W214*(Alukset_fx!$L$52)/1000),IF(AC214="HSD",((V214*Alukset_fx!$B$25)*Alukset_Käynnit_Lask!W214*(Alukset_fx!$L$55)/1000),0))</f>
        <v>0</v>
      </c>
      <c r="AJ214" s="207">
        <f>X214*W214*Alukset_fx!$K$61/1000</f>
        <v>0</v>
      </c>
      <c r="AK214">
        <v>0</v>
      </c>
      <c r="AL214" s="207">
        <f>IF(AG214="Käytetty",0,IF(AC214="MSD",((V214*Alukset_fx!$O$25)*Alukset_Käynnit_Lask!O214*(Alukset_fx!$L$52)/1000),IF(AC214="HSD",((V214*Alukset_fx!$O$25)*Alukset_Käynnit_Lask!O214*(Alukset_fx!$L$55)/1000),0)))</f>
        <v>0</v>
      </c>
      <c r="AM214" s="207">
        <f>IF(AG214="Käytetty",0,Y214*O214*Alukset_fx!$K$61/1000)</f>
        <v>0</v>
      </c>
      <c r="AN214" s="213">
        <f t="shared" si="50"/>
        <v>0</v>
      </c>
    </row>
    <row r="215" spans="1:40" x14ac:dyDescent="0.25">
      <c r="A215" s="203">
        <f>Alukset_Käynnit!A222</f>
        <v>0</v>
      </c>
      <c r="B215" s="203">
        <f>Alukset_Käynnit!B222</f>
        <v>0</v>
      </c>
      <c r="C215" s="262">
        <f>Alukset_Käynnit!C222</f>
        <v>0</v>
      </c>
      <c r="D215" s="266">
        <f>Alukset_Käynnit!D222</f>
        <v>0</v>
      </c>
      <c r="E215" s="262">
        <f>Alukset_Käynnit!E222</f>
        <v>0</v>
      </c>
      <c r="F215" s="262">
        <f>Alukset_Käynnit!F222</f>
        <v>0</v>
      </c>
      <c r="G215" s="262">
        <f>Alukset_Käynnit!G222</f>
        <v>0</v>
      </c>
      <c r="H215" s="262">
        <f>Alukset_Käynnit!H222</f>
        <v>0</v>
      </c>
      <c r="I215" s="262">
        <f>Alukset_Käynnit!I222</f>
        <v>0</v>
      </c>
      <c r="J215" s="262">
        <f>Alukset_Käynnit!J222</f>
        <v>0</v>
      </c>
      <c r="K215" s="262">
        <f>Alukset_Käynnit!K222</f>
        <v>0</v>
      </c>
      <c r="L215" s="205">
        <f>Alukset_Käynnit!L222</f>
        <v>0</v>
      </c>
      <c r="N215" s="273">
        <f t="shared" si="51"/>
        <v>0</v>
      </c>
      <c r="O215" s="274">
        <f t="shared" si="52"/>
        <v>0</v>
      </c>
      <c r="Q215" s="204">
        <f t="shared" si="41"/>
        <v>0</v>
      </c>
      <c r="R215" s="202">
        <f>IF(Q215="Other dry cargo",L215*Alukset_fx!$B$71,IF(OR(Q215="Dry bulk",Q215="Bulk carrier"),L215*Alukset_fx!$B$69,IF(Q215="Tugboat",L215*Alukset_fx!$B$76,IF(OR(Q215="Tanker",Q215="Gas tanker",Q215="Chemical tanker",Q215="Oil tanker"),L215*Alukset_fx!$B$68,IF(OR(Q215="RoRo",Q215="Vehicle carrier"),L215*Alukset_fx!$B$72,IF(Q215="RoPax",L215*Alukset_fx!$B$73,IF(Q215="Container ship",L215*Alukset_fx!$B$70,IF(Q215="Barge",0,L215*Alukset_fx!$B$75))))))))</f>
        <v>0</v>
      </c>
      <c r="S215" s="210">
        <f>IF(L215=0,IF(Q215="Other dry cargo",Alukset_fx!$H$73*(Alukset_Käynnit_Lask!K215^Alukset_fx!$I$73),IF(OR(Q215="Dry Bulk",Q215="Bulk carrier"),Alukset_fx!$H$71*(Alukset_Käynnit_Lask!K215^Alukset_fx!$I$71),IF(Q215="Tugboat",Alukset_fx!$H$78*(Alukset_Käynnit_Lask!K215^Alukset_fx!$I$78),IF(OR(Q215="Tanker",Q215="Gas tanker",Q215="Chemical tanker",Q215="Oil tanker"),Alukset_fx!$H$70*(Alukset_Käynnit_Lask!K215^Alukset_fx!$I$70),IF(Q215="Container ship",Alukset_fx!$H$72*(Alukset_Käynnit_Lask!K215^Alukset_fx!$I$72),IF(Q215="Barge",0,IF(Q215="RoPax",Alukset_fx!$H$75*(Alukset_Käynnit_Lask!K215^Alukset_fx!$I$75),IF(OR(Q215="RoRo",Q215="Vehicle carrier"),Alukset_fx!$H$74*(Alukset_Käynnit_Lask!K215^Alukset_fx!$I$74),Alukset_fx!$H$77*(Alukset_Käynnit_Lask!K215^Alukset_fx!$I$77))))))))),"-")</f>
        <v>0</v>
      </c>
      <c r="T215" s="208">
        <f>IF(R215=0,IF(Q215="Other dry cargo",S215*Alukset_fx!$B$71,IF(OR(Q215="Dry bulk",Q215="Bulk carrier"),S215*Alukset_fx!$B$69,IF(Q215="Tugboat",S215*Alukset_fx!$B$76,IF(OR(Q215="Tanker",Q215="Gas tanker",Q215="Chemical tanker",Q215="Oil tanker"),S215*Alukset_fx!$B$68,IF(OR(Q215="RoRo",Q215="Vehicle carrier"),S215*Alukset_fx!$B$72,IF(Q215="RoPax",S215*Alukset_fx!$B$73,IF(Q215="Container ship",S215*Alukset_fx!$B$70,S215*Alukset_fx!$B$75))))))),"-")</f>
        <v>0</v>
      </c>
      <c r="U215" s="208">
        <f t="shared" si="42"/>
        <v>0</v>
      </c>
      <c r="V215" s="208">
        <f t="shared" si="43"/>
        <v>0</v>
      </c>
      <c r="W215" s="202">
        <f>Alukset_Käynnit!N222</f>
        <v>0</v>
      </c>
      <c r="X215" s="211">
        <f>IF(Q215="Other dry cargo", Alukset_fx!$C$52, IF(OR(Q215="Dry bulk",Q215="Bulk carrier"),Alukset_fx!$C$35,IF(OR(Q215="Tanker",Q215="Gas tanker",Q215="Oil tanker"),Alukset_fx!$C$57,IF(Q215="Chemical tanker",Alukset_fx!$C$56,IF(OR(Q215="Tugboat",Q215="Barge"),0,IF(Q215="Other vessel",Alukset_fx!$C$54,IF(Q215="Container ship",Alukset_fx!$C$37,IF(OR(Q215="RoPax",Q215="RoRo",Q215="Vehicle carrier"),Alukset_fx!$C$55,0))))))))</f>
        <v>0</v>
      </c>
      <c r="Y215" s="211">
        <f>IF(Q215="Other dry cargo", Alukset_fx!$Q$52, IF(OR(Q215="Dry bulk",Q215="Bulk carrier"),Alukset_fx!$Q$35,IF(OR(Q215="Tanker",Q215="Gas tanker",Q215="Oil tanker"),Alukset_fx!$Q$57,IF(Q215="Chemical tanker",Alukset_fx!$Q$56,IF(OR(Q215="Tugboat",Q215="Barge"),0,IF(Q215="Other vessel",Alukset_fx!$Q$54,IF(Q215="Container ship",Alukset_fx!$Q$37,IF(OR(Q215="RoPax",Q215="RoRo",Q215="Vehicle carrier"),Alukset_fx!$Q$55,0))))))))</f>
        <v>0</v>
      </c>
      <c r="Z215" t="str">
        <f t="shared" si="44"/>
        <v>MDO/MGO</v>
      </c>
      <c r="AA215" t="str">
        <f t="shared" si="45"/>
        <v>MSD</v>
      </c>
      <c r="AB215" t="str">
        <f t="shared" si="46"/>
        <v>MDO/MGO</v>
      </c>
      <c r="AC215" t="str">
        <f t="shared" si="47"/>
        <v>MSD</v>
      </c>
      <c r="AD215" t="str">
        <f t="shared" si="48"/>
        <v>MDO/MGO</v>
      </c>
      <c r="AE215" t="str">
        <f t="shared" si="49"/>
        <v>ST</v>
      </c>
      <c r="AG215">
        <f>Alukset_Käynnit!O222</f>
        <v>0</v>
      </c>
      <c r="AH215" s="207">
        <f>IF(AA215="SSD",((U215*Alukset_fx!$B$24)*Alukset_Käynnit_Lask!W215*(Alukset_fx!$K$49)/1000),IF(AA215="MSD",((U215*Alukset_fx!$B$24)*Alukset_Käynnit_Lask!W215*(Alukset_fx!$K$52)/1000),IF(AA215="HSD",((U215*Alukset_fx!$B$24)*Alukset_Käynnit_Lask!W215*(Alukset_fx!$K$55)/1000),0)))</f>
        <v>0</v>
      </c>
      <c r="AI215" s="207">
        <f>IF(AC215="MSD",((V215*Alukset_fx!$B$25)*Alukset_Käynnit_Lask!W215*(Alukset_fx!$L$52)/1000),IF(AC215="HSD",((V215*Alukset_fx!$B$25)*Alukset_Käynnit_Lask!W215*(Alukset_fx!$L$55)/1000),0))</f>
        <v>0</v>
      </c>
      <c r="AJ215" s="207">
        <f>X215*W215*Alukset_fx!$K$61/1000</f>
        <v>0</v>
      </c>
      <c r="AK215">
        <v>0</v>
      </c>
      <c r="AL215" s="207">
        <f>IF(AG215="Käytetty",0,IF(AC215="MSD",((V215*Alukset_fx!$O$25)*Alukset_Käynnit_Lask!O215*(Alukset_fx!$L$52)/1000),IF(AC215="HSD",((V215*Alukset_fx!$O$25)*Alukset_Käynnit_Lask!O215*(Alukset_fx!$L$55)/1000),0)))</f>
        <v>0</v>
      </c>
      <c r="AM215" s="207">
        <f>IF(AG215="Käytetty",0,Y215*O215*Alukset_fx!$K$61/1000)</f>
        <v>0</v>
      </c>
      <c r="AN215" s="213">
        <f t="shared" si="50"/>
        <v>0</v>
      </c>
    </row>
    <row r="216" spans="1:40" x14ac:dyDescent="0.25">
      <c r="A216" s="203">
        <f>Alukset_Käynnit!A223</f>
        <v>0</v>
      </c>
      <c r="B216" s="203">
        <f>Alukset_Käynnit!B223</f>
        <v>0</v>
      </c>
      <c r="C216" s="262">
        <f>Alukset_Käynnit!C223</f>
        <v>0</v>
      </c>
      <c r="D216" s="266">
        <f>Alukset_Käynnit!D223</f>
        <v>0</v>
      </c>
      <c r="E216" s="262">
        <f>Alukset_Käynnit!E223</f>
        <v>0</v>
      </c>
      <c r="F216" s="262">
        <f>Alukset_Käynnit!F223</f>
        <v>0</v>
      </c>
      <c r="G216" s="262">
        <f>Alukset_Käynnit!G223</f>
        <v>0</v>
      </c>
      <c r="H216" s="262">
        <f>Alukset_Käynnit!H223</f>
        <v>0</v>
      </c>
      <c r="I216" s="262">
        <f>Alukset_Käynnit!I223</f>
        <v>0</v>
      </c>
      <c r="J216" s="262">
        <f>Alukset_Käynnit!J223</f>
        <v>0</v>
      </c>
      <c r="K216" s="262">
        <f>Alukset_Käynnit!K223</f>
        <v>0</v>
      </c>
      <c r="L216" s="205">
        <f>Alukset_Käynnit!L223</f>
        <v>0</v>
      </c>
      <c r="N216" s="273">
        <f t="shared" si="51"/>
        <v>0</v>
      </c>
      <c r="O216" s="274">
        <f t="shared" si="52"/>
        <v>0</v>
      </c>
      <c r="Q216" s="204">
        <f t="shared" si="41"/>
        <v>0</v>
      </c>
      <c r="R216" s="202">
        <f>IF(Q216="Other dry cargo",L216*Alukset_fx!$B$71,IF(OR(Q216="Dry bulk",Q216="Bulk carrier"),L216*Alukset_fx!$B$69,IF(Q216="Tugboat",L216*Alukset_fx!$B$76,IF(OR(Q216="Tanker",Q216="Gas tanker",Q216="Chemical tanker",Q216="Oil tanker"),L216*Alukset_fx!$B$68,IF(OR(Q216="RoRo",Q216="Vehicle carrier"),L216*Alukset_fx!$B$72,IF(Q216="RoPax",L216*Alukset_fx!$B$73,IF(Q216="Container ship",L216*Alukset_fx!$B$70,IF(Q216="Barge",0,L216*Alukset_fx!$B$75))))))))</f>
        <v>0</v>
      </c>
      <c r="S216" s="210">
        <f>IF(L216=0,IF(Q216="Other dry cargo",Alukset_fx!$H$73*(Alukset_Käynnit_Lask!K216^Alukset_fx!$I$73),IF(OR(Q216="Dry Bulk",Q216="Bulk carrier"),Alukset_fx!$H$71*(Alukset_Käynnit_Lask!K216^Alukset_fx!$I$71),IF(Q216="Tugboat",Alukset_fx!$H$78*(Alukset_Käynnit_Lask!K216^Alukset_fx!$I$78),IF(OR(Q216="Tanker",Q216="Gas tanker",Q216="Chemical tanker",Q216="Oil tanker"),Alukset_fx!$H$70*(Alukset_Käynnit_Lask!K216^Alukset_fx!$I$70),IF(Q216="Container ship",Alukset_fx!$H$72*(Alukset_Käynnit_Lask!K216^Alukset_fx!$I$72),IF(Q216="Barge",0,IF(Q216="RoPax",Alukset_fx!$H$75*(Alukset_Käynnit_Lask!K216^Alukset_fx!$I$75),IF(OR(Q216="RoRo",Q216="Vehicle carrier"),Alukset_fx!$H$74*(Alukset_Käynnit_Lask!K216^Alukset_fx!$I$74),Alukset_fx!$H$77*(Alukset_Käynnit_Lask!K216^Alukset_fx!$I$77))))))))),"-")</f>
        <v>0</v>
      </c>
      <c r="T216" s="208">
        <f>IF(R216=0,IF(Q216="Other dry cargo",S216*Alukset_fx!$B$71,IF(OR(Q216="Dry bulk",Q216="Bulk carrier"),S216*Alukset_fx!$B$69,IF(Q216="Tugboat",S216*Alukset_fx!$B$76,IF(OR(Q216="Tanker",Q216="Gas tanker",Q216="Chemical tanker",Q216="Oil tanker"),S216*Alukset_fx!$B$68,IF(OR(Q216="RoRo",Q216="Vehicle carrier"),S216*Alukset_fx!$B$72,IF(Q216="RoPax",S216*Alukset_fx!$B$73,IF(Q216="Container ship",S216*Alukset_fx!$B$70,S216*Alukset_fx!$B$75))))))),"-")</f>
        <v>0</v>
      </c>
      <c r="U216" s="208">
        <f t="shared" si="42"/>
        <v>0</v>
      </c>
      <c r="V216" s="208">
        <f t="shared" si="43"/>
        <v>0</v>
      </c>
      <c r="W216" s="202">
        <f>Alukset_Käynnit!N223</f>
        <v>0</v>
      </c>
      <c r="X216" s="211">
        <f>IF(Q216="Other dry cargo", Alukset_fx!$C$52, IF(OR(Q216="Dry bulk",Q216="Bulk carrier"),Alukset_fx!$C$35,IF(OR(Q216="Tanker",Q216="Gas tanker",Q216="Oil tanker"),Alukset_fx!$C$57,IF(Q216="Chemical tanker",Alukset_fx!$C$56,IF(OR(Q216="Tugboat",Q216="Barge"),0,IF(Q216="Other vessel",Alukset_fx!$C$54,IF(Q216="Container ship",Alukset_fx!$C$37,IF(OR(Q216="RoPax",Q216="RoRo",Q216="Vehicle carrier"),Alukset_fx!$C$55,0))))))))</f>
        <v>0</v>
      </c>
      <c r="Y216" s="211">
        <f>IF(Q216="Other dry cargo", Alukset_fx!$Q$52, IF(OR(Q216="Dry bulk",Q216="Bulk carrier"),Alukset_fx!$Q$35,IF(OR(Q216="Tanker",Q216="Gas tanker",Q216="Oil tanker"),Alukset_fx!$Q$57,IF(Q216="Chemical tanker",Alukset_fx!$Q$56,IF(OR(Q216="Tugboat",Q216="Barge"),0,IF(Q216="Other vessel",Alukset_fx!$Q$54,IF(Q216="Container ship",Alukset_fx!$Q$37,IF(OR(Q216="RoPax",Q216="RoRo",Q216="Vehicle carrier"),Alukset_fx!$Q$55,0))))))))</f>
        <v>0</v>
      </c>
      <c r="Z216" t="str">
        <f t="shared" si="44"/>
        <v>MDO/MGO</v>
      </c>
      <c r="AA216" t="str">
        <f t="shared" si="45"/>
        <v>MSD</v>
      </c>
      <c r="AB216" t="str">
        <f t="shared" si="46"/>
        <v>MDO/MGO</v>
      </c>
      <c r="AC216" t="str">
        <f t="shared" si="47"/>
        <v>MSD</v>
      </c>
      <c r="AD216" t="str">
        <f t="shared" si="48"/>
        <v>MDO/MGO</v>
      </c>
      <c r="AE216" t="str">
        <f t="shared" si="49"/>
        <v>ST</v>
      </c>
      <c r="AG216">
        <f>Alukset_Käynnit!O223</f>
        <v>0</v>
      </c>
      <c r="AH216" s="207">
        <f>IF(AA216="SSD",((U216*Alukset_fx!$B$24)*Alukset_Käynnit_Lask!W216*(Alukset_fx!$K$49)/1000),IF(AA216="MSD",((U216*Alukset_fx!$B$24)*Alukset_Käynnit_Lask!W216*(Alukset_fx!$K$52)/1000),IF(AA216="HSD",((U216*Alukset_fx!$B$24)*Alukset_Käynnit_Lask!W216*(Alukset_fx!$K$55)/1000),0)))</f>
        <v>0</v>
      </c>
      <c r="AI216" s="207">
        <f>IF(AC216="MSD",((V216*Alukset_fx!$B$25)*Alukset_Käynnit_Lask!W216*(Alukset_fx!$L$52)/1000),IF(AC216="HSD",((V216*Alukset_fx!$B$25)*Alukset_Käynnit_Lask!W216*(Alukset_fx!$L$55)/1000),0))</f>
        <v>0</v>
      </c>
      <c r="AJ216" s="207">
        <f>X216*W216*Alukset_fx!$K$61/1000</f>
        <v>0</v>
      </c>
      <c r="AK216">
        <v>0</v>
      </c>
      <c r="AL216" s="207">
        <f>IF(AG216="Käytetty",0,IF(AC216="MSD",((V216*Alukset_fx!$O$25)*Alukset_Käynnit_Lask!O216*(Alukset_fx!$L$52)/1000),IF(AC216="HSD",((V216*Alukset_fx!$O$25)*Alukset_Käynnit_Lask!O216*(Alukset_fx!$L$55)/1000),0)))</f>
        <v>0</v>
      </c>
      <c r="AM216" s="207">
        <f>IF(AG216="Käytetty",0,Y216*O216*Alukset_fx!$K$61/1000)</f>
        <v>0</v>
      </c>
      <c r="AN216" s="213">
        <f t="shared" si="50"/>
        <v>0</v>
      </c>
    </row>
    <row r="217" spans="1:40" x14ac:dyDescent="0.25">
      <c r="A217" s="203">
        <f>Alukset_Käynnit!A224</f>
        <v>0</v>
      </c>
      <c r="B217" s="203">
        <f>Alukset_Käynnit!B224</f>
        <v>0</v>
      </c>
      <c r="C217" s="262">
        <f>Alukset_Käynnit!C224</f>
        <v>0</v>
      </c>
      <c r="D217" s="266">
        <f>Alukset_Käynnit!D224</f>
        <v>0</v>
      </c>
      <c r="E217" s="262">
        <f>Alukset_Käynnit!E224</f>
        <v>0</v>
      </c>
      <c r="F217" s="262">
        <f>Alukset_Käynnit!F224</f>
        <v>0</v>
      </c>
      <c r="G217" s="262">
        <f>Alukset_Käynnit!G224</f>
        <v>0</v>
      </c>
      <c r="H217" s="262">
        <f>Alukset_Käynnit!H224</f>
        <v>0</v>
      </c>
      <c r="I217" s="262">
        <f>Alukset_Käynnit!I224</f>
        <v>0</v>
      </c>
      <c r="J217" s="262">
        <f>Alukset_Käynnit!J224</f>
        <v>0</v>
      </c>
      <c r="K217" s="262">
        <f>Alukset_Käynnit!K224</f>
        <v>0</v>
      </c>
      <c r="L217" s="205">
        <f>Alukset_Käynnit!L224</f>
        <v>0</v>
      </c>
      <c r="N217" s="273">
        <f t="shared" si="51"/>
        <v>0</v>
      </c>
      <c r="O217" s="274">
        <f t="shared" si="52"/>
        <v>0</v>
      </c>
      <c r="Q217" s="204">
        <f t="shared" si="41"/>
        <v>0</v>
      </c>
      <c r="R217" s="202">
        <f>IF(Q217="Other dry cargo",L217*Alukset_fx!$B$71,IF(OR(Q217="Dry bulk",Q217="Bulk carrier"),L217*Alukset_fx!$B$69,IF(Q217="Tugboat",L217*Alukset_fx!$B$76,IF(OR(Q217="Tanker",Q217="Gas tanker",Q217="Chemical tanker",Q217="Oil tanker"),L217*Alukset_fx!$B$68,IF(OR(Q217="RoRo",Q217="Vehicle carrier"),L217*Alukset_fx!$B$72,IF(Q217="RoPax",L217*Alukset_fx!$B$73,IF(Q217="Container ship",L217*Alukset_fx!$B$70,IF(Q217="Barge",0,L217*Alukset_fx!$B$75))))))))</f>
        <v>0</v>
      </c>
      <c r="S217" s="210">
        <f>IF(L217=0,IF(Q217="Other dry cargo",Alukset_fx!$H$73*(Alukset_Käynnit_Lask!K217^Alukset_fx!$I$73),IF(OR(Q217="Dry Bulk",Q217="Bulk carrier"),Alukset_fx!$H$71*(Alukset_Käynnit_Lask!K217^Alukset_fx!$I$71),IF(Q217="Tugboat",Alukset_fx!$H$78*(Alukset_Käynnit_Lask!K217^Alukset_fx!$I$78),IF(OR(Q217="Tanker",Q217="Gas tanker",Q217="Chemical tanker",Q217="Oil tanker"),Alukset_fx!$H$70*(Alukset_Käynnit_Lask!K217^Alukset_fx!$I$70),IF(Q217="Container ship",Alukset_fx!$H$72*(Alukset_Käynnit_Lask!K217^Alukset_fx!$I$72),IF(Q217="Barge",0,IF(Q217="RoPax",Alukset_fx!$H$75*(Alukset_Käynnit_Lask!K217^Alukset_fx!$I$75),IF(OR(Q217="RoRo",Q217="Vehicle carrier"),Alukset_fx!$H$74*(Alukset_Käynnit_Lask!K217^Alukset_fx!$I$74),Alukset_fx!$H$77*(Alukset_Käynnit_Lask!K217^Alukset_fx!$I$77))))))))),"-")</f>
        <v>0</v>
      </c>
      <c r="T217" s="208">
        <f>IF(R217=0,IF(Q217="Other dry cargo",S217*Alukset_fx!$B$71,IF(OR(Q217="Dry bulk",Q217="Bulk carrier"),S217*Alukset_fx!$B$69,IF(Q217="Tugboat",S217*Alukset_fx!$B$76,IF(OR(Q217="Tanker",Q217="Gas tanker",Q217="Chemical tanker",Q217="Oil tanker"),S217*Alukset_fx!$B$68,IF(OR(Q217="RoRo",Q217="Vehicle carrier"),S217*Alukset_fx!$B$72,IF(Q217="RoPax",S217*Alukset_fx!$B$73,IF(Q217="Container ship",S217*Alukset_fx!$B$70,S217*Alukset_fx!$B$75))))))),"-")</f>
        <v>0</v>
      </c>
      <c r="U217" s="208">
        <f t="shared" si="42"/>
        <v>0</v>
      </c>
      <c r="V217" s="208">
        <f t="shared" si="43"/>
        <v>0</v>
      </c>
      <c r="W217" s="202">
        <f>Alukset_Käynnit!N224</f>
        <v>0</v>
      </c>
      <c r="X217" s="211">
        <f>IF(Q217="Other dry cargo", Alukset_fx!$C$52, IF(OR(Q217="Dry bulk",Q217="Bulk carrier"),Alukset_fx!$C$35,IF(OR(Q217="Tanker",Q217="Gas tanker",Q217="Oil tanker"),Alukset_fx!$C$57,IF(Q217="Chemical tanker",Alukset_fx!$C$56,IF(OR(Q217="Tugboat",Q217="Barge"),0,IF(Q217="Other vessel",Alukset_fx!$C$54,IF(Q217="Container ship",Alukset_fx!$C$37,IF(OR(Q217="RoPax",Q217="RoRo",Q217="Vehicle carrier"),Alukset_fx!$C$55,0))))))))</f>
        <v>0</v>
      </c>
      <c r="Y217" s="211">
        <f>IF(Q217="Other dry cargo", Alukset_fx!$Q$52, IF(OR(Q217="Dry bulk",Q217="Bulk carrier"),Alukset_fx!$Q$35,IF(OR(Q217="Tanker",Q217="Gas tanker",Q217="Oil tanker"),Alukset_fx!$Q$57,IF(Q217="Chemical tanker",Alukset_fx!$Q$56,IF(OR(Q217="Tugboat",Q217="Barge"),0,IF(Q217="Other vessel",Alukset_fx!$Q$54,IF(Q217="Container ship",Alukset_fx!$Q$37,IF(OR(Q217="RoPax",Q217="RoRo",Q217="Vehicle carrier"),Alukset_fx!$Q$55,0))))))))</f>
        <v>0</v>
      </c>
      <c r="Z217" t="str">
        <f t="shared" si="44"/>
        <v>MDO/MGO</v>
      </c>
      <c r="AA217" t="str">
        <f t="shared" si="45"/>
        <v>MSD</v>
      </c>
      <c r="AB217" t="str">
        <f t="shared" si="46"/>
        <v>MDO/MGO</v>
      </c>
      <c r="AC217" t="str">
        <f t="shared" si="47"/>
        <v>MSD</v>
      </c>
      <c r="AD217" t="str">
        <f t="shared" si="48"/>
        <v>MDO/MGO</v>
      </c>
      <c r="AE217" t="str">
        <f t="shared" si="49"/>
        <v>ST</v>
      </c>
      <c r="AG217">
        <f>Alukset_Käynnit!O224</f>
        <v>0</v>
      </c>
      <c r="AH217" s="207">
        <f>IF(AA217="SSD",((U217*Alukset_fx!$B$24)*Alukset_Käynnit_Lask!W217*(Alukset_fx!$K$49)/1000),IF(AA217="MSD",((U217*Alukset_fx!$B$24)*Alukset_Käynnit_Lask!W217*(Alukset_fx!$K$52)/1000),IF(AA217="HSD",((U217*Alukset_fx!$B$24)*Alukset_Käynnit_Lask!W217*(Alukset_fx!$K$55)/1000),0)))</f>
        <v>0</v>
      </c>
      <c r="AI217" s="207">
        <f>IF(AC217="MSD",((V217*Alukset_fx!$B$25)*Alukset_Käynnit_Lask!W217*(Alukset_fx!$L$52)/1000),IF(AC217="HSD",((V217*Alukset_fx!$B$25)*Alukset_Käynnit_Lask!W217*(Alukset_fx!$L$55)/1000),0))</f>
        <v>0</v>
      </c>
      <c r="AJ217" s="207">
        <f>X217*W217*Alukset_fx!$K$61/1000</f>
        <v>0</v>
      </c>
      <c r="AK217">
        <v>0</v>
      </c>
      <c r="AL217" s="207">
        <f>IF(AG217="Käytetty",0,IF(AC217="MSD",((V217*Alukset_fx!$O$25)*Alukset_Käynnit_Lask!O217*(Alukset_fx!$L$52)/1000),IF(AC217="HSD",((V217*Alukset_fx!$O$25)*Alukset_Käynnit_Lask!O217*(Alukset_fx!$L$55)/1000),0)))</f>
        <v>0</v>
      </c>
      <c r="AM217" s="207">
        <f>IF(AG217="Käytetty",0,Y217*O217*Alukset_fx!$K$61/1000)</f>
        <v>0</v>
      </c>
      <c r="AN217" s="213">
        <f t="shared" si="50"/>
        <v>0</v>
      </c>
    </row>
    <row r="218" spans="1:40" x14ac:dyDescent="0.25">
      <c r="A218" s="203">
        <f>Alukset_Käynnit!A225</f>
        <v>0</v>
      </c>
      <c r="B218" s="203">
        <f>Alukset_Käynnit!B225</f>
        <v>0</v>
      </c>
      <c r="C218" s="262">
        <f>Alukset_Käynnit!C225</f>
        <v>0</v>
      </c>
      <c r="D218" s="266">
        <f>Alukset_Käynnit!D225</f>
        <v>0</v>
      </c>
      <c r="E218" s="262">
        <f>Alukset_Käynnit!E225</f>
        <v>0</v>
      </c>
      <c r="F218" s="262">
        <f>Alukset_Käynnit!F225</f>
        <v>0</v>
      </c>
      <c r="G218" s="262">
        <f>Alukset_Käynnit!G225</f>
        <v>0</v>
      </c>
      <c r="H218" s="262">
        <f>Alukset_Käynnit!H225</f>
        <v>0</v>
      </c>
      <c r="I218" s="262">
        <f>Alukset_Käynnit!I225</f>
        <v>0</v>
      </c>
      <c r="J218" s="262">
        <f>Alukset_Käynnit!J225</f>
        <v>0</v>
      </c>
      <c r="K218" s="262">
        <f>Alukset_Käynnit!K225</f>
        <v>0</v>
      </c>
      <c r="L218" s="205">
        <f>Alukset_Käynnit!L225</f>
        <v>0</v>
      </c>
      <c r="N218" s="273">
        <f t="shared" si="51"/>
        <v>0</v>
      </c>
      <c r="O218" s="274">
        <f t="shared" si="52"/>
        <v>0</v>
      </c>
      <c r="Q218" s="204">
        <f t="shared" si="41"/>
        <v>0</v>
      </c>
      <c r="R218" s="202">
        <f>IF(Q218="Other dry cargo",L218*Alukset_fx!$B$71,IF(OR(Q218="Dry bulk",Q218="Bulk carrier"),L218*Alukset_fx!$B$69,IF(Q218="Tugboat",L218*Alukset_fx!$B$76,IF(OR(Q218="Tanker",Q218="Gas tanker",Q218="Chemical tanker",Q218="Oil tanker"),L218*Alukset_fx!$B$68,IF(OR(Q218="RoRo",Q218="Vehicle carrier"),L218*Alukset_fx!$B$72,IF(Q218="RoPax",L218*Alukset_fx!$B$73,IF(Q218="Container ship",L218*Alukset_fx!$B$70,IF(Q218="Barge",0,L218*Alukset_fx!$B$75))))))))</f>
        <v>0</v>
      </c>
      <c r="S218" s="210">
        <f>IF(L218=0,IF(Q218="Other dry cargo",Alukset_fx!$H$73*(Alukset_Käynnit_Lask!K218^Alukset_fx!$I$73),IF(OR(Q218="Dry Bulk",Q218="Bulk carrier"),Alukset_fx!$H$71*(Alukset_Käynnit_Lask!K218^Alukset_fx!$I$71),IF(Q218="Tugboat",Alukset_fx!$H$78*(Alukset_Käynnit_Lask!K218^Alukset_fx!$I$78),IF(OR(Q218="Tanker",Q218="Gas tanker",Q218="Chemical tanker",Q218="Oil tanker"),Alukset_fx!$H$70*(Alukset_Käynnit_Lask!K218^Alukset_fx!$I$70),IF(Q218="Container ship",Alukset_fx!$H$72*(Alukset_Käynnit_Lask!K218^Alukset_fx!$I$72),IF(Q218="Barge",0,IF(Q218="RoPax",Alukset_fx!$H$75*(Alukset_Käynnit_Lask!K218^Alukset_fx!$I$75),IF(OR(Q218="RoRo",Q218="Vehicle carrier"),Alukset_fx!$H$74*(Alukset_Käynnit_Lask!K218^Alukset_fx!$I$74),Alukset_fx!$H$77*(Alukset_Käynnit_Lask!K218^Alukset_fx!$I$77))))))))),"-")</f>
        <v>0</v>
      </c>
      <c r="T218" s="208">
        <f>IF(R218=0,IF(Q218="Other dry cargo",S218*Alukset_fx!$B$71,IF(OR(Q218="Dry bulk",Q218="Bulk carrier"),S218*Alukset_fx!$B$69,IF(Q218="Tugboat",S218*Alukset_fx!$B$76,IF(OR(Q218="Tanker",Q218="Gas tanker",Q218="Chemical tanker",Q218="Oil tanker"),S218*Alukset_fx!$B$68,IF(OR(Q218="RoRo",Q218="Vehicle carrier"),S218*Alukset_fx!$B$72,IF(Q218="RoPax",S218*Alukset_fx!$B$73,IF(Q218="Container ship",S218*Alukset_fx!$B$70,S218*Alukset_fx!$B$75))))))),"-")</f>
        <v>0</v>
      </c>
      <c r="U218" s="208">
        <f t="shared" si="42"/>
        <v>0</v>
      </c>
      <c r="V218" s="208">
        <f t="shared" si="43"/>
        <v>0</v>
      </c>
      <c r="W218" s="202">
        <f>Alukset_Käynnit!N225</f>
        <v>0</v>
      </c>
      <c r="X218" s="211">
        <f>IF(Q218="Other dry cargo", Alukset_fx!$C$52, IF(OR(Q218="Dry bulk",Q218="Bulk carrier"),Alukset_fx!$C$35,IF(OR(Q218="Tanker",Q218="Gas tanker",Q218="Oil tanker"),Alukset_fx!$C$57,IF(Q218="Chemical tanker",Alukset_fx!$C$56,IF(OR(Q218="Tugboat",Q218="Barge"),0,IF(Q218="Other vessel",Alukset_fx!$C$54,IF(Q218="Container ship",Alukset_fx!$C$37,IF(OR(Q218="RoPax",Q218="RoRo",Q218="Vehicle carrier"),Alukset_fx!$C$55,0))))))))</f>
        <v>0</v>
      </c>
      <c r="Y218" s="211">
        <f>IF(Q218="Other dry cargo", Alukset_fx!$Q$52, IF(OR(Q218="Dry bulk",Q218="Bulk carrier"),Alukset_fx!$Q$35,IF(OR(Q218="Tanker",Q218="Gas tanker",Q218="Oil tanker"),Alukset_fx!$Q$57,IF(Q218="Chemical tanker",Alukset_fx!$Q$56,IF(OR(Q218="Tugboat",Q218="Barge"),0,IF(Q218="Other vessel",Alukset_fx!$Q$54,IF(Q218="Container ship",Alukset_fx!$Q$37,IF(OR(Q218="RoPax",Q218="RoRo",Q218="Vehicle carrier"),Alukset_fx!$Q$55,0))))))))</f>
        <v>0</v>
      </c>
      <c r="Z218" t="str">
        <f t="shared" si="44"/>
        <v>MDO/MGO</v>
      </c>
      <c r="AA218" t="str">
        <f t="shared" si="45"/>
        <v>MSD</v>
      </c>
      <c r="AB218" t="str">
        <f t="shared" si="46"/>
        <v>MDO/MGO</v>
      </c>
      <c r="AC218" t="str">
        <f t="shared" si="47"/>
        <v>MSD</v>
      </c>
      <c r="AD218" t="str">
        <f t="shared" si="48"/>
        <v>MDO/MGO</v>
      </c>
      <c r="AE218" t="str">
        <f t="shared" si="49"/>
        <v>ST</v>
      </c>
      <c r="AG218">
        <f>Alukset_Käynnit!O225</f>
        <v>0</v>
      </c>
      <c r="AH218" s="207">
        <f>IF(AA218="SSD",((U218*Alukset_fx!$B$24)*Alukset_Käynnit_Lask!W218*(Alukset_fx!$K$49)/1000),IF(AA218="MSD",((U218*Alukset_fx!$B$24)*Alukset_Käynnit_Lask!W218*(Alukset_fx!$K$52)/1000),IF(AA218="HSD",((U218*Alukset_fx!$B$24)*Alukset_Käynnit_Lask!W218*(Alukset_fx!$K$55)/1000),0)))</f>
        <v>0</v>
      </c>
      <c r="AI218" s="207">
        <f>IF(AC218="MSD",((V218*Alukset_fx!$B$25)*Alukset_Käynnit_Lask!W218*(Alukset_fx!$L$52)/1000),IF(AC218="HSD",((V218*Alukset_fx!$B$25)*Alukset_Käynnit_Lask!W218*(Alukset_fx!$L$55)/1000),0))</f>
        <v>0</v>
      </c>
      <c r="AJ218" s="207">
        <f>X218*W218*Alukset_fx!$K$61/1000</f>
        <v>0</v>
      </c>
      <c r="AK218">
        <v>0</v>
      </c>
      <c r="AL218" s="207">
        <f>IF(AG218="Käytetty",0,IF(AC218="MSD",((V218*Alukset_fx!$O$25)*Alukset_Käynnit_Lask!O218*(Alukset_fx!$L$52)/1000),IF(AC218="HSD",((V218*Alukset_fx!$O$25)*Alukset_Käynnit_Lask!O218*(Alukset_fx!$L$55)/1000),0)))</f>
        <v>0</v>
      </c>
      <c r="AM218" s="207">
        <f>IF(AG218="Käytetty",0,Y218*O218*Alukset_fx!$K$61/1000)</f>
        <v>0</v>
      </c>
      <c r="AN218" s="213">
        <f t="shared" si="50"/>
        <v>0</v>
      </c>
    </row>
    <row r="219" spans="1:40" x14ac:dyDescent="0.25">
      <c r="A219" s="203">
        <f>Alukset_Käynnit!A226</f>
        <v>0</v>
      </c>
      <c r="B219" s="203">
        <f>Alukset_Käynnit!B226</f>
        <v>0</v>
      </c>
      <c r="C219" s="262">
        <f>Alukset_Käynnit!C226</f>
        <v>0</v>
      </c>
      <c r="D219" s="266">
        <f>Alukset_Käynnit!D226</f>
        <v>0</v>
      </c>
      <c r="E219" s="262">
        <f>Alukset_Käynnit!E226</f>
        <v>0</v>
      </c>
      <c r="F219" s="262">
        <f>Alukset_Käynnit!F226</f>
        <v>0</v>
      </c>
      <c r="G219" s="262">
        <f>Alukset_Käynnit!G226</f>
        <v>0</v>
      </c>
      <c r="H219" s="262">
        <f>Alukset_Käynnit!H226</f>
        <v>0</v>
      </c>
      <c r="I219" s="262">
        <f>Alukset_Käynnit!I226</f>
        <v>0</v>
      </c>
      <c r="J219" s="262">
        <f>Alukset_Käynnit!J226</f>
        <v>0</v>
      </c>
      <c r="K219" s="262">
        <f>Alukset_Käynnit!K226</f>
        <v>0</v>
      </c>
      <c r="L219" s="205">
        <f>Alukset_Käynnit!L226</f>
        <v>0</v>
      </c>
      <c r="N219" s="273">
        <f t="shared" si="51"/>
        <v>0</v>
      </c>
      <c r="O219" s="274">
        <f t="shared" si="52"/>
        <v>0</v>
      </c>
      <c r="Q219" s="204">
        <f t="shared" si="41"/>
        <v>0</v>
      </c>
      <c r="R219" s="202">
        <f>IF(Q219="Other dry cargo",L219*Alukset_fx!$B$71,IF(OR(Q219="Dry bulk",Q219="Bulk carrier"),L219*Alukset_fx!$B$69,IF(Q219="Tugboat",L219*Alukset_fx!$B$76,IF(OR(Q219="Tanker",Q219="Gas tanker",Q219="Chemical tanker",Q219="Oil tanker"),L219*Alukset_fx!$B$68,IF(OR(Q219="RoRo",Q219="Vehicle carrier"),L219*Alukset_fx!$B$72,IF(Q219="RoPax",L219*Alukset_fx!$B$73,IF(Q219="Container ship",L219*Alukset_fx!$B$70,IF(Q219="Barge",0,L219*Alukset_fx!$B$75))))))))</f>
        <v>0</v>
      </c>
      <c r="S219" s="210">
        <f>IF(L219=0,IF(Q219="Other dry cargo",Alukset_fx!$H$73*(Alukset_Käynnit_Lask!K219^Alukset_fx!$I$73),IF(OR(Q219="Dry Bulk",Q219="Bulk carrier"),Alukset_fx!$H$71*(Alukset_Käynnit_Lask!K219^Alukset_fx!$I$71),IF(Q219="Tugboat",Alukset_fx!$H$78*(Alukset_Käynnit_Lask!K219^Alukset_fx!$I$78),IF(OR(Q219="Tanker",Q219="Gas tanker",Q219="Chemical tanker",Q219="Oil tanker"),Alukset_fx!$H$70*(Alukset_Käynnit_Lask!K219^Alukset_fx!$I$70),IF(Q219="Container ship",Alukset_fx!$H$72*(Alukset_Käynnit_Lask!K219^Alukset_fx!$I$72),IF(Q219="Barge",0,IF(Q219="RoPax",Alukset_fx!$H$75*(Alukset_Käynnit_Lask!K219^Alukset_fx!$I$75),IF(OR(Q219="RoRo",Q219="Vehicle carrier"),Alukset_fx!$H$74*(Alukset_Käynnit_Lask!K219^Alukset_fx!$I$74),Alukset_fx!$H$77*(Alukset_Käynnit_Lask!K219^Alukset_fx!$I$77))))))))),"-")</f>
        <v>0</v>
      </c>
      <c r="T219" s="208">
        <f>IF(R219=0,IF(Q219="Other dry cargo",S219*Alukset_fx!$B$71,IF(OR(Q219="Dry bulk",Q219="Bulk carrier"),S219*Alukset_fx!$B$69,IF(Q219="Tugboat",S219*Alukset_fx!$B$76,IF(OR(Q219="Tanker",Q219="Gas tanker",Q219="Chemical tanker",Q219="Oil tanker"),S219*Alukset_fx!$B$68,IF(OR(Q219="RoRo",Q219="Vehicle carrier"),S219*Alukset_fx!$B$72,IF(Q219="RoPax",S219*Alukset_fx!$B$73,IF(Q219="Container ship",S219*Alukset_fx!$B$70,S219*Alukset_fx!$B$75))))))),"-")</f>
        <v>0</v>
      </c>
      <c r="U219" s="208">
        <f t="shared" si="42"/>
        <v>0</v>
      </c>
      <c r="V219" s="208">
        <f t="shared" si="43"/>
        <v>0</v>
      </c>
      <c r="W219" s="202">
        <f>Alukset_Käynnit!N226</f>
        <v>0</v>
      </c>
      <c r="X219" s="211">
        <f>IF(Q219="Other dry cargo", Alukset_fx!$C$52, IF(OR(Q219="Dry bulk",Q219="Bulk carrier"),Alukset_fx!$C$35,IF(OR(Q219="Tanker",Q219="Gas tanker",Q219="Oil tanker"),Alukset_fx!$C$57,IF(Q219="Chemical tanker",Alukset_fx!$C$56,IF(OR(Q219="Tugboat",Q219="Barge"),0,IF(Q219="Other vessel",Alukset_fx!$C$54,IF(Q219="Container ship",Alukset_fx!$C$37,IF(OR(Q219="RoPax",Q219="RoRo",Q219="Vehicle carrier"),Alukset_fx!$C$55,0))))))))</f>
        <v>0</v>
      </c>
      <c r="Y219" s="211">
        <f>IF(Q219="Other dry cargo", Alukset_fx!$Q$52, IF(OR(Q219="Dry bulk",Q219="Bulk carrier"),Alukset_fx!$Q$35,IF(OR(Q219="Tanker",Q219="Gas tanker",Q219="Oil tanker"),Alukset_fx!$Q$57,IF(Q219="Chemical tanker",Alukset_fx!$Q$56,IF(OR(Q219="Tugboat",Q219="Barge"),0,IF(Q219="Other vessel",Alukset_fx!$Q$54,IF(Q219="Container ship",Alukset_fx!$Q$37,IF(OR(Q219="RoPax",Q219="RoRo",Q219="Vehicle carrier"),Alukset_fx!$Q$55,0))))))))</f>
        <v>0</v>
      </c>
      <c r="Z219" t="str">
        <f t="shared" si="44"/>
        <v>MDO/MGO</v>
      </c>
      <c r="AA219" t="str">
        <f t="shared" si="45"/>
        <v>MSD</v>
      </c>
      <c r="AB219" t="str">
        <f t="shared" si="46"/>
        <v>MDO/MGO</v>
      </c>
      <c r="AC219" t="str">
        <f t="shared" si="47"/>
        <v>MSD</v>
      </c>
      <c r="AD219" t="str">
        <f t="shared" si="48"/>
        <v>MDO/MGO</v>
      </c>
      <c r="AE219" t="str">
        <f t="shared" si="49"/>
        <v>ST</v>
      </c>
      <c r="AG219">
        <f>Alukset_Käynnit!O226</f>
        <v>0</v>
      </c>
      <c r="AH219" s="207">
        <f>IF(AA219="SSD",((U219*Alukset_fx!$B$24)*Alukset_Käynnit_Lask!W219*(Alukset_fx!$K$49)/1000),IF(AA219="MSD",((U219*Alukset_fx!$B$24)*Alukset_Käynnit_Lask!W219*(Alukset_fx!$K$52)/1000),IF(AA219="HSD",((U219*Alukset_fx!$B$24)*Alukset_Käynnit_Lask!W219*(Alukset_fx!$K$55)/1000),0)))</f>
        <v>0</v>
      </c>
      <c r="AI219" s="207">
        <f>IF(AC219="MSD",((V219*Alukset_fx!$B$25)*Alukset_Käynnit_Lask!W219*(Alukset_fx!$L$52)/1000),IF(AC219="HSD",((V219*Alukset_fx!$B$25)*Alukset_Käynnit_Lask!W219*(Alukset_fx!$L$55)/1000),0))</f>
        <v>0</v>
      </c>
      <c r="AJ219" s="207">
        <f>X219*W219*Alukset_fx!$K$61/1000</f>
        <v>0</v>
      </c>
      <c r="AK219">
        <v>0</v>
      </c>
      <c r="AL219" s="207">
        <f>IF(AG219="Käytetty",0,IF(AC219="MSD",((V219*Alukset_fx!$O$25)*Alukset_Käynnit_Lask!O219*(Alukset_fx!$L$52)/1000),IF(AC219="HSD",((V219*Alukset_fx!$O$25)*Alukset_Käynnit_Lask!O219*(Alukset_fx!$L$55)/1000),0)))</f>
        <v>0</v>
      </c>
      <c r="AM219" s="207">
        <f>IF(AG219="Käytetty",0,Y219*O219*Alukset_fx!$K$61/1000)</f>
        <v>0</v>
      </c>
      <c r="AN219" s="213">
        <f t="shared" si="50"/>
        <v>0</v>
      </c>
    </row>
    <row r="220" spans="1:40" x14ac:dyDescent="0.25">
      <c r="A220" s="203">
        <f>Alukset_Käynnit!A227</f>
        <v>0</v>
      </c>
      <c r="B220" s="203">
        <f>Alukset_Käynnit!B227</f>
        <v>0</v>
      </c>
      <c r="C220" s="262">
        <f>Alukset_Käynnit!C227</f>
        <v>0</v>
      </c>
      <c r="D220" s="266">
        <f>Alukset_Käynnit!D227</f>
        <v>0</v>
      </c>
      <c r="E220" s="262">
        <f>Alukset_Käynnit!E227</f>
        <v>0</v>
      </c>
      <c r="F220" s="262">
        <f>Alukset_Käynnit!F227</f>
        <v>0</v>
      </c>
      <c r="G220" s="262">
        <f>Alukset_Käynnit!G227</f>
        <v>0</v>
      </c>
      <c r="H220" s="262">
        <f>Alukset_Käynnit!H227</f>
        <v>0</v>
      </c>
      <c r="I220" s="262">
        <f>Alukset_Käynnit!I227</f>
        <v>0</v>
      </c>
      <c r="J220" s="262">
        <f>Alukset_Käynnit!J227</f>
        <v>0</v>
      </c>
      <c r="K220" s="262">
        <f>Alukset_Käynnit!K227</f>
        <v>0</v>
      </c>
      <c r="L220" s="205">
        <f>Alukset_Käynnit!L227</f>
        <v>0</v>
      </c>
      <c r="N220" s="273">
        <f t="shared" si="51"/>
        <v>0</v>
      </c>
      <c r="O220" s="274">
        <f t="shared" si="52"/>
        <v>0</v>
      </c>
      <c r="Q220" s="204">
        <f t="shared" si="41"/>
        <v>0</v>
      </c>
      <c r="R220" s="202">
        <f>IF(Q220="Other dry cargo",L220*Alukset_fx!$B$71,IF(OR(Q220="Dry bulk",Q220="Bulk carrier"),L220*Alukset_fx!$B$69,IF(Q220="Tugboat",L220*Alukset_fx!$B$76,IF(OR(Q220="Tanker",Q220="Gas tanker",Q220="Chemical tanker",Q220="Oil tanker"),L220*Alukset_fx!$B$68,IF(OR(Q220="RoRo",Q220="Vehicle carrier"),L220*Alukset_fx!$B$72,IF(Q220="RoPax",L220*Alukset_fx!$B$73,IF(Q220="Container ship",L220*Alukset_fx!$B$70,IF(Q220="Barge",0,L220*Alukset_fx!$B$75))))))))</f>
        <v>0</v>
      </c>
      <c r="S220" s="210">
        <f>IF(L220=0,IF(Q220="Other dry cargo",Alukset_fx!$H$73*(Alukset_Käynnit_Lask!K220^Alukset_fx!$I$73),IF(OR(Q220="Dry Bulk",Q220="Bulk carrier"),Alukset_fx!$H$71*(Alukset_Käynnit_Lask!K220^Alukset_fx!$I$71),IF(Q220="Tugboat",Alukset_fx!$H$78*(Alukset_Käynnit_Lask!K220^Alukset_fx!$I$78),IF(OR(Q220="Tanker",Q220="Gas tanker",Q220="Chemical tanker",Q220="Oil tanker"),Alukset_fx!$H$70*(Alukset_Käynnit_Lask!K220^Alukset_fx!$I$70),IF(Q220="Container ship",Alukset_fx!$H$72*(Alukset_Käynnit_Lask!K220^Alukset_fx!$I$72),IF(Q220="Barge",0,IF(Q220="RoPax",Alukset_fx!$H$75*(Alukset_Käynnit_Lask!K220^Alukset_fx!$I$75),IF(OR(Q220="RoRo",Q220="Vehicle carrier"),Alukset_fx!$H$74*(Alukset_Käynnit_Lask!K220^Alukset_fx!$I$74),Alukset_fx!$H$77*(Alukset_Käynnit_Lask!K220^Alukset_fx!$I$77))))))))),"-")</f>
        <v>0</v>
      </c>
      <c r="T220" s="208">
        <f>IF(R220=0,IF(Q220="Other dry cargo",S220*Alukset_fx!$B$71,IF(OR(Q220="Dry bulk",Q220="Bulk carrier"),S220*Alukset_fx!$B$69,IF(Q220="Tugboat",S220*Alukset_fx!$B$76,IF(OR(Q220="Tanker",Q220="Gas tanker",Q220="Chemical tanker",Q220="Oil tanker"),S220*Alukset_fx!$B$68,IF(OR(Q220="RoRo",Q220="Vehicle carrier"),S220*Alukset_fx!$B$72,IF(Q220="RoPax",S220*Alukset_fx!$B$73,IF(Q220="Container ship",S220*Alukset_fx!$B$70,S220*Alukset_fx!$B$75))))))),"-")</f>
        <v>0</v>
      </c>
      <c r="U220" s="208">
        <f t="shared" si="42"/>
        <v>0</v>
      </c>
      <c r="V220" s="208">
        <f t="shared" si="43"/>
        <v>0</v>
      </c>
      <c r="W220" s="202">
        <f>Alukset_Käynnit!N227</f>
        <v>0</v>
      </c>
      <c r="X220" s="211">
        <f>IF(Q220="Other dry cargo", Alukset_fx!$C$52, IF(OR(Q220="Dry bulk",Q220="Bulk carrier"),Alukset_fx!$C$35,IF(OR(Q220="Tanker",Q220="Gas tanker",Q220="Oil tanker"),Alukset_fx!$C$57,IF(Q220="Chemical tanker",Alukset_fx!$C$56,IF(OR(Q220="Tugboat",Q220="Barge"),0,IF(Q220="Other vessel",Alukset_fx!$C$54,IF(Q220="Container ship",Alukset_fx!$C$37,IF(OR(Q220="RoPax",Q220="RoRo",Q220="Vehicle carrier"),Alukset_fx!$C$55,0))))))))</f>
        <v>0</v>
      </c>
      <c r="Y220" s="211">
        <f>IF(Q220="Other dry cargo", Alukset_fx!$Q$52, IF(OR(Q220="Dry bulk",Q220="Bulk carrier"),Alukset_fx!$Q$35,IF(OR(Q220="Tanker",Q220="Gas tanker",Q220="Oil tanker"),Alukset_fx!$Q$57,IF(Q220="Chemical tanker",Alukset_fx!$Q$56,IF(OR(Q220="Tugboat",Q220="Barge"),0,IF(Q220="Other vessel",Alukset_fx!$Q$54,IF(Q220="Container ship",Alukset_fx!$Q$37,IF(OR(Q220="RoPax",Q220="RoRo",Q220="Vehicle carrier"),Alukset_fx!$Q$55,0))))))))</f>
        <v>0</v>
      </c>
      <c r="Z220" t="str">
        <f t="shared" si="44"/>
        <v>MDO/MGO</v>
      </c>
      <c r="AA220" t="str">
        <f t="shared" si="45"/>
        <v>MSD</v>
      </c>
      <c r="AB220" t="str">
        <f t="shared" si="46"/>
        <v>MDO/MGO</v>
      </c>
      <c r="AC220" t="str">
        <f t="shared" si="47"/>
        <v>MSD</v>
      </c>
      <c r="AD220" t="str">
        <f t="shared" si="48"/>
        <v>MDO/MGO</v>
      </c>
      <c r="AE220" t="str">
        <f t="shared" si="49"/>
        <v>ST</v>
      </c>
      <c r="AG220">
        <f>Alukset_Käynnit!O227</f>
        <v>0</v>
      </c>
      <c r="AH220" s="207">
        <f>IF(AA220="SSD",((U220*Alukset_fx!$B$24)*Alukset_Käynnit_Lask!W220*(Alukset_fx!$K$49)/1000),IF(AA220="MSD",((U220*Alukset_fx!$B$24)*Alukset_Käynnit_Lask!W220*(Alukset_fx!$K$52)/1000),IF(AA220="HSD",((U220*Alukset_fx!$B$24)*Alukset_Käynnit_Lask!W220*(Alukset_fx!$K$55)/1000),0)))</f>
        <v>0</v>
      </c>
      <c r="AI220" s="207">
        <f>IF(AC220="MSD",((V220*Alukset_fx!$B$25)*Alukset_Käynnit_Lask!W220*(Alukset_fx!$L$52)/1000),IF(AC220="HSD",((V220*Alukset_fx!$B$25)*Alukset_Käynnit_Lask!W220*(Alukset_fx!$L$55)/1000),0))</f>
        <v>0</v>
      </c>
      <c r="AJ220" s="207">
        <f>X220*W220*Alukset_fx!$K$61/1000</f>
        <v>0</v>
      </c>
      <c r="AK220">
        <v>0</v>
      </c>
      <c r="AL220" s="207">
        <f>IF(AG220="Käytetty",0,IF(AC220="MSD",((V220*Alukset_fx!$O$25)*Alukset_Käynnit_Lask!O220*(Alukset_fx!$L$52)/1000),IF(AC220="HSD",((V220*Alukset_fx!$O$25)*Alukset_Käynnit_Lask!O220*(Alukset_fx!$L$55)/1000),0)))</f>
        <v>0</v>
      </c>
      <c r="AM220" s="207">
        <f>IF(AG220="Käytetty",0,Y220*O220*Alukset_fx!$K$61/1000)</f>
        <v>0</v>
      </c>
      <c r="AN220" s="213">
        <f t="shared" si="50"/>
        <v>0</v>
      </c>
    </row>
    <row r="221" spans="1:40" x14ac:dyDescent="0.25">
      <c r="A221" s="203">
        <f>Alukset_Käynnit!A228</f>
        <v>0</v>
      </c>
      <c r="B221" s="203">
        <f>Alukset_Käynnit!B228</f>
        <v>0</v>
      </c>
      <c r="C221" s="262">
        <f>Alukset_Käynnit!C228</f>
        <v>0</v>
      </c>
      <c r="D221" s="266">
        <f>Alukset_Käynnit!D228</f>
        <v>0</v>
      </c>
      <c r="E221" s="262">
        <f>Alukset_Käynnit!E228</f>
        <v>0</v>
      </c>
      <c r="F221" s="262">
        <f>Alukset_Käynnit!F228</f>
        <v>0</v>
      </c>
      <c r="G221" s="262">
        <f>Alukset_Käynnit!G228</f>
        <v>0</v>
      </c>
      <c r="H221" s="262">
        <f>Alukset_Käynnit!H228</f>
        <v>0</v>
      </c>
      <c r="I221" s="262">
        <f>Alukset_Käynnit!I228</f>
        <v>0</v>
      </c>
      <c r="J221" s="262">
        <f>Alukset_Käynnit!J228</f>
        <v>0</v>
      </c>
      <c r="K221" s="262">
        <f>Alukset_Käynnit!K228</f>
        <v>0</v>
      </c>
      <c r="L221" s="205">
        <f>Alukset_Käynnit!L228</f>
        <v>0</v>
      </c>
      <c r="N221" s="273">
        <f t="shared" si="51"/>
        <v>0</v>
      </c>
      <c r="O221" s="274">
        <f t="shared" si="52"/>
        <v>0</v>
      </c>
      <c r="Q221" s="204">
        <f t="shared" si="41"/>
        <v>0</v>
      </c>
      <c r="R221" s="202">
        <f>IF(Q221="Other dry cargo",L221*Alukset_fx!$B$71,IF(OR(Q221="Dry bulk",Q221="Bulk carrier"),L221*Alukset_fx!$B$69,IF(Q221="Tugboat",L221*Alukset_fx!$B$76,IF(OR(Q221="Tanker",Q221="Gas tanker",Q221="Chemical tanker",Q221="Oil tanker"),L221*Alukset_fx!$B$68,IF(OR(Q221="RoRo",Q221="Vehicle carrier"),L221*Alukset_fx!$B$72,IF(Q221="RoPax",L221*Alukset_fx!$B$73,IF(Q221="Container ship",L221*Alukset_fx!$B$70,IF(Q221="Barge",0,L221*Alukset_fx!$B$75))))))))</f>
        <v>0</v>
      </c>
      <c r="S221" s="210">
        <f>IF(L221=0,IF(Q221="Other dry cargo",Alukset_fx!$H$73*(Alukset_Käynnit_Lask!K221^Alukset_fx!$I$73),IF(OR(Q221="Dry Bulk",Q221="Bulk carrier"),Alukset_fx!$H$71*(Alukset_Käynnit_Lask!K221^Alukset_fx!$I$71),IF(Q221="Tugboat",Alukset_fx!$H$78*(Alukset_Käynnit_Lask!K221^Alukset_fx!$I$78),IF(OR(Q221="Tanker",Q221="Gas tanker",Q221="Chemical tanker",Q221="Oil tanker"),Alukset_fx!$H$70*(Alukset_Käynnit_Lask!K221^Alukset_fx!$I$70),IF(Q221="Container ship",Alukset_fx!$H$72*(Alukset_Käynnit_Lask!K221^Alukset_fx!$I$72),IF(Q221="Barge",0,IF(Q221="RoPax",Alukset_fx!$H$75*(Alukset_Käynnit_Lask!K221^Alukset_fx!$I$75),IF(OR(Q221="RoRo",Q221="Vehicle carrier"),Alukset_fx!$H$74*(Alukset_Käynnit_Lask!K221^Alukset_fx!$I$74),Alukset_fx!$H$77*(Alukset_Käynnit_Lask!K221^Alukset_fx!$I$77))))))))),"-")</f>
        <v>0</v>
      </c>
      <c r="T221" s="208">
        <f>IF(R221=0,IF(Q221="Other dry cargo",S221*Alukset_fx!$B$71,IF(OR(Q221="Dry bulk",Q221="Bulk carrier"),S221*Alukset_fx!$B$69,IF(Q221="Tugboat",S221*Alukset_fx!$B$76,IF(OR(Q221="Tanker",Q221="Gas tanker",Q221="Chemical tanker",Q221="Oil tanker"),S221*Alukset_fx!$B$68,IF(OR(Q221="RoRo",Q221="Vehicle carrier"),S221*Alukset_fx!$B$72,IF(Q221="RoPax",S221*Alukset_fx!$B$73,IF(Q221="Container ship",S221*Alukset_fx!$B$70,S221*Alukset_fx!$B$75))))))),"-")</f>
        <v>0</v>
      </c>
      <c r="U221" s="208">
        <f t="shared" si="42"/>
        <v>0</v>
      </c>
      <c r="V221" s="208">
        <f t="shared" si="43"/>
        <v>0</v>
      </c>
      <c r="W221" s="202">
        <f>Alukset_Käynnit!N228</f>
        <v>0</v>
      </c>
      <c r="X221" s="211">
        <f>IF(Q221="Other dry cargo", Alukset_fx!$C$52, IF(OR(Q221="Dry bulk",Q221="Bulk carrier"),Alukset_fx!$C$35,IF(OR(Q221="Tanker",Q221="Gas tanker",Q221="Oil tanker"),Alukset_fx!$C$57,IF(Q221="Chemical tanker",Alukset_fx!$C$56,IF(OR(Q221="Tugboat",Q221="Barge"),0,IF(Q221="Other vessel",Alukset_fx!$C$54,IF(Q221="Container ship",Alukset_fx!$C$37,IF(OR(Q221="RoPax",Q221="RoRo",Q221="Vehicle carrier"),Alukset_fx!$C$55,0))))))))</f>
        <v>0</v>
      </c>
      <c r="Y221" s="211">
        <f>IF(Q221="Other dry cargo", Alukset_fx!$Q$52, IF(OR(Q221="Dry bulk",Q221="Bulk carrier"),Alukset_fx!$Q$35,IF(OR(Q221="Tanker",Q221="Gas tanker",Q221="Oil tanker"),Alukset_fx!$Q$57,IF(Q221="Chemical tanker",Alukset_fx!$Q$56,IF(OR(Q221="Tugboat",Q221="Barge"),0,IF(Q221="Other vessel",Alukset_fx!$Q$54,IF(Q221="Container ship",Alukset_fx!$Q$37,IF(OR(Q221="RoPax",Q221="RoRo",Q221="Vehicle carrier"),Alukset_fx!$Q$55,0))))))))</f>
        <v>0</v>
      </c>
      <c r="Z221" t="str">
        <f t="shared" si="44"/>
        <v>MDO/MGO</v>
      </c>
      <c r="AA221" t="str">
        <f t="shared" si="45"/>
        <v>MSD</v>
      </c>
      <c r="AB221" t="str">
        <f t="shared" si="46"/>
        <v>MDO/MGO</v>
      </c>
      <c r="AC221" t="str">
        <f t="shared" si="47"/>
        <v>MSD</v>
      </c>
      <c r="AD221" t="str">
        <f t="shared" si="48"/>
        <v>MDO/MGO</v>
      </c>
      <c r="AE221" t="str">
        <f t="shared" si="49"/>
        <v>ST</v>
      </c>
      <c r="AG221">
        <f>Alukset_Käynnit!O228</f>
        <v>0</v>
      </c>
      <c r="AH221" s="207">
        <f>IF(AA221="SSD",((U221*Alukset_fx!$B$24)*Alukset_Käynnit_Lask!W221*(Alukset_fx!$K$49)/1000),IF(AA221="MSD",((U221*Alukset_fx!$B$24)*Alukset_Käynnit_Lask!W221*(Alukset_fx!$K$52)/1000),IF(AA221="HSD",((U221*Alukset_fx!$B$24)*Alukset_Käynnit_Lask!W221*(Alukset_fx!$K$55)/1000),0)))</f>
        <v>0</v>
      </c>
      <c r="AI221" s="207">
        <f>IF(AC221="MSD",((V221*Alukset_fx!$B$25)*Alukset_Käynnit_Lask!W221*(Alukset_fx!$L$52)/1000),IF(AC221="HSD",((V221*Alukset_fx!$B$25)*Alukset_Käynnit_Lask!W221*(Alukset_fx!$L$55)/1000),0))</f>
        <v>0</v>
      </c>
      <c r="AJ221" s="207">
        <f>X221*W221*Alukset_fx!$K$61/1000</f>
        <v>0</v>
      </c>
      <c r="AK221">
        <v>0</v>
      </c>
      <c r="AL221" s="207">
        <f>IF(AG221="Käytetty",0,IF(AC221="MSD",((V221*Alukset_fx!$O$25)*Alukset_Käynnit_Lask!O221*(Alukset_fx!$L$52)/1000),IF(AC221="HSD",((V221*Alukset_fx!$O$25)*Alukset_Käynnit_Lask!O221*(Alukset_fx!$L$55)/1000),0)))</f>
        <v>0</v>
      </c>
      <c r="AM221" s="207">
        <f>IF(AG221="Käytetty",0,Y221*O221*Alukset_fx!$K$61/1000)</f>
        <v>0</v>
      </c>
      <c r="AN221" s="213">
        <f t="shared" si="50"/>
        <v>0</v>
      </c>
    </row>
    <row r="222" spans="1:40" x14ac:dyDescent="0.25">
      <c r="A222" s="203">
        <f>Alukset_Käynnit!A229</f>
        <v>0</v>
      </c>
      <c r="B222" s="203">
        <f>Alukset_Käynnit!B229</f>
        <v>0</v>
      </c>
      <c r="C222" s="262">
        <f>Alukset_Käynnit!C229</f>
        <v>0</v>
      </c>
      <c r="D222" s="266">
        <f>Alukset_Käynnit!D229</f>
        <v>0</v>
      </c>
      <c r="E222" s="262">
        <f>Alukset_Käynnit!E229</f>
        <v>0</v>
      </c>
      <c r="F222" s="262">
        <f>Alukset_Käynnit!F229</f>
        <v>0</v>
      </c>
      <c r="G222" s="262">
        <f>Alukset_Käynnit!G229</f>
        <v>0</v>
      </c>
      <c r="H222" s="262">
        <f>Alukset_Käynnit!H229</f>
        <v>0</v>
      </c>
      <c r="I222" s="262">
        <f>Alukset_Käynnit!I229</f>
        <v>0</v>
      </c>
      <c r="J222" s="262">
        <f>Alukset_Käynnit!J229</f>
        <v>0</v>
      </c>
      <c r="K222" s="262">
        <f>Alukset_Käynnit!K229</f>
        <v>0</v>
      </c>
      <c r="L222" s="205">
        <f>Alukset_Käynnit!L229</f>
        <v>0</v>
      </c>
      <c r="N222" s="273">
        <f t="shared" si="51"/>
        <v>0</v>
      </c>
      <c r="O222" s="274">
        <f t="shared" si="52"/>
        <v>0</v>
      </c>
      <c r="Q222" s="204">
        <f t="shared" si="41"/>
        <v>0</v>
      </c>
      <c r="R222" s="202">
        <f>IF(Q222="Other dry cargo",L222*Alukset_fx!$B$71,IF(OR(Q222="Dry bulk",Q222="Bulk carrier"),L222*Alukset_fx!$B$69,IF(Q222="Tugboat",L222*Alukset_fx!$B$76,IF(OR(Q222="Tanker",Q222="Gas tanker",Q222="Chemical tanker",Q222="Oil tanker"),L222*Alukset_fx!$B$68,IF(OR(Q222="RoRo",Q222="Vehicle carrier"),L222*Alukset_fx!$B$72,IF(Q222="RoPax",L222*Alukset_fx!$B$73,IF(Q222="Container ship",L222*Alukset_fx!$B$70,IF(Q222="Barge",0,L222*Alukset_fx!$B$75))))))))</f>
        <v>0</v>
      </c>
      <c r="S222" s="210">
        <f>IF(L222=0,IF(Q222="Other dry cargo",Alukset_fx!$H$73*(Alukset_Käynnit_Lask!K222^Alukset_fx!$I$73),IF(OR(Q222="Dry Bulk",Q222="Bulk carrier"),Alukset_fx!$H$71*(Alukset_Käynnit_Lask!K222^Alukset_fx!$I$71),IF(Q222="Tugboat",Alukset_fx!$H$78*(Alukset_Käynnit_Lask!K222^Alukset_fx!$I$78),IF(OR(Q222="Tanker",Q222="Gas tanker",Q222="Chemical tanker",Q222="Oil tanker"),Alukset_fx!$H$70*(Alukset_Käynnit_Lask!K222^Alukset_fx!$I$70),IF(Q222="Container ship",Alukset_fx!$H$72*(Alukset_Käynnit_Lask!K222^Alukset_fx!$I$72),IF(Q222="Barge",0,IF(Q222="RoPax",Alukset_fx!$H$75*(Alukset_Käynnit_Lask!K222^Alukset_fx!$I$75),IF(OR(Q222="RoRo",Q222="Vehicle carrier"),Alukset_fx!$H$74*(Alukset_Käynnit_Lask!K222^Alukset_fx!$I$74),Alukset_fx!$H$77*(Alukset_Käynnit_Lask!K222^Alukset_fx!$I$77))))))))),"-")</f>
        <v>0</v>
      </c>
      <c r="T222" s="208">
        <f>IF(R222=0,IF(Q222="Other dry cargo",S222*Alukset_fx!$B$71,IF(OR(Q222="Dry bulk",Q222="Bulk carrier"),S222*Alukset_fx!$B$69,IF(Q222="Tugboat",S222*Alukset_fx!$B$76,IF(OR(Q222="Tanker",Q222="Gas tanker",Q222="Chemical tanker",Q222="Oil tanker"),S222*Alukset_fx!$B$68,IF(OR(Q222="RoRo",Q222="Vehicle carrier"),S222*Alukset_fx!$B$72,IF(Q222="RoPax",S222*Alukset_fx!$B$73,IF(Q222="Container ship",S222*Alukset_fx!$B$70,S222*Alukset_fx!$B$75))))))),"-")</f>
        <v>0</v>
      </c>
      <c r="U222" s="208">
        <f t="shared" si="42"/>
        <v>0</v>
      </c>
      <c r="V222" s="208">
        <f t="shared" si="43"/>
        <v>0</v>
      </c>
      <c r="W222" s="202">
        <f>Alukset_Käynnit!N229</f>
        <v>0</v>
      </c>
      <c r="X222" s="211">
        <f>IF(Q222="Other dry cargo", Alukset_fx!$C$52, IF(OR(Q222="Dry bulk",Q222="Bulk carrier"),Alukset_fx!$C$35,IF(OR(Q222="Tanker",Q222="Gas tanker",Q222="Oil tanker"),Alukset_fx!$C$57,IF(Q222="Chemical tanker",Alukset_fx!$C$56,IF(OR(Q222="Tugboat",Q222="Barge"),0,IF(Q222="Other vessel",Alukset_fx!$C$54,IF(Q222="Container ship",Alukset_fx!$C$37,IF(OR(Q222="RoPax",Q222="RoRo",Q222="Vehicle carrier"),Alukset_fx!$C$55,0))))))))</f>
        <v>0</v>
      </c>
      <c r="Y222" s="211">
        <f>IF(Q222="Other dry cargo", Alukset_fx!$Q$52, IF(OR(Q222="Dry bulk",Q222="Bulk carrier"),Alukset_fx!$Q$35,IF(OR(Q222="Tanker",Q222="Gas tanker",Q222="Oil tanker"),Alukset_fx!$Q$57,IF(Q222="Chemical tanker",Alukset_fx!$Q$56,IF(OR(Q222="Tugboat",Q222="Barge"),0,IF(Q222="Other vessel",Alukset_fx!$Q$54,IF(Q222="Container ship",Alukset_fx!$Q$37,IF(OR(Q222="RoPax",Q222="RoRo",Q222="Vehicle carrier"),Alukset_fx!$Q$55,0))))))))</f>
        <v>0</v>
      </c>
      <c r="Z222" t="str">
        <f t="shared" si="44"/>
        <v>MDO/MGO</v>
      </c>
      <c r="AA222" t="str">
        <f t="shared" si="45"/>
        <v>MSD</v>
      </c>
      <c r="AB222" t="str">
        <f t="shared" si="46"/>
        <v>MDO/MGO</v>
      </c>
      <c r="AC222" t="str">
        <f t="shared" si="47"/>
        <v>MSD</v>
      </c>
      <c r="AD222" t="str">
        <f t="shared" si="48"/>
        <v>MDO/MGO</v>
      </c>
      <c r="AE222" t="str">
        <f t="shared" si="49"/>
        <v>ST</v>
      </c>
      <c r="AG222">
        <f>Alukset_Käynnit!O229</f>
        <v>0</v>
      </c>
      <c r="AH222" s="207">
        <f>IF(AA222="SSD",((U222*Alukset_fx!$B$24)*Alukset_Käynnit_Lask!W222*(Alukset_fx!$K$49)/1000),IF(AA222="MSD",((U222*Alukset_fx!$B$24)*Alukset_Käynnit_Lask!W222*(Alukset_fx!$K$52)/1000),IF(AA222="HSD",((U222*Alukset_fx!$B$24)*Alukset_Käynnit_Lask!W222*(Alukset_fx!$K$55)/1000),0)))</f>
        <v>0</v>
      </c>
      <c r="AI222" s="207">
        <f>IF(AC222="MSD",((V222*Alukset_fx!$B$25)*Alukset_Käynnit_Lask!W222*(Alukset_fx!$L$52)/1000),IF(AC222="HSD",((V222*Alukset_fx!$B$25)*Alukset_Käynnit_Lask!W222*(Alukset_fx!$L$55)/1000),0))</f>
        <v>0</v>
      </c>
      <c r="AJ222" s="207">
        <f>X222*W222*Alukset_fx!$K$61/1000</f>
        <v>0</v>
      </c>
      <c r="AK222">
        <v>0</v>
      </c>
      <c r="AL222" s="207">
        <f>IF(AG222="Käytetty",0,IF(AC222="MSD",((V222*Alukset_fx!$O$25)*Alukset_Käynnit_Lask!O222*(Alukset_fx!$L$52)/1000),IF(AC222="HSD",((V222*Alukset_fx!$O$25)*Alukset_Käynnit_Lask!O222*(Alukset_fx!$L$55)/1000),0)))</f>
        <v>0</v>
      </c>
      <c r="AM222" s="207">
        <f>IF(AG222="Käytetty",0,Y222*O222*Alukset_fx!$K$61/1000)</f>
        <v>0</v>
      </c>
      <c r="AN222" s="213">
        <f t="shared" si="50"/>
        <v>0</v>
      </c>
    </row>
    <row r="223" spans="1:40" x14ac:dyDescent="0.25">
      <c r="A223" s="203">
        <f>Alukset_Käynnit!A230</f>
        <v>0</v>
      </c>
      <c r="B223" s="203">
        <f>Alukset_Käynnit!B230</f>
        <v>0</v>
      </c>
      <c r="C223" s="262">
        <f>Alukset_Käynnit!C230</f>
        <v>0</v>
      </c>
      <c r="D223" s="266">
        <f>Alukset_Käynnit!D230</f>
        <v>0</v>
      </c>
      <c r="E223" s="262">
        <f>Alukset_Käynnit!E230</f>
        <v>0</v>
      </c>
      <c r="F223" s="262">
        <f>Alukset_Käynnit!F230</f>
        <v>0</v>
      </c>
      <c r="G223" s="262">
        <f>Alukset_Käynnit!G230</f>
        <v>0</v>
      </c>
      <c r="H223" s="262">
        <f>Alukset_Käynnit!H230</f>
        <v>0</v>
      </c>
      <c r="I223" s="262">
        <f>Alukset_Käynnit!I230</f>
        <v>0</v>
      </c>
      <c r="J223" s="262">
        <f>Alukset_Käynnit!J230</f>
        <v>0</v>
      </c>
      <c r="K223" s="262">
        <f>Alukset_Käynnit!K230</f>
        <v>0</v>
      </c>
      <c r="L223" s="205">
        <f>Alukset_Käynnit!L230</f>
        <v>0</v>
      </c>
      <c r="N223" s="273">
        <f t="shared" si="51"/>
        <v>0</v>
      </c>
      <c r="O223" s="274">
        <f t="shared" si="52"/>
        <v>0</v>
      </c>
      <c r="Q223" s="204">
        <f t="shared" si="41"/>
        <v>0</v>
      </c>
      <c r="R223" s="202">
        <f>IF(Q223="Other dry cargo",L223*Alukset_fx!$B$71,IF(OR(Q223="Dry bulk",Q223="Bulk carrier"),L223*Alukset_fx!$B$69,IF(Q223="Tugboat",L223*Alukset_fx!$B$76,IF(OR(Q223="Tanker",Q223="Gas tanker",Q223="Chemical tanker",Q223="Oil tanker"),L223*Alukset_fx!$B$68,IF(OR(Q223="RoRo",Q223="Vehicle carrier"),L223*Alukset_fx!$B$72,IF(Q223="RoPax",L223*Alukset_fx!$B$73,IF(Q223="Container ship",L223*Alukset_fx!$B$70,IF(Q223="Barge",0,L223*Alukset_fx!$B$75))))))))</f>
        <v>0</v>
      </c>
      <c r="S223" s="210">
        <f>IF(L223=0,IF(Q223="Other dry cargo",Alukset_fx!$H$73*(Alukset_Käynnit_Lask!K223^Alukset_fx!$I$73),IF(OR(Q223="Dry Bulk",Q223="Bulk carrier"),Alukset_fx!$H$71*(Alukset_Käynnit_Lask!K223^Alukset_fx!$I$71),IF(Q223="Tugboat",Alukset_fx!$H$78*(Alukset_Käynnit_Lask!K223^Alukset_fx!$I$78),IF(OR(Q223="Tanker",Q223="Gas tanker",Q223="Chemical tanker",Q223="Oil tanker"),Alukset_fx!$H$70*(Alukset_Käynnit_Lask!K223^Alukset_fx!$I$70),IF(Q223="Container ship",Alukset_fx!$H$72*(Alukset_Käynnit_Lask!K223^Alukset_fx!$I$72),IF(Q223="Barge",0,IF(Q223="RoPax",Alukset_fx!$H$75*(Alukset_Käynnit_Lask!K223^Alukset_fx!$I$75),IF(OR(Q223="RoRo",Q223="Vehicle carrier"),Alukset_fx!$H$74*(Alukset_Käynnit_Lask!K223^Alukset_fx!$I$74),Alukset_fx!$H$77*(Alukset_Käynnit_Lask!K223^Alukset_fx!$I$77))))))))),"-")</f>
        <v>0</v>
      </c>
      <c r="T223" s="208">
        <f>IF(R223=0,IF(Q223="Other dry cargo",S223*Alukset_fx!$B$71,IF(OR(Q223="Dry bulk",Q223="Bulk carrier"),S223*Alukset_fx!$B$69,IF(Q223="Tugboat",S223*Alukset_fx!$B$76,IF(OR(Q223="Tanker",Q223="Gas tanker",Q223="Chemical tanker",Q223="Oil tanker"),S223*Alukset_fx!$B$68,IF(OR(Q223="RoRo",Q223="Vehicle carrier"),S223*Alukset_fx!$B$72,IF(Q223="RoPax",S223*Alukset_fx!$B$73,IF(Q223="Container ship",S223*Alukset_fx!$B$70,S223*Alukset_fx!$B$75))))))),"-")</f>
        <v>0</v>
      </c>
      <c r="U223" s="208">
        <f t="shared" si="42"/>
        <v>0</v>
      </c>
      <c r="V223" s="208">
        <f t="shared" si="43"/>
        <v>0</v>
      </c>
      <c r="W223" s="202">
        <f>Alukset_Käynnit!N230</f>
        <v>0</v>
      </c>
      <c r="X223" s="211">
        <f>IF(Q223="Other dry cargo", Alukset_fx!$C$52, IF(OR(Q223="Dry bulk",Q223="Bulk carrier"),Alukset_fx!$C$35,IF(OR(Q223="Tanker",Q223="Gas tanker",Q223="Oil tanker"),Alukset_fx!$C$57,IF(Q223="Chemical tanker",Alukset_fx!$C$56,IF(OR(Q223="Tugboat",Q223="Barge"),0,IF(Q223="Other vessel",Alukset_fx!$C$54,IF(Q223="Container ship",Alukset_fx!$C$37,IF(OR(Q223="RoPax",Q223="RoRo",Q223="Vehicle carrier"),Alukset_fx!$C$55,0))))))))</f>
        <v>0</v>
      </c>
      <c r="Y223" s="211">
        <f>IF(Q223="Other dry cargo", Alukset_fx!$Q$52, IF(OR(Q223="Dry bulk",Q223="Bulk carrier"),Alukset_fx!$Q$35,IF(OR(Q223="Tanker",Q223="Gas tanker",Q223="Oil tanker"),Alukset_fx!$Q$57,IF(Q223="Chemical tanker",Alukset_fx!$Q$56,IF(OR(Q223="Tugboat",Q223="Barge"),0,IF(Q223="Other vessel",Alukset_fx!$Q$54,IF(Q223="Container ship",Alukset_fx!$Q$37,IF(OR(Q223="RoPax",Q223="RoRo",Q223="Vehicle carrier"),Alukset_fx!$Q$55,0))))))))</f>
        <v>0</v>
      </c>
      <c r="Z223" t="str">
        <f t="shared" si="44"/>
        <v>MDO/MGO</v>
      </c>
      <c r="AA223" t="str">
        <f t="shared" si="45"/>
        <v>MSD</v>
      </c>
      <c r="AB223" t="str">
        <f t="shared" si="46"/>
        <v>MDO/MGO</v>
      </c>
      <c r="AC223" t="str">
        <f t="shared" si="47"/>
        <v>MSD</v>
      </c>
      <c r="AD223" t="str">
        <f t="shared" si="48"/>
        <v>MDO/MGO</v>
      </c>
      <c r="AE223" t="str">
        <f t="shared" si="49"/>
        <v>ST</v>
      </c>
      <c r="AG223">
        <f>Alukset_Käynnit!O230</f>
        <v>0</v>
      </c>
      <c r="AH223" s="207">
        <f>IF(AA223="SSD",((U223*Alukset_fx!$B$24)*Alukset_Käynnit_Lask!W223*(Alukset_fx!$K$49)/1000),IF(AA223="MSD",((U223*Alukset_fx!$B$24)*Alukset_Käynnit_Lask!W223*(Alukset_fx!$K$52)/1000),IF(AA223="HSD",((U223*Alukset_fx!$B$24)*Alukset_Käynnit_Lask!W223*(Alukset_fx!$K$55)/1000),0)))</f>
        <v>0</v>
      </c>
      <c r="AI223" s="207">
        <f>IF(AC223="MSD",((V223*Alukset_fx!$B$25)*Alukset_Käynnit_Lask!W223*(Alukset_fx!$L$52)/1000),IF(AC223="HSD",((V223*Alukset_fx!$B$25)*Alukset_Käynnit_Lask!W223*(Alukset_fx!$L$55)/1000),0))</f>
        <v>0</v>
      </c>
      <c r="AJ223" s="207">
        <f>X223*W223*Alukset_fx!$K$61/1000</f>
        <v>0</v>
      </c>
      <c r="AK223">
        <v>0</v>
      </c>
      <c r="AL223" s="207">
        <f>IF(AG223="Käytetty",0,IF(AC223="MSD",((V223*Alukset_fx!$O$25)*Alukset_Käynnit_Lask!O223*(Alukset_fx!$L$52)/1000),IF(AC223="HSD",((V223*Alukset_fx!$O$25)*Alukset_Käynnit_Lask!O223*(Alukset_fx!$L$55)/1000),0)))</f>
        <v>0</v>
      </c>
      <c r="AM223" s="207">
        <f>IF(AG223="Käytetty",0,Y223*O223*Alukset_fx!$K$61/1000)</f>
        <v>0</v>
      </c>
      <c r="AN223" s="213">
        <f t="shared" si="50"/>
        <v>0</v>
      </c>
    </row>
    <row r="224" spans="1:40" x14ac:dyDescent="0.25">
      <c r="A224" s="203">
        <f>Alukset_Käynnit!A231</f>
        <v>0</v>
      </c>
      <c r="B224" s="203">
        <f>Alukset_Käynnit!B231</f>
        <v>0</v>
      </c>
      <c r="C224" s="262">
        <f>Alukset_Käynnit!C231</f>
        <v>0</v>
      </c>
      <c r="D224" s="266">
        <f>Alukset_Käynnit!D231</f>
        <v>0</v>
      </c>
      <c r="E224" s="262">
        <f>Alukset_Käynnit!E231</f>
        <v>0</v>
      </c>
      <c r="F224" s="262">
        <f>Alukset_Käynnit!F231</f>
        <v>0</v>
      </c>
      <c r="G224" s="262">
        <f>Alukset_Käynnit!G231</f>
        <v>0</v>
      </c>
      <c r="H224" s="262">
        <f>Alukset_Käynnit!H231</f>
        <v>0</v>
      </c>
      <c r="I224" s="262">
        <f>Alukset_Käynnit!I231</f>
        <v>0</v>
      </c>
      <c r="J224" s="262">
        <f>Alukset_Käynnit!J231</f>
        <v>0</v>
      </c>
      <c r="K224" s="262">
        <f>Alukset_Käynnit!K231</f>
        <v>0</v>
      </c>
      <c r="L224" s="205">
        <f>Alukset_Käynnit!L231</f>
        <v>0</v>
      </c>
      <c r="N224" s="273">
        <f t="shared" si="51"/>
        <v>0</v>
      </c>
      <c r="O224" s="274">
        <f t="shared" si="52"/>
        <v>0</v>
      </c>
      <c r="Q224" s="204">
        <f t="shared" si="41"/>
        <v>0</v>
      </c>
      <c r="R224" s="202">
        <f>IF(Q224="Other dry cargo",L224*Alukset_fx!$B$71,IF(OR(Q224="Dry bulk",Q224="Bulk carrier"),L224*Alukset_fx!$B$69,IF(Q224="Tugboat",L224*Alukset_fx!$B$76,IF(OR(Q224="Tanker",Q224="Gas tanker",Q224="Chemical tanker",Q224="Oil tanker"),L224*Alukset_fx!$B$68,IF(OR(Q224="RoRo",Q224="Vehicle carrier"),L224*Alukset_fx!$B$72,IF(Q224="RoPax",L224*Alukset_fx!$B$73,IF(Q224="Container ship",L224*Alukset_fx!$B$70,IF(Q224="Barge",0,L224*Alukset_fx!$B$75))))))))</f>
        <v>0</v>
      </c>
      <c r="S224" s="210">
        <f>IF(L224=0,IF(Q224="Other dry cargo",Alukset_fx!$H$73*(Alukset_Käynnit_Lask!K224^Alukset_fx!$I$73),IF(OR(Q224="Dry Bulk",Q224="Bulk carrier"),Alukset_fx!$H$71*(Alukset_Käynnit_Lask!K224^Alukset_fx!$I$71),IF(Q224="Tugboat",Alukset_fx!$H$78*(Alukset_Käynnit_Lask!K224^Alukset_fx!$I$78),IF(OR(Q224="Tanker",Q224="Gas tanker",Q224="Chemical tanker",Q224="Oil tanker"),Alukset_fx!$H$70*(Alukset_Käynnit_Lask!K224^Alukset_fx!$I$70),IF(Q224="Container ship",Alukset_fx!$H$72*(Alukset_Käynnit_Lask!K224^Alukset_fx!$I$72),IF(Q224="Barge",0,IF(Q224="RoPax",Alukset_fx!$H$75*(Alukset_Käynnit_Lask!K224^Alukset_fx!$I$75),IF(OR(Q224="RoRo",Q224="Vehicle carrier"),Alukset_fx!$H$74*(Alukset_Käynnit_Lask!K224^Alukset_fx!$I$74),Alukset_fx!$H$77*(Alukset_Käynnit_Lask!K224^Alukset_fx!$I$77))))))))),"-")</f>
        <v>0</v>
      </c>
      <c r="T224" s="208">
        <f>IF(R224=0,IF(Q224="Other dry cargo",S224*Alukset_fx!$B$71,IF(OR(Q224="Dry bulk",Q224="Bulk carrier"),S224*Alukset_fx!$B$69,IF(Q224="Tugboat",S224*Alukset_fx!$B$76,IF(OR(Q224="Tanker",Q224="Gas tanker",Q224="Chemical tanker",Q224="Oil tanker"),S224*Alukset_fx!$B$68,IF(OR(Q224="RoRo",Q224="Vehicle carrier"),S224*Alukset_fx!$B$72,IF(Q224="RoPax",S224*Alukset_fx!$B$73,IF(Q224="Container ship",S224*Alukset_fx!$B$70,S224*Alukset_fx!$B$75))))))),"-")</f>
        <v>0</v>
      </c>
      <c r="U224" s="208">
        <f t="shared" si="42"/>
        <v>0</v>
      </c>
      <c r="V224" s="208">
        <f t="shared" si="43"/>
        <v>0</v>
      </c>
      <c r="W224" s="202">
        <f>Alukset_Käynnit!N231</f>
        <v>0</v>
      </c>
      <c r="X224" s="211">
        <f>IF(Q224="Other dry cargo", Alukset_fx!$C$52, IF(OR(Q224="Dry bulk",Q224="Bulk carrier"),Alukset_fx!$C$35,IF(OR(Q224="Tanker",Q224="Gas tanker",Q224="Oil tanker"),Alukset_fx!$C$57,IF(Q224="Chemical tanker",Alukset_fx!$C$56,IF(OR(Q224="Tugboat",Q224="Barge"),0,IF(Q224="Other vessel",Alukset_fx!$C$54,IF(Q224="Container ship",Alukset_fx!$C$37,IF(OR(Q224="RoPax",Q224="RoRo",Q224="Vehicle carrier"),Alukset_fx!$C$55,0))))))))</f>
        <v>0</v>
      </c>
      <c r="Y224" s="211">
        <f>IF(Q224="Other dry cargo", Alukset_fx!$Q$52, IF(OR(Q224="Dry bulk",Q224="Bulk carrier"),Alukset_fx!$Q$35,IF(OR(Q224="Tanker",Q224="Gas tanker",Q224="Oil tanker"),Alukset_fx!$Q$57,IF(Q224="Chemical tanker",Alukset_fx!$Q$56,IF(OR(Q224="Tugboat",Q224="Barge"),0,IF(Q224="Other vessel",Alukset_fx!$Q$54,IF(Q224="Container ship",Alukset_fx!$Q$37,IF(OR(Q224="RoPax",Q224="RoRo",Q224="Vehicle carrier"),Alukset_fx!$Q$55,0))))))))</f>
        <v>0</v>
      </c>
      <c r="Z224" t="str">
        <f t="shared" si="44"/>
        <v>MDO/MGO</v>
      </c>
      <c r="AA224" t="str">
        <f t="shared" si="45"/>
        <v>MSD</v>
      </c>
      <c r="AB224" t="str">
        <f t="shared" si="46"/>
        <v>MDO/MGO</v>
      </c>
      <c r="AC224" t="str">
        <f t="shared" si="47"/>
        <v>MSD</v>
      </c>
      <c r="AD224" t="str">
        <f t="shared" si="48"/>
        <v>MDO/MGO</v>
      </c>
      <c r="AE224" t="str">
        <f t="shared" si="49"/>
        <v>ST</v>
      </c>
      <c r="AG224">
        <f>Alukset_Käynnit!O231</f>
        <v>0</v>
      </c>
      <c r="AH224" s="207">
        <f>IF(AA224="SSD",((U224*Alukset_fx!$B$24)*Alukset_Käynnit_Lask!W224*(Alukset_fx!$K$49)/1000),IF(AA224="MSD",((U224*Alukset_fx!$B$24)*Alukset_Käynnit_Lask!W224*(Alukset_fx!$K$52)/1000),IF(AA224="HSD",((U224*Alukset_fx!$B$24)*Alukset_Käynnit_Lask!W224*(Alukset_fx!$K$55)/1000),0)))</f>
        <v>0</v>
      </c>
      <c r="AI224" s="207">
        <f>IF(AC224="MSD",((V224*Alukset_fx!$B$25)*Alukset_Käynnit_Lask!W224*(Alukset_fx!$L$52)/1000),IF(AC224="HSD",((V224*Alukset_fx!$B$25)*Alukset_Käynnit_Lask!W224*(Alukset_fx!$L$55)/1000),0))</f>
        <v>0</v>
      </c>
      <c r="AJ224" s="207">
        <f>X224*W224*Alukset_fx!$K$61/1000</f>
        <v>0</v>
      </c>
      <c r="AK224">
        <v>0</v>
      </c>
      <c r="AL224" s="207">
        <f>IF(AG224="Käytetty",0,IF(AC224="MSD",((V224*Alukset_fx!$O$25)*Alukset_Käynnit_Lask!O224*(Alukset_fx!$L$52)/1000),IF(AC224="HSD",((V224*Alukset_fx!$O$25)*Alukset_Käynnit_Lask!O224*(Alukset_fx!$L$55)/1000),0)))</f>
        <v>0</v>
      </c>
      <c r="AM224" s="207">
        <f>IF(AG224="Käytetty",0,Y224*O224*Alukset_fx!$K$61/1000)</f>
        <v>0</v>
      </c>
      <c r="AN224" s="213">
        <f t="shared" si="50"/>
        <v>0</v>
      </c>
    </row>
    <row r="225" spans="1:40" x14ac:dyDescent="0.25">
      <c r="A225" s="203">
        <f>Alukset_Käynnit!A232</f>
        <v>0</v>
      </c>
      <c r="B225" s="203">
        <f>Alukset_Käynnit!B232</f>
        <v>0</v>
      </c>
      <c r="C225" s="262">
        <f>Alukset_Käynnit!C232</f>
        <v>0</v>
      </c>
      <c r="D225" s="266">
        <f>Alukset_Käynnit!D232</f>
        <v>0</v>
      </c>
      <c r="E225" s="262">
        <f>Alukset_Käynnit!E232</f>
        <v>0</v>
      </c>
      <c r="F225" s="262">
        <f>Alukset_Käynnit!F232</f>
        <v>0</v>
      </c>
      <c r="G225" s="262">
        <f>Alukset_Käynnit!G232</f>
        <v>0</v>
      </c>
      <c r="H225" s="262">
        <f>Alukset_Käynnit!H232</f>
        <v>0</v>
      </c>
      <c r="I225" s="262">
        <f>Alukset_Käynnit!I232</f>
        <v>0</v>
      </c>
      <c r="J225" s="262">
        <f>Alukset_Käynnit!J232</f>
        <v>0</v>
      </c>
      <c r="K225" s="262">
        <f>Alukset_Käynnit!K232</f>
        <v>0</v>
      </c>
      <c r="L225" s="205">
        <f>Alukset_Käynnit!L232</f>
        <v>0</v>
      </c>
      <c r="N225" s="273">
        <f t="shared" si="51"/>
        <v>0</v>
      </c>
      <c r="O225" s="274">
        <f t="shared" si="52"/>
        <v>0</v>
      </c>
      <c r="Q225" s="204">
        <f t="shared" si="41"/>
        <v>0</v>
      </c>
      <c r="R225" s="202">
        <f>IF(Q225="Other dry cargo",L225*Alukset_fx!$B$71,IF(OR(Q225="Dry bulk",Q225="Bulk carrier"),L225*Alukset_fx!$B$69,IF(Q225="Tugboat",L225*Alukset_fx!$B$76,IF(OR(Q225="Tanker",Q225="Gas tanker",Q225="Chemical tanker",Q225="Oil tanker"),L225*Alukset_fx!$B$68,IF(OR(Q225="RoRo",Q225="Vehicle carrier"),L225*Alukset_fx!$B$72,IF(Q225="RoPax",L225*Alukset_fx!$B$73,IF(Q225="Container ship",L225*Alukset_fx!$B$70,IF(Q225="Barge",0,L225*Alukset_fx!$B$75))))))))</f>
        <v>0</v>
      </c>
      <c r="S225" s="210">
        <f>IF(L225=0,IF(Q225="Other dry cargo",Alukset_fx!$H$73*(Alukset_Käynnit_Lask!K225^Alukset_fx!$I$73),IF(OR(Q225="Dry Bulk",Q225="Bulk carrier"),Alukset_fx!$H$71*(Alukset_Käynnit_Lask!K225^Alukset_fx!$I$71),IF(Q225="Tugboat",Alukset_fx!$H$78*(Alukset_Käynnit_Lask!K225^Alukset_fx!$I$78),IF(OR(Q225="Tanker",Q225="Gas tanker",Q225="Chemical tanker",Q225="Oil tanker"),Alukset_fx!$H$70*(Alukset_Käynnit_Lask!K225^Alukset_fx!$I$70),IF(Q225="Container ship",Alukset_fx!$H$72*(Alukset_Käynnit_Lask!K225^Alukset_fx!$I$72),IF(Q225="Barge",0,IF(Q225="RoPax",Alukset_fx!$H$75*(Alukset_Käynnit_Lask!K225^Alukset_fx!$I$75),IF(OR(Q225="RoRo",Q225="Vehicle carrier"),Alukset_fx!$H$74*(Alukset_Käynnit_Lask!K225^Alukset_fx!$I$74),Alukset_fx!$H$77*(Alukset_Käynnit_Lask!K225^Alukset_fx!$I$77))))))))),"-")</f>
        <v>0</v>
      </c>
      <c r="T225" s="208">
        <f>IF(R225=0,IF(Q225="Other dry cargo",S225*Alukset_fx!$B$71,IF(OR(Q225="Dry bulk",Q225="Bulk carrier"),S225*Alukset_fx!$B$69,IF(Q225="Tugboat",S225*Alukset_fx!$B$76,IF(OR(Q225="Tanker",Q225="Gas tanker",Q225="Chemical tanker",Q225="Oil tanker"),S225*Alukset_fx!$B$68,IF(OR(Q225="RoRo",Q225="Vehicle carrier"),S225*Alukset_fx!$B$72,IF(Q225="RoPax",S225*Alukset_fx!$B$73,IF(Q225="Container ship",S225*Alukset_fx!$B$70,S225*Alukset_fx!$B$75))))))),"-")</f>
        <v>0</v>
      </c>
      <c r="U225" s="208">
        <f t="shared" si="42"/>
        <v>0</v>
      </c>
      <c r="V225" s="208">
        <f t="shared" si="43"/>
        <v>0</v>
      </c>
      <c r="W225" s="202">
        <f>Alukset_Käynnit!N232</f>
        <v>0</v>
      </c>
      <c r="X225" s="211">
        <f>IF(Q225="Other dry cargo", Alukset_fx!$C$52, IF(OR(Q225="Dry bulk",Q225="Bulk carrier"),Alukset_fx!$C$35,IF(OR(Q225="Tanker",Q225="Gas tanker",Q225="Oil tanker"),Alukset_fx!$C$57,IF(Q225="Chemical tanker",Alukset_fx!$C$56,IF(OR(Q225="Tugboat",Q225="Barge"),0,IF(Q225="Other vessel",Alukset_fx!$C$54,IF(Q225="Container ship",Alukset_fx!$C$37,IF(OR(Q225="RoPax",Q225="RoRo",Q225="Vehicle carrier"),Alukset_fx!$C$55,0))))))))</f>
        <v>0</v>
      </c>
      <c r="Y225" s="211">
        <f>IF(Q225="Other dry cargo", Alukset_fx!$Q$52, IF(OR(Q225="Dry bulk",Q225="Bulk carrier"),Alukset_fx!$Q$35,IF(OR(Q225="Tanker",Q225="Gas tanker",Q225="Oil tanker"),Alukset_fx!$Q$57,IF(Q225="Chemical tanker",Alukset_fx!$Q$56,IF(OR(Q225="Tugboat",Q225="Barge"),0,IF(Q225="Other vessel",Alukset_fx!$Q$54,IF(Q225="Container ship",Alukset_fx!$Q$37,IF(OR(Q225="RoPax",Q225="RoRo",Q225="Vehicle carrier"),Alukset_fx!$Q$55,0))))))))</f>
        <v>0</v>
      </c>
      <c r="Z225" t="str">
        <f t="shared" si="44"/>
        <v>MDO/MGO</v>
      </c>
      <c r="AA225" t="str">
        <f t="shared" si="45"/>
        <v>MSD</v>
      </c>
      <c r="AB225" t="str">
        <f t="shared" si="46"/>
        <v>MDO/MGO</v>
      </c>
      <c r="AC225" t="str">
        <f t="shared" si="47"/>
        <v>MSD</v>
      </c>
      <c r="AD225" t="str">
        <f t="shared" si="48"/>
        <v>MDO/MGO</v>
      </c>
      <c r="AE225" t="str">
        <f t="shared" si="49"/>
        <v>ST</v>
      </c>
      <c r="AG225">
        <f>Alukset_Käynnit!O232</f>
        <v>0</v>
      </c>
      <c r="AH225" s="207">
        <f>IF(AA225="SSD",((U225*Alukset_fx!$B$24)*Alukset_Käynnit_Lask!W225*(Alukset_fx!$K$49)/1000),IF(AA225="MSD",((U225*Alukset_fx!$B$24)*Alukset_Käynnit_Lask!W225*(Alukset_fx!$K$52)/1000),IF(AA225="HSD",((U225*Alukset_fx!$B$24)*Alukset_Käynnit_Lask!W225*(Alukset_fx!$K$55)/1000),0)))</f>
        <v>0</v>
      </c>
      <c r="AI225" s="207">
        <f>IF(AC225="MSD",((V225*Alukset_fx!$B$25)*Alukset_Käynnit_Lask!W225*(Alukset_fx!$L$52)/1000),IF(AC225="HSD",((V225*Alukset_fx!$B$25)*Alukset_Käynnit_Lask!W225*(Alukset_fx!$L$55)/1000),0))</f>
        <v>0</v>
      </c>
      <c r="AJ225" s="207">
        <f>X225*W225*Alukset_fx!$K$61/1000</f>
        <v>0</v>
      </c>
      <c r="AK225">
        <v>0</v>
      </c>
      <c r="AL225" s="207">
        <f>IF(AG225="Käytetty",0,IF(AC225="MSD",((V225*Alukset_fx!$O$25)*Alukset_Käynnit_Lask!O225*(Alukset_fx!$L$52)/1000),IF(AC225="HSD",((V225*Alukset_fx!$O$25)*Alukset_Käynnit_Lask!O225*(Alukset_fx!$L$55)/1000),0)))</f>
        <v>0</v>
      </c>
      <c r="AM225" s="207">
        <f>IF(AG225="Käytetty",0,Y225*O225*Alukset_fx!$K$61/1000)</f>
        <v>0</v>
      </c>
      <c r="AN225" s="213">
        <f t="shared" si="50"/>
        <v>0</v>
      </c>
    </row>
    <row r="226" spans="1:40" x14ac:dyDescent="0.25">
      <c r="A226" s="203">
        <f>Alukset_Käynnit!A233</f>
        <v>0</v>
      </c>
      <c r="B226" s="203">
        <f>Alukset_Käynnit!B233</f>
        <v>0</v>
      </c>
      <c r="C226" s="262">
        <f>Alukset_Käynnit!C233</f>
        <v>0</v>
      </c>
      <c r="D226" s="266">
        <f>Alukset_Käynnit!D233</f>
        <v>0</v>
      </c>
      <c r="E226" s="262">
        <f>Alukset_Käynnit!E233</f>
        <v>0</v>
      </c>
      <c r="F226" s="262">
        <f>Alukset_Käynnit!F233</f>
        <v>0</v>
      </c>
      <c r="G226" s="262">
        <f>Alukset_Käynnit!G233</f>
        <v>0</v>
      </c>
      <c r="H226" s="262">
        <f>Alukset_Käynnit!H233</f>
        <v>0</v>
      </c>
      <c r="I226" s="262">
        <f>Alukset_Käynnit!I233</f>
        <v>0</v>
      </c>
      <c r="J226" s="262">
        <f>Alukset_Käynnit!J233</f>
        <v>0</v>
      </c>
      <c r="K226" s="262">
        <f>Alukset_Käynnit!K233</f>
        <v>0</v>
      </c>
      <c r="L226" s="205">
        <f>Alukset_Käynnit!L233</f>
        <v>0</v>
      </c>
      <c r="N226" s="273">
        <f t="shared" si="51"/>
        <v>0</v>
      </c>
      <c r="O226" s="274">
        <f t="shared" si="52"/>
        <v>0</v>
      </c>
      <c r="Q226" s="204">
        <f t="shared" si="41"/>
        <v>0</v>
      </c>
      <c r="R226" s="202">
        <f>IF(Q226="Other dry cargo",L226*Alukset_fx!$B$71,IF(OR(Q226="Dry bulk",Q226="Bulk carrier"),L226*Alukset_fx!$B$69,IF(Q226="Tugboat",L226*Alukset_fx!$B$76,IF(OR(Q226="Tanker",Q226="Gas tanker",Q226="Chemical tanker",Q226="Oil tanker"),L226*Alukset_fx!$B$68,IF(OR(Q226="RoRo",Q226="Vehicle carrier"),L226*Alukset_fx!$B$72,IF(Q226="RoPax",L226*Alukset_fx!$B$73,IF(Q226="Container ship",L226*Alukset_fx!$B$70,IF(Q226="Barge",0,L226*Alukset_fx!$B$75))))))))</f>
        <v>0</v>
      </c>
      <c r="S226" s="210">
        <f>IF(L226=0,IF(Q226="Other dry cargo",Alukset_fx!$H$73*(Alukset_Käynnit_Lask!K226^Alukset_fx!$I$73),IF(OR(Q226="Dry Bulk",Q226="Bulk carrier"),Alukset_fx!$H$71*(Alukset_Käynnit_Lask!K226^Alukset_fx!$I$71),IF(Q226="Tugboat",Alukset_fx!$H$78*(Alukset_Käynnit_Lask!K226^Alukset_fx!$I$78),IF(OR(Q226="Tanker",Q226="Gas tanker",Q226="Chemical tanker",Q226="Oil tanker"),Alukset_fx!$H$70*(Alukset_Käynnit_Lask!K226^Alukset_fx!$I$70),IF(Q226="Container ship",Alukset_fx!$H$72*(Alukset_Käynnit_Lask!K226^Alukset_fx!$I$72),IF(Q226="Barge",0,IF(Q226="RoPax",Alukset_fx!$H$75*(Alukset_Käynnit_Lask!K226^Alukset_fx!$I$75),IF(OR(Q226="RoRo",Q226="Vehicle carrier"),Alukset_fx!$H$74*(Alukset_Käynnit_Lask!K226^Alukset_fx!$I$74),Alukset_fx!$H$77*(Alukset_Käynnit_Lask!K226^Alukset_fx!$I$77))))))))),"-")</f>
        <v>0</v>
      </c>
      <c r="T226" s="208">
        <f>IF(R226=0,IF(Q226="Other dry cargo",S226*Alukset_fx!$B$71,IF(OR(Q226="Dry bulk",Q226="Bulk carrier"),S226*Alukset_fx!$B$69,IF(Q226="Tugboat",S226*Alukset_fx!$B$76,IF(OR(Q226="Tanker",Q226="Gas tanker",Q226="Chemical tanker",Q226="Oil tanker"),S226*Alukset_fx!$B$68,IF(OR(Q226="RoRo",Q226="Vehicle carrier"),S226*Alukset_fx!$B$72,IF(Q226="RoPax",S226*Alukset_fx!$B$73,IF(Q226="Container ship",S226*Alukset_fx!$B$70,S226*Alukset_fx!$B$75))))))),"-")</f>
        <v>0</v>
      </c>
      <c r="U226" s="208">
        <f t="shared" si="42"/>
        <v>0</v>
      </c>
      <c r="V226" s="208">
        <f t="shared" si="43"/>
        <v>0</v>
      </c>
      <c r="W226" s="202">
        <f>Alukset_Käynnit!N233</f>
        <v>0</v>
      </c>
      <c r="X226" s="211">
        <f>IF(Q226="Other dry cargo", Alukset_fx!$C$52, IF(OR(Q226="Dry bulk",Q226="Bulk carrier"),Alukset_fx!$C$35,IF(OR(Q226="Tanker",Q226="Gas tanker",Q226="Oil tanker"),Alukset_fx!$C$57,IF(Q226="Chemical tanker",Alukset_fx!$C$56,IF(OR(Q226="Tugboat",Q226="Barge"),0,IF(Q226="Other vessel",Alukset_fx!$C$54,IF(Q226="Container ship",Alukset_fx!$C$37,IF(OR(Q226="RoPax",Q226="RoRo",Q226="Vehicle carrier"),Alukset_fx!$C$55,0))))))))</f>
        <v>0</v>
      </c>
      <c r="Y226" s="211">
        <f>IF(Q226="Other dry cargo", Alukset_fx!$Q$52, IF(OR(Q226="Dry bulk",Q226="Bulk carrier"),Alukset_fx!$Q$35,IF(OR(Q226="Tanker",Q226="Gas tanker",Q226="Oil tanker"),Alukset_fx!$Q$57,IF(Q226="Chemical tanker",Alukset_fx!$Q$56,IF(OR(Q226="Tugboat",Q226="Barge"),0,IF(Q226="Other vessel",Alukset_fx!$Q$54,IF(Q226="Container ship",Alukset_fx!$Q$37,IF(OR(Q226="RoPax",Q226="RoRo",Q226="Vehicle carrier"),Alukset_fx!$Q$55,0))))))))</f>
        <v>0</v>
      </c>
      <c r="Z226" t="str">
        <f t="shared" si="44"/>
        <v>MDO/MGO</v>
      </c>
      <c r="AA226" t="str">
        <f t="shared" si="45"/>
        <v>MSD</v>
      </c>
      <c r="AB226" t="str">
        <f t="shared" si="46"/>
        <v>MDO/MGO</v>
      </c>
      <c r="AC226" t="str">
        <f t="shared" si="47"/>
        <v>MSD</v>
      </c>
      <c r="AD226" t="str">
        <f t="shared" si="48"/>
        <v>MDO/MGO</v>
      </c>
      <c r="AE226" t="str">
        <f t="shared" si="49"/>
        <v>ST</v>
      </c>
      <c r="AG226">
        <f>Alukset_Käynnit!O233</f>
        <v>0</v>
      </c>
      <c r="AH226" s="207">
        <f>IF(AA226="SSD",((U226*Alukset_fx!$B$24)*Alukset_Käynnit_Lask!W226*(Alukset_fx!$K$49)/1000),IF(AA226="MSD",((U226*Alukset_fx!$B$24)*Alukset_Käynnit_Lask!W226*(Alukset_fx!$K$52)/1000),IF(AA226="HSD",((U226*Alukset_fx!$B$24)*Alukset_Käynnit_Lask!W226*(Alukset_fx!$K$55)/1000),0)))</f>
        <v>0</v>
      </c>
      <c r="AI226" s="207">
        <f>IF(AC226="MSD",((V226*Alukset_fx!$B$25)*Alukset_Käynnit_Lask!W226*(Alukset_fx!$L$52)/1000),IF(AC226="HSD",((V226*Alukset_fx!$B$25)*Alukset_Käynnit_Lask!W226*(Alukset_fx!$L$55)/1000),0))</f>
        <v>0</v>
      </c>
      <c r="AJ226" s="207">
        <f>X226*W226*Alukset_fx!$K$61/1000</f>
        <v>0</v>
      </c>
      <c r="AK226">
        <v>0</v>
      </c>
      <c r="AL226" s="207">
        <f>IF(AG226="Käytetty",0,IF(AC226="MSD",((V226*Alukset_fx!$O$25)*Alukset_Käynnit_Lask!O226*(Alukset_fx!$L$52)/1000),IF(AC226="HSD",((V226*Alukset_fx!$O$25)*Alukset_Käynnit_Lask!O226*(Alukset_fx!$L$55)/1000),0)))</f>
        <v>0</v>
      </c>
      <c r="AM226" s="207">
        <f>IF(AG226="Käytetty",0,Y226*O226*Alukset_fx!$K$61/1000)</f>
        <v>0</v>
      </c>
      <c r="AN226" s="213">
        <f t="shared" si="50"/>
        <v>0</v>
      </c>
    </row>
    <row r="227" spans="1:40" x14ac:dyDescent="0.25">
      <c r="A227" s="203">
        <f>Alukset_Käynnit!A234</f>
        <v>0</v>
      </c>
      <c r="B227" s="203">
        <f>Alukset_Käynnit!B234</f>
        <v>0</v>
      </c>
      <c r="C227" s="262">
        <f>Alukset_Käynnit!C234</f>
        <v>0</v>
      </c>
      <c r="D227" s="266">
        <f>Alukset_Käynnit!D234</f>
        <v>0</v>
      </c>
      <c r="E227" s="262">
        <f>Alukset_Käynnit!E234</f>
        <v>0</v>
      </c>
      <c r="F227" s="262">
        <f>Alukset_Käynnit!F234</f>
        <v>0</v>
      </c>
      <c r="G227" s="262">
        <f>Alukset_Käynnit!G234</f>
        <v>0</v>
      </c>
      <c r="H227" s="262">
        <f>Alukset_Käynnit!H234</f>
        <v>0</v>
      </c>
      <c r="I227" s="262">
        <f>Alukset_Käynnit!I234</f>
        <v>0</v>
      </c>
      <c r="J227" s="262">
        <f>Alukset_Käynnit!J234</f>
        <v>0</v>
      </c>
      <c r="K227" s="262">
        <f>Alukset_Käynnit!K234</f>
        <v>0</v>
      </c>
      <c r="L227" s="205">
        <f>Alukset_Käynnit!L234</f>
        <v>0</v>
      </c>
      <c r="N227" s="273">
        <f t="shared" si="51"/>
        <v>0</v>
      </c>
      <c r="O227" s="274">
        <f t="shared" si="52"/>
        <v>0</v>
      </c>
      <c r="Q227" s="204">
        <f t="shared" si="41"/>
        <v>0</v>
      </c>
      <c r="R227" s="202">
        <f>IF(Q227="Other dry cargo",L227*Alukset_fx!$B$71,IF(OR(Q227="Dry bulk",Q227="Bulk carrier"),L227*Alukset_fx!$B$69,IF(Q227="Tugboat",L227*Alukset_fx!$B$76,IF(OR(Q227="Tanker",Q227="Gas tanker",Q227="Chemical tanker",Q227="Oil tanker"),L227*Alukset_fx!$B$68,IF(OR(Q227="RoRo",Q227="Vehicle carrier"),L227*Alukset_fx!$B$72,IF(Q227="RoPax",L227*Alukset_fx!$B$73,IF(Q227="Container ship",L227*Alukset_fx!$B$70,IF(Q227="Barge",0,L227*Alukset_fx!$B$75))))))))</f>
        <v>0</v>
      </c>
      <c r="S227" s="210">
        <f>IF(L227=0,IF(Q227="Other dry cargo",Alukset_fx!$H$73*(Alukset_Käynnit_Lask!K227^Alukset_fx!$I$73),IF(OR(Q227="Dry Bulk",Q227="Bulk carrier"),Alukset_fx!$H$71*(Alukset_Käynnit_Lask!K227^Alukset_fx!$I$71),IF(Q227="Tugboat",Alukset_fx!$H$78*(Alukset_Käynnit_Lask!K227^Alukset_fx!$I$78),IF(OR(Q227="Tanker",Q227="Gas tanker",Q227="Chemical tanker",Q227="Oil tanker"),Alukset_fx!$H$70*(Alukset_Käynnit_Lask!K227^Alukset_fx!$I$70),IF(Q227="Container ship",Alukset_fx!$H$72*(Alukset_Käynnit_Lask!K227^Alukset_fx!$I$72),IF(Q227="Barge",0,IF(Q227="RoPax",Alukset_fx!$H$75*(Alukset_Käynnit_Lask!K227^Alukset_fx!$I$75),IF(OR(Q227="RoRo",Q227="Vehicle carrier"),Alukset_fx!$H$74*(Alukset_Käynnit_Lask!K227^Alukset_fx!$I$74),Alukset_fx!$H$77*(Alukset_Käynnit_Lask!K227^Alukset_fx!$I$77))))))))),"-")</f>
        <v>0</v>
      </c>
      <c r="T227" s="208">
        <f>IF(R227=0,IF(Q227="Other dry cargo",S227*Alukset_fx!$B$71,IF(OR(Q227="Dry bulk",Q227="Bulk carrier"),S227*Alukset_fx!$B$69,IF(Q227="Tugboat",S227*Alukset_fx!$B$76,IF(OR(Q227="Tanker",Q227="Gas tanker",Q227="Chemical tanker",Q227="Oil tanker"),S227*Alukset_fx!$B$68,IF(OR(Q227="RoRo",Q227="Vehicle carrier"),S227*Alukset_fx!$B$72,IF(Q227="RoPax",S227*Alukset_fx!$B$73,IF(Q227="Container ship",S227*Alukset_fx!$B$70,S227*Alukset_fx!$B$75))))))),"-")</f>
        <v>0</v>
      </c>
      <c r="U227" s="208">
        <f t="shared" si="42"/>
        <v>0</v>
      </c>
      <c r="V227" s="208">
        <f t="shared" si="43"/>
        <v>0</v>
      </c>
      <c r="W227" s="202">
        <f>Alukset_Käynnit!N234</f>
        <v>0</v>
      </c>
      <c r="X227" s="211">
        <f>IF(Q227="Other dry cargo", Alukset_fx!$C$52, IF(OR(Q227="Dry bulk",Q227="Bulk carrier"),Alukset_fx!$C$35,IF(OR(Q227="Tanker",Q227="Gas tanker",Q227="Oil tanker"),Alukset_fx!$C$57,IF(Q227="Chemical tanker",Alukset_fx!$C$56,IF(OR(Q227="Tugboat",Q227="Barge"),0,IF(Q227="Other vessel",Alukset_fx!$C$54,IF(Q227="Container ship",Alukset_fx!$C$37,IF(OR(Q227="RoPax",Q227="RoRo",Q227="Vehicle carrier"),Alukset_fx!$C$55,0))))))))</f>
        <v>0</v>
      </c>
      <c r="Y227" s="211">
        <f>IF(Q227="Other dry cargo", Alukset_fx!$Q$52, IF(OR(Q227="Dry bulk",Q227="Bulk carrier"),Alukset_fx!$Q$35,IF(OR(Q227="Tanker",Q227="Gas tanker",Q227="Oil tanker"),Alukset_fx!$Q$57,IF(Q227="Chemical tanker",Alukset_fx!$Q$56,IF(OR(Q227="Tugboat",Q227="Barge"),0,IF(Q227="Other vessel",Alukset_fx!$Q$54,IF(Q227="Container ship",Alukset_fx!$Q$37,IF(OR(Q227="RoPax",Q227="RoRo",Q227="Vehicle carrier"),Alukset_fx!$Q$55,0))))))))</f>
        <v>0</v>
      </c>
      <c r="Z227" t="str">
        <f t="shared" si="44"/>
        <v>MDO/MGO</v>
      </c>
      <c r="AA227" t="str">
        <f t="shared" si="45"/>
        <v>MSD</v>
      </c>
      <c r="AB227" t="str">
        <f t="shared" si="46"/>
        <v>MDO/MGO</v>
      </c>
      <c r="AC227" t="str">
        <f t="shared" si="47"/>
        <v>MSD</v>
      </c>
      <c r="AD227" t="str">
        <f t="shared" si="48"/>
        <v>MDO/MGO</v>
      </c>
      <c r="AE227" t="str">
        <f t="shared" si="49"/>
        <v>ST</v>
      </c>
      <c r="AG227">
        <f>Alukset_Käynnit!O234</f>
        <v>0</v>
      </c>
      <c r="AH227" s="207">
        <f>IF(AA227="SSD",((U227*Alukset_fx!$B$24)*Alukset_Käynnit_Lask!W227*(Alukset_fx!$K$49)/1000),IF(AA227="MSD",((U227*Alukset_fx!$B$24)*Alukset_Käynnit_Lask!W227*(Alukset_fx!$K$52)/1000),IF(AA227="HSD",((U227*Alukset_fx!$B$24)*Alukset_Käynnit_Lask!W227*(Alukset_fx!$K$55)/1000),0)))</f>
        <v>0</v>
      </c>
      <c r="AI227" s="207">
        <f>IF(AC227="MSD",((V227*Alukset_fx!$B$25)*Alukset_Käynnit_Lask!W227*(Alukset_fx!$L$52)/1000),IF(AC227="HSD",((V227*Alukset_fx!$B$25)*Alukset_Käynnit_Lask!W227*(Alukset_fx!$L$55)/1000),0))</f>
        <v>0</v>
      </c>
      <c r="AJ227" s="207">
        <f>X227*W227*Alukset_fx!$K$61/1000</f>
        <v>0</v>
      </c>
      <c r="AK227">
        <v>0</v>
      </c>
      <c r="AL227" s="207">
        <f>IF(AG227="Käytetty",0,IF(AC227="MSD",((V227*Alukset_fx!$O$25)*Alukset_Käynnit_Lask!O227*(Alukset_fx!$L$52)/1000),IF(AC227="HSD",((V227*Alukset_fx!$O$25)*Alukset_Käynnit_Lask!O227*(Alukset_fx!$L$55)/1000),0)))</f>
        <v>0</v>
      </c>
      <c r="AM227" s="207">
        <f>IF(AG227="Käytetty",0,Y227*O227*Alukset_fx!$K$61/1000)</f>
        <v>0</v>
      </c>
      <c r="AN227" s="213">
        <f t="shared" si="50"/>
        <v>0</v>
      </c>
    </row>
    <row r="228" spans="1:40" x14ac:dyDescent="0.25">
      <c r="A228" s="203">
        <f>Alukset_Käynnit!A235</f>
        <v>0</v>
      </c>
      <c r="B228" s="203">
        <f>Alukset_Käynnit!B235</f>
        <v>0</v>
      </c>
      <c r="C228" s="262">
        <f>Alukset_Käynnit!C235</f>
        <v>0</v>
      </c>
      <c r="D228" s="266">
        <f>Alukset_Käynnit!D235</f>
        <v>0</v>
      </c>
      <c r="E228" s="262">
        <f>Alukset_Käynnit!E235</f>
        <v>0</v>
      </c>
      <c r="F228" s="262">
        <f>Alukset_Käynnit!F235</f>
        <v>0</v>
      </c>
      <c r="G228" s="262">
        <f>Alukset_Käynnit!G235</f>
        <v>0</v>
      </c>
      <c r="H228" s="262">
        <f>Alukset_Käynnit!H235</f>
        <v>0</v>
      </c>
      <c r="I228" s="262">
        <f>Alukset_Käynnit!I235</f>
        <v>0</v>
      </c>
      <c r="J228" s="262">
        <f>Alukset_Käynnit!J235</f>
        <v>0</v>
      </c>
      <c r="K228" s="262">
        <f>Alukset_Käynnit!K235</f>
        <v>0</v>
      </c>
      <c r="L228" s="205">
        <f>Alukset_Käynnit!L235</f>
        <v>0</v>
      </c>
      <c r="N228" s="273">
        <f t="shared" si="51"/>
        <v>0</v>
      </c>
      <c r="O228" s="274">
        <f t="shared" si="52"/>
        <v>0</v>
      </c>
      <c r="Q228" s="204">
        <f t="shared" si="41"/>
        <v>0</v>
      </c>
      <c r="R228" s="202">
        <f>IF(Q228="Other dry cargo",L228*Alukset_fx!$B$71,IF(OR(Q228="Dry bulk",Q228="Bulk carrier"),L228*Alukset_fx!$B$69,IF(Q228="Tugboat",L228*Alukset_fx!$B$76,IF(OR(Q228="Tanker",Q228="Gas tanker",Q228="Chemical tanker",Q228="Oil tanker"),L228*Alukset_fx!$B$68,IF(OR(Q228="RoRo",Q228="Vehicle carrier"),L228*Alukset_fx!$B$72,IF(Q228="RoPax",L228*Alukset_fx!$B$73,IF(Q228="Container ship",L228*Alukset_fx!$B$70,IF(Q228="Barge",0,L228*Alukset_fx!$B$75))))))))</f>
        <v>0</v>
      </c>
      <c r="S228" s="210">
        <f>IF(L228=0,IF(Q228="Other dry cargo",Alukset_fx!$H$73*(Alukset_Käynnit_Lask!K228^Alukset_fx!$I$73),IF(OR(Q228="Dry Bulk",Q228="Bulk carrier"),Alukset_fx!$H$71*(Alukset_Käynnit_Lask!K228^Alukset_fx!$I$71),IF(Q228="Tugboat",Alukset_fx!$H$78*(Alukset_Käynnit_Lask!K228^Alukset_fx!$I$78),IF(OR(Q228="Tanker",Q228="Gas tanker",Q228="Chemical tanker",Q228="Oil tanker"),Alukset_fx!$H$70*(Alukset_Käynnit_Lask!K228^Alukset_fx!$I$70),IF(Q228="Container ship",Alukset_fx!$H$72*(Alukset_Käynnit_Lask!K228^Alukset_fx!$I$72),IF(Q228="Barge",0,IF(Q228="RoPax",Alukset_fx!$H$75*(Alukset_Käynnit_Lask!K228^Alukset_fx!$I$75),IF(OR(Q228="RoRo",Q228="Vehicle carrier"),Alukset_fx!$H$74*(Alukset_Käynnit_Lask!K228^Alukset_fx!$I$74),Alukset_fx!$H$77*(Alukset_Käynnit_Lask!K228^Alukset_fx!$I$77))))))))),"-")</f>
        <v>0</v>
      </c>
      <c r="T228" s="208">
        <f>IF(R228=0,IF(Q228="Other dry cargo",S228*Alukset_fx!$B$71,IF(OR(Q228="Dry bulk",Q228="Bulk carrier"),S228*Alukset_fx!$B$69,IF(Q228="Tugboat",S228*Alukset_fx!$B$76,IF(OR(Q228="Tanker",Q228="Gas tanker",Q228="Chemical tanker",Q228="Oil tanker"),S228*Alukset_fx!$B$68,IF(OR(Q228="RoRo",Q228="Vehicle carrier"),S228*Alukset_fx!$B$72,IF(Q228="RoPax",S228*Alukset_fx!$B$73,IF(Q228="Container ship",S228*Alukset_fx!$B$70,S228*Alukset_fx!$B$75))))))),"-")</f>
        <v>0</v>
      </c>
      <c r="U228" s="208">
        <f t="shared" si="42"/>
        <v>0</v>
      </c>
      <c r="V228" s="208">
        <f t="shared" si="43"/>
        <v>0</v>
      </c>
      <c r="W228" s="202">
        <f>Alukset_Käynnit!N235</f>
        <v>0</v>
      </c>
      <c r="X228" s="211">
        <f>IF(Q228="Other dry cargo", Alukset_fx!$C$52, IF(OR(Q228="Dry bulk",Q228="Bulk carrier"),Alukset_fx!$C$35,IF(OR(Q228="Tanker",Q228="Gas tanker",Q228="Oil tanker"),Alukset_fx!$C$57,IF(Q228="Chemical tanker",Alukset_fx!$C$56,IF(OR(Q228="Tugboat",Q228="Barge"),0,IF(Q228="Other vessel",Alukset_fx!$C$54,IF(Q228="Container ship",Alukset_fx!$C$37,IF(OR(Q228="RoPax",Q228="RoRo",Q228="Vehicle carrier"),Alukset_fx!$C$55,0))))))))</f>
        <v>0</v>
      </c>
      <c r="Y228" s="211">
        <f>IF(Q228="Other dry cargo", Alukset_fx!$Q$52, IF(OR(Q228="Dry bulk",Q228="Bulk carrier"),Alukset_fx!$Q$35,IF(OR(Q228="Tanker",Q228="Gas tanker",Q228="Oil tanker"),Alukset_fx!$Q$57,IF(Q228="Chemical tanker",Alukset_fx!$Q$56,IF(OR(Q228="Tugboat",Q228="Barge"),0,IF(Q228="Other vessel",Alukset_fx!$Q$54,IF(Q228="Container ship",Alukset_fx!$Q$37,IF(OR(Q228="RoPax",Q228="RoRo",Q228="Vehicle carrier"),Alukset_fx!$Q$55,0))))))))</f>
        <v>0</v>
      </c>
      <c r="Z228" t="str">
        <f t="shared" si="44"/>
        <v>MDO/MGO</v>
      </c>
      <c r="AA228" t="str">
        <f t="shared" si="45"/>
        <v>MSD</v>
      </c>
      <c r="AB228" t="str">
        <f t="shared" si="46"/>
        <v>MDO/MGO</v>
      </c>
      <c r="AC228" t="str">
        <f t="shared" si="47"/>
        <v>MSD</v>
      </c>
      <c r="AD228" t="str">
        <f t="shared" si="48"/>
        <v>MDO/MGO</v>
      </c>
      <c r="AE228" t="str">
        <f t="shared" si="49"/>
        <v>ST</v>
      </c>
      <c r="AG228">
        <f>Alukset_Käynnit!O235</f>
        <v>0</v>
      </c>
      <c r="AH228" s="207">
        <f>IF(AA228="SSD",((U228*Alukset_fx!$B$24)*Alukset_Käynnit_Lask!W228*(Alukset_fx!$K$49)/1000),IF(AA228="MSD",((U228*Alukset_fx!$B$24)*Alukset_Käynnit_Lask!W228*(Alukset_fx!$K$52)/1000),IF(AA228="HSD",((U228*Alukset_fx!$B$24)*Alukset_Käynnit_Lask!W228*(Alukset_fx!$K$55)/1000),0)))</f>
        <v>0</v>
      </c>
      <c r="AI228" s="207">
        <f>IF(AC228="MSD",((V228*Alukset_fx!$B$25)*Alukset_Käynnit_Lask!W228*(Alukset_fx!$L$52)/1000),IF(AC228="HSD",((V228*Alukset_fx!$B$25)*Alukset_Käynnit_Lask!W228*(Alukset_fx!$L$55)/1000),0))</f>
        <v>0</v>
      </c>
      <c r="AJ228" s="207">
        <f>X228*W228*Alukset_fx!$K$61/1000</f>
        <v>0</v>
      </c>
      <c r="AK228">
        <v>0</v>
      </c>
      <c r="AL228" s="207">
        <f>IF(AG228="Käytetty",0,IF(AC228="MSD",((V228*Alukset_fx!$O$25)*Alukset_Käynnit_Lask!O228*(Alukset_fx!$L$52)/1000),IF(AC228="HSD",((V228*Alukset_fx!$O$25)*Alukset_Käynnit_Lask!O228*(Alukset_fx!$L$55)/1000),0)))</f>
        <v>0</v>
      </c>
      <c r="AM228" s="207">
        <f>IF(AG228="Käytetty",0,Y228*O228*Alukset_fx!$K$61/1000)</f>
        <v>0</v>
      </c>
      <c r="AN228" s="213">
        <f t="shared" si="50"/>
        <v>0</v>
      </c>
    </row>
    <row r="229" spans="1:40" x14ac:dyDescent="0.25">
      <c r="A229" s="203">
        <f>Alukset_Käynnit!A236</f>
        <v>0</v>
      </c>
      <c r="B229" s="203">
        <f>Alukset_Käynnit!B236</f>
        <v>0</v>
      </c>
      <c r="C229" s="262">
        <f>Alukset_Käynnit!C236</f>
        <v>0</v>
      </c>
      <c r="D229" s="266">
        <f>Alukset_Käynnit!D236</f>
        <v>0</v>
      </c>
      <c r="E229" s="262">
        <f>Alukset_Käynnit!E236</f>
        <v>0</v>
      </c>
      <c r="F229" s="262">
        <f>Alukset_Käynnit!F236</f>
        <v>0</v>
      </c>
      <c r="G229" s="262">
        <f>Alukset_Käynnit!G236</f>
        <v>0</v>
      </c>
      <c r="H229" s="262">
        <f>Alukset_Käynnit!H236</f>
        <v>0</v>
      </c>
      <c r="I229" s="262">
        <f>Alukset_Käynnit!I236</f>
        <v>0</v>
      </c>
      <c r="J229" s="262">
        <f>Alukset_Käynnit!J236</f>
        <v>0</v>
      </c>
      <c r="K229" s="262">
        <f>Alukset_Käynnit!K236</f>
        <v>0</v>
      </c>
      <c r="L229" s="205">
        <f>Alukset_Käynnit!L236</f>
        <v>0</v>
      </c>
      <c r="N229" s="273">
        <f t="shared" si="51"/>
        <v>0</v>
      </c>
      <c r="O229" s="274">
        <f t="shared" si="52"/>
        <v>0</v>
      </c>
      <c r="Q229" s="204">
        <f t="shared" si="41"/>
        <v>0</v>
      </c>
      <c r="R229" s="202">
        <f>IF(Q229="Other dry cargo",L229*Alukset_fx!$B$71,IF(OR(Q229="Dry bulk",Q229="Bulk carrier"),L229*Alukset_fx!$B$69,IF(Q229="Tugboat",L229*Alukset_fx!$B$76,IF(OR(Q229="Tanker",Q229="Gas tanker",Q229="Chemical tanker",Q229="Oil tanker"),L229*Alukset_fx!$B$68,IF(OR(Q229="RoRo",Q229="Vehicle carrier"),L229*Alukset_fx!$B$72,IF(Q229="RoPax",L229*Alukset_fx!$B$73,IF(Q229="Container ship",L229*Alukset_fx!$B$70,IF(Q229="Barge",0,L229*Alukset_fx!$B$75))))))))</f>
        <v>0</v>
      </c>
      <c r="S229" s="210">
        <f>IF(L229=0,IF(Q229="Other dry cargo",Alukset_fx!$H$73*(Alukset_Käynnit_Lask!K229^Alukset_fx!$I$73),IF(OR(Q229="Dry Bulk",Q229="Bulk carrier"),Alukset_fx!$H$71*(Alukset_Käynnit_Lask!K229^Alukset_fx!$I$71),IF(Q229="Tugboat",Alukset_fx!$H$78*(Alukset_Käynnit_Lask!K229^Alukset_fx!$I$78),IF(OR(Q229="Tanker",Q229="Gas tanker",Q229="Chemical tanker",Q229="Oil tanker"),Alukset_fx!$H$70*(Alukset_Käynnit_Lask!K229^Alukset_fx!$I$70),IF(Q229="Container ship",Alukset_fx!$H$72*(Alukset_Käynnit_Lask!K229^Alukset_fx!$I$72),IF(Q229="Barge",0,IF(Q229="RoPax",Alukset_fx!$H$75*(Alukset_Käynnit_Lask!K229^Alukset_fx!$I$75),IF(OR(Q229="RoRo",Q229="Vehicle carrier"),Alukset_fx!$H$74*(Alukset_Käynnit_Lask!K229^Alukset_fx!$I$74),Alukset_fx!$H$77*(Alukset_Käynnit_Lask!K229^Alukset_fx!$I$77))))))))),"-")</f>
        <v>0</v>
      </c>
      <c r="T229" s="208">
        <f>IF(R229=0,IF(Q229="Other dry cargo",S229*Alukset_fx!$B$71,IF(OR(Q229="Dry bulk",Q229="Bulk carrier"),S229*Alukset_fx!$B$69,IF(Q229="Tugboat",S229*Alukset_fx!$B$76,IF(OR(Q229="Tanker",Q229="Gas tanker",Q229="Chemical tanker",Q229="Oil tanker"),S229*Alukset_fx!$B$68,IF(OR(Q229="RoRo",Q229="Vehicle carrier"),S229*Alukset_fx!$B$72,IF(Q229="RoPax",S229*Alukset_fx!$B$73,IF(Q229="Container ship",S229*Alukset_fx!$B$70,S229*Alukset_fx!$B$75))))))),"-")</f>
        <v>0</v>
      </c>
      <c r="U229" s="208">
        <f t="shared" si="42"/>
        <v>0</v>
      </c>
      <c r="V229" s="208">
        <f t="shared" si="43"/>
        <v>0</v>
      </c>
      <c r="W229" s="202">
        <f>Alukset_Käynnit!N236</f>
        <v>0</v>
      </c>
      <c r="X229" s="211">
        <f>IF(Q229="Other dry cargo", Alukset_fx!$C$52, IF(OR(Q229="Dry bulk",Q229="Bulk carrier"),Alukset_fx!$C$35,IF(OR(Q229="Tanker",Q229="Gas tanker",Q229="Oil tanker"),Alukset_fx!$C$57,IF(Q229="Chemical tanker",Alukset_fx!$C$56,IF(OR(Q229="Tugboat",Q229="Barge"),0,IF(Q229="Other vessel",Alukset_fx!$C$54,IF(Q229="Container ship",Alukset_fx!$C$37,IF(OR(Q229="RoPax",Q229="RoRo",Q229="Vehicle carrier"),Alukset_fx!$C$55,0))))))))</f>
        <v>0</v>
      </c>
      <c r="Y229" s="211">
        <f>IF(Q229="Other dry cargo", Alukset_fx!$Q$52, IF(OR(Q229="Dry bulk",Q229="Bulk carrier"),Alukset_fx!$Q$35,IF(OR(Q229="Tanker",Q229="Gas tanker",Q229="Oil tanker"),Alukset_fx!$Q$57,IF(Q229="Chemical tanker",Alukset_fx!$Q$56,IF(OR(Q229="Tugboat",Q229="Barge"),0,IF(Q229="Other vessel",Alukset_fx!$Q$54,IF(Q229="Container ship",Alukset_fx!$Q$37,IF(OR(Q229="RoPax",Q229="RoRo",Q229="Vehicle carrier"),Alukset_fx!$Q$55,0))))))))</f>
        <v>0</v>
      </c>
      <c r="Z229" t="str">
        <f t="shared" si="44"/>
        <v>MDO/MGO</v>
      </c>
      <c r="AA229" t="str">
        <f t="shared" si="45"/>
        <v>MSD</v>
      </c>
      <c r="AB229" t="str">
        <f t="shared" si="46"/>
        <v>MDO/MGO</v>
      </c>
      <c r="AC229" t="str">
        <f t="shared" si="47"/>
        <v>MSD</v>
      </c>
      <c r="AD229" t="str">
        <f t="shared" si="48"/>
        <v>MDO/MGO</v>
      </c>
      <c r="AE229" t="str">
        <f t="shared" si="49"/>
        <v>ST</v>
      </c>
      <c r="AG229">
        <f>Alukset_Käynnit!O236</f>
        <v>0</v>
      </c>
      <c r="AH229" s="207">
        <f>IF(AA229="SSD",((U229*Alukset_fx!$B$24)*Alukset_Käynnit_Lask!W229*(Alukset_fx!$K$49)/1000),IF(AA229="MSD",((U229*Alukset_fx!$B$24)*Alukset_Käynnit_Lask!W229*(Alukset_fx!$K$52)/1000),IF(AA229="HSD",((U229*Alukset_fx!$B$24)*Alukset_Käynnit_Lask!W229*(Alukset_fx!$K$55)/1000),0)))</f>
        <v>0</v>
      </c>
      <c r="AI229" s="207">
        <f>IF(AC229="MSD",((V229*Alukset_fx!$B$25)*Alukset_Käynnit_Lask!W229*(Alukset_fx!$L$52)/1000),IF(AC229="HSD",((V229*Alukset_fx!$B$25)*Alukset_Käynnit_Lask!W229*(Alukset_fx!$L$55)/1000),0))</f>
        <v>0</v>
      </c>
      <c r="AJ229" s="207">
        <f>X229*W229*Alukset_fx!$K$61/1000</f>
        <v>0</v>
      </c>
      <c r="AK229">
        <v>0</v>
      </c>
      <c r="AL229" s="207">
        <f>IF(AG229="Käytetty",0,IF(AC229="MSD",((V229*Alukset_fx!$O$25)*Alukset_Käynnit_Lask!O229*(Alukset_fx!$L$52)/1000),IF(AC229="HSD",((V229*Alukset_fx!$O$25)*Alukset_Käynnit_Lask!O229*(Alukset_fx!$L$55)/1000),0)))</f>
        <v>0</v>
      </c>
      <c r="AM229" s="207">
        <f>IF(AG229="Käytetty",0,Y229*O229*Alukset_fx!$K$61/1000)</f>
        <v>0</v>
      </c>
      <c r="AN229" s="213">
        <f t="shared" si="50"/>
        <v>0</v>
      </c>
    </row>
    <row r="230" spans="1:40" x14ac:dyDescent="0.25">
      <c r="A230" s="203">
        <f>Alukset_Käynnit!A237</f>
        <v>0</v>
      </c>
      <c r="B230" s="203">
        <f>Alukset_Käynnit!B237</f>
        <v>0</v>
      </c>
      <c r="C230" s="262">
        <f>Alukset_Käynnit!C237</f>
        <v>0</v>
      </c>
      <c r="D230" s="266">
        <f>Alukset_Käynnit!D237</f>
        <v>0</v>
      </c>
      <c r="E230" s="262">
        <f>Alukset_Käynnit!E237</f>
        <v>0</v>
      </c>
      <c r="F230" s="262">
        <f>Alukset_Käynnit!F237</f>
        <v>0</v>
      </c>
      <c r="G230" s="262">
        <f>Alukset_Käynnit!G237</f>
        <v>0</v>
      </c>
      <c r="H230" s="262">
        <f>Alukset_Käynnit!H237</f>
        <v>0</v>
      </c>
      <c r="I230" s="262">
        <f>Alukset_Käynnit!I237</f>
        <v>0</v>
      </c>
      <c r="J230" s="262">
        <f>Alukset_Käynnit!J237</f>
        <v>0</v>
      </c>
      <c r="K230" s="262">
        <f>Alukset_Käynnit!K237</f>
        <v>0</v>
      </c>
      <c r="L230" s="205">
        <f>Alukset_Käynnit!L237</f>
        <v>0</v>
      </c>
      <c r="N230" s="273">
        <f t="shared" si="51"/>
        <v>0</v>
      </c>
      <c r="O230" s="274">
        <f t="shared" si="52"/>
        <v>0</v>
      </c>
      <c r="Q230" s="204">
        <f t="shared" si="41"/>
        <v>0</v>
      </c>
      <c r="R230" s="202">
        <f>IF(Q230="Other dry cargo",L230*Alukset_fx!$B$71,IF(OR(Q230="Dry bulk",Q230="Bulk carrier"),L230*Alukset_fx!$B$69,IF(Q230="Tugboat",L230*Alukset_fx!$B$76,IF(OR(Q230="Tanker",Q230="Gas tanker",Q230="Chemical tanker",Q230="Oil tanker"),L230*Alukset_fx!$B$68,IF(OR(Q230="RoRo",Q230="Vehicle carrier"),L230*Alukset_fx!$B$72,IF(Q230="RoPax",L230*Alukset_fx!$B$73,IF(Q230="Container ship",L230*Alukset_fx!$B$70,IF(Q230="Barge",0,L230*Alukset_fx!$B$75))))))))</f>
        <v>0</v>
      </c>
      <c r="S230" s="210">
        <f>IF(L230=0,IF(Q230="Other dry cargo",Alukset_fx!$H$73*(Alukset_Käynnit_Lask!K230^Alukset_fx!$I$73),IF(OR(Q230="Dry Bulk",Q230="Bulk carrier"),Alukset_fx!$H$71*(Alukset_Käynnit_Lask!K230^Alukset_fx!$I$71),IF(Q230="Tugboat",Alukset_fx!$H$78*(Alukset_Käynnit_Lask!K230^Alukset_fx!$I$78),IF(OR(Q230="Tanker",Q230="Gas tanker",Q230="Chemical tanker",Q230="Oil tanker"),Alukset_fx!$H$70*(Alukset_Käynnit_Lask!K230^Alukset_fx!$I$70),IF(Q230="Container ship",Alukset_fx!$H$72*(Alukset_Käynnit_Lask!K230^Alukset_fx!$I$72),IF(Q230="Barge",0,IF(Q230="RoPax",Alukset_fx!$H$75*(Alukset_Käynnit_Lask!K230^Alukset_fx!$I$75),IF(OR(Q230="RoRo",Q230="Vehicle carrier"),Alukset_fx!$H$74*(Alukset_Käynnit_Lask!K230^Alukset_fx!$I$74),Alukset_fx!$H$77*(Alukset_Käynnit_Lask!K230^Alukset_fx!$I$77))))))))),"-")</f>
        <v>0</v>
      </c>
      <c r="T230" s="208">
        <f>IF(R230=0,IF(Q230="Other dry cargo",S230*Alukset_fx!$B$71,IF(OR(Q230="Dry bulk",Q230="Bulk carrier"),S230*Alukset_fx!$B$69,IF(Q230="Tugboat",S230*Alukset_fx!$B$76,IF(OR(Q230="Tanker",Q230="Gas tanker",Q230="Chemical tanker",Q230="Oil tanker"),S230*Alukset_fx!$B$68,IF(OR(Q230="RoRo",Q230="Vehicle carrier"),S230*Alukset_fx!$B$72,IF(Q230="RoPax",S230*Alukset_fx!$B$73,IF(Q230="Container ship",S230*Alukset_fx!$B$70,S230*Alukset_fx!$B$75))))))),"-")</f>
        <v>0</v>
      </c>
      <c r="U230" s="208">
        <f t="shared" si="42"/>
        <v>0</v>
      </c>
      <c r="V230" s="208">
        <f t="shared" si="43"/>
        <v>0</v>
      </c>
      <c r="W230" s="202">
        <f>Alukset_Käynnit!N237</f>
        <v>0</v>
      </c>
      <c r="X230" s="211">
        <f>IF(Q230="Other dry cargo", Alukset_fx!$C$52, IF(OR(Q230="Dry bulk",Q230="Bulk carrier"),Alukset_fx!$C$35,IF(OR(Q230="Tanker",Q230="Gas tanker",Q230="Oil tanker"),Alukset_fx!$C$57,IF(Q230="Chemical tanker",Alukset_fx!$C$56,IF(OR(Q230="Tugboat",Q230="Barge"),0,IF(Q230="Other vessel",Alukset_fx!$C$54,IF(Q230="Container ship",Alukset_fx!$C$37,IF(OR(Q230="RoPax",Q230="RoRo",Q230="Vehicle carrier"),Alukset_fx!$C$55,0))))))))</f>
        <v>0</v>
      </c>
      <c r="Y230" s="211">
        <f>IF(Q230="Other dry cargo", Alukset_fx!$Q$52, IF(OR(Q230="Dry bulk",Q230="Bulk carrier"),Alukset_fx!$Q$35,IF(OR(Q230="Tanker",Q230="Gas tanker",Q230="Oil tanker"),Alukset_fx!$Q$57,IF(Q230="Chemical tanker",Alukset_fx!$Q$56,IF(OR(Q230="Tugboat",Q230="Barge"),0,IF(Q230="Other vessel",Alukset_fx!$Q$54,IF(Q230="Container ship",Alukset_fx!$Q$37,IF(OR(Q230="RoPax",Q230="RoRo",Q230="Vehicle carrier"),Alukset_fx!$Q$55,0))))))))</f>
        <v>0</v>
      </c>
      <c r="Z230" t="str">
        <f t="shared" si="44"/>
        <v>MDO/MGO</v>
      </c>
      <c r="AA230" t="str">
        <f t="shared" si="45"/>
        <v>MSD</v>
      </c>
      <c r="AB230" t="str">
        <f t="shared" si="46"/>
        <v>MDO/MGO</v>
      </c>
      <c r="AC230" t="str">
        <f t="shared" si="47"/>
        <v>MSD</v>
      </c>
      <c r="AD230" t="str">
        <f t="shared" si="48"/>
        <v>MDO/MGO</v>
      </c>
      <c r="AE230" t="str">
        <f t="shared" si="49"/>
        <v>ST</v>
      </c>
      <c r="AG230">
        <f>Alukset_Käynnit!O237</f>
        <v>0</v>
      </c>
      <c r="AH230" s="207">
        <f>IF(AA230="SSD",((U230*Alukset_fx!$B$24)*Alukset_Käynnit_Lask!W230*(Alukset_fx!$K$49)/1000),IF(AA230="MSD",((U230*Alukset_fx!$B$24)*Alukset_Käynnit_Lask!W230*(Alukset_fx!$K$52)/1000),IF(AA230="HSD",((U230*Alukset_fx!$B$24)*Alukset_Käynnit_Lask!W230*(Alukset_fx!$K$55)/1000),0)))</f>
        <v>0</v>
      </c>
      <c r="AI230" s="207">
        <f>IF(AC230="MSD",((V230*Alukset_fx!$B$25)*Alukset_Käynnit_Lask!W230*(Alukset_fx!$L$52)/1000),IF(AC230="HSD",((V230*Alukset_fx!$B$25)*Alukset_Käynnit_Lask!W230*(Alukset_fx!$L$55)/1000),0))</f>
        <v>0</v>
      </c>
      <c r="AJ230" s="207">
        <f>X230*W230*Alukset_fx!$K$61/1000</f>
        <v>0</v>
      </c>
      <c r="AK230">
        <v>0</v>
      </c>
      <c r="AL230" s="207">
        <f>IF(AG230="Käytetty",0,IF(AC230="MSD",((V230*Alukset_fx!$O$25)*Alukset_Käynnit_Lask!O230*(Alukset_fx!$L$52)/1000),IF(AC230="HSD",((V230*Alukset_fx!$O$25)*Alukset_Käynnit_Lask!O230*(Alukset_fx!$L$55)/1000),0)))</f>
        <v>0</v>
      </c>
      <c r="AM230" s="207">
        <f>IF(AG230="Käytetty",0,Y230*O230*Alukset_fx!$K$61/1000)</f>
        <v>0</v>
      </c>
      <c r="AN230" s="213">
        <f t="shared" si="50"/>
        <v>0</v>
      </c>
    </row>
    <row r="231" spans="1:40" x14ac:dyDescent="0.25">
      <c r="A231" s="203">
        <f>Alukset_Käynnit!A238</f>
        <v>0</v>
      </c>
      <c r="B231" s="203">
        <f>Alukset_Käynnit!B238</f>
        <v>0</v>
      </c>
      <c r="C231" s="262">
        <f>Alukset_Käynnit!C238</f>
        <v>0</v>
      </c>
      <c r="D231" s="266">
        <f>Alukset_Käynnit!D238</f>
        <v>0</v>
      </c>
      <c r="E231" s="262">
        <f>Alukset_Käynnit!E238</f>
        <v>0</v>
      </c>
      <c r="F231" s="262">
        <f>Alukset_Käynnit!F238</f>
        <v>0</v>
      </c>
      <c r="G231" s="262">
        <f>Alukset_Käynnit!G238</f>
        <v>0</v>
      </c>
      <c r="H231" s="262">
        <f>Alukset_Käynnit!H238</f>
        <v>0</v>
      </c>
      <c r="I231" s="262">
        <f>Alukset_Käynnit!I238</f>
        <v>0</v>
      </c>
      <c r="J231" s="262">
        <f>Alukset_Käynnit!J238</f>
        <v>0</v>
      </c>
      <c r="K231" s="262">
        <f>Alukset_Käynnit!K238</f>
        <v>0</v>
      </c>
      <c r="L231" s="205">
        <f>Alukset_Käynnit!L238</f>
        <v>0</v>
      </c>
      <c r="N231" s="273">
        <f t="shared" si="51"/>
        <v>0</v>
      </c>
      <c r="O231" s="274">
        <f t="shared" si="52"/>
        <v>0</v>
      </c>
      <c r="Q231" s="204">
        <f t="shared" si="41"/>
        <v>0</v>
      </c>
      <c r="R231" s="202">
        <f>IF(Q231="Other dry cargo",L231*Alukset_fx!$B$71,IF(OR(Q231="Dry bulk",Q231="Bulk carrier"),L231*Alukset_fx!$B$69,IF(Q231="Tugboat",L231*Alukset_fx!$B$76,IF(OR(Q231="Tanker",Q231="Gas tanker",Q231="Chemical tanker",Q231="Oil tanker"),L231*Alukset_fx!$B$68,IF(OR(Q231="RoRo",Q231="Vehicle carrier"),L231*Alukset_fx!$B$72,IF(Q231="RoPax",L231*Alukset_fx!$B$73,IF(Q231="Container ship",L231*Alukset_fx!$B$70,IF(Q231="Barge",0,L231*Alukset_fx!$B$75))))))))</f>
        <v>0</v>
      </c>
      <c r="S231" s="210">
        <f>IF(L231=0,IF(Q231="Other dry cargo",Alukset_fx!$H$73*(Alukset_Käynnit_Lask!K231^Alukset_fx!$I$73),IF(OR(Q231="Dry Bulk",Q231="Bulk carrier"),Alukset_fx!$H$71*(Alukset_Käynnit_Lask!K231^Alukset_fx!$I$71),IF(Q231="Tugboat",Alukset_fx!$H$78*(Alukset_Käynnit_Lask!K231^Alukset_fx!$I$78),IF(OR(Q231="Tanker",Q231="Gas tanker",Q231="Chemical tanker",Q231="Oil tanker"),Alukset_fx!$H$70*(Alukset_Käynnit_Lask!K231^Alukset_fx!$I$70),IF(Q231="Container ship",Alukset_fx!$H$72*(Alukset_Käynnit_Lask!K231^Alukset_fx!$I$72),IF(Q231="Barge",0,IF(Q231="RoPax",Alukset_fx!$H$75*(Alukset_Käynnit_Lask!K231^Alukset_fx!$I$75),IF(OR(Q231="RoRo",Q231="Vehicle carrier"),Alukset_fx!$H$74*(Alukset_Käynnit_Lask!K231^Alukset_fx!$I$74),Alukset_fx!$H$77*(Alukset_Käynnit_Lask!K231^Alukset_fx!$I$77))))))))),"-")</f>
        <v>0</v>
      </c>
      <c r="T231" s="208">
        <f>IF(R231=0,IF(Q231="Other dry cargo",S231*Alukset_fx!$B$71,IF(OR(Q231="Dry bulk",Q231="Bulk carrier"),S231*Alukset_fx!$B$69,IF(Q231="Tugboat",S231*Alukset_fx!$B$76,IF(OR(Q231="Tanker",Q231="Gas tanker",Q231="Chemical tanker",Q231="Oil tanker"),S231*Alukset_fx!$B$68,IF(OR(Q231="RoRo",Q231="Vehicle carrier"),S231*Alukset_fx!$B$72,IF(Q231="RoPax",S231*Alukset_fx!$B$73,IF(Q231="Container ship",S231*Alukset_fx!$B$70,S231*Alukset_fx!$B$75))))))),"-")</f>
        <v>0</v>
      </c>
      <c r="U231" s="208">
        <f t="shared" si="42"/>
        <v>0</v>
      </c>
      <c r="V231" s="208">
        <f t="shared" si="43"/>
        <v>0</v>
      </c>
      <c r="W231" s="202">
        <f>Alukset_Käynnit!N238</f>
        <v>0</v>
      </c>
      <c r="X231" s="211">
        <f>IF(Q231="Other dry cargo", Alukset_fx!$C$52, IF(OR(Q231="Dry bulk",Q231="Bulk carrier"),Alukset_fx!$C$35,IF(OR(Q231="Tanker",Q231="Gas tanker",Q231="Oil tanker"),Alukset_fx!$C$57,IF(Q231="Chemical tanker",Alukset_fx!$C$56,IF(OR(Q231="Tugboat",Q231="Barge"),0,IF(Q231="Other vessel",Alukset_fx!$C$54,IF(Q231="Container ship",Alukset_fx!$C$37,IF(OR(Q231="RoPax",Q231="RoRo",Q231="Vehicle carrier"),Alukset_fx!$C$55,0))))))))</f>
        <v>0</v>
      </c>
      <c r="Y231" s="211">
        <f>IF(Q231="Other dry cargo", Alukset_fx!$Q$52, IF(OR(Q231="Dry bulk",Q231="Bulk carrier"),Alukset_fx!$Q$35,IF(OR(Q231="Tanker",Q231="Gas tanker",Q231="Oil tanker"),Alukset_fx!$Q$57,IF(Q231="Chemical tanker",Alukset_fx!$Q$56,IF(OR(Q231="Tugboat",Q231="Barge"),0,IF(Q231="Other vessel",Alukset_fx!$Q$54,IF(Q231="Container ship",Alukset_fx!$Q$37,IF(OR(Q231="RoPax",Q231="RoRo",Q231="Vehicle carrier"),Alukset_fx!$Q$55,0))))))))</f>
        <v>0</v>
      </c>
      <c r="Z231" t="str">
        <f t="shared" si="44"/>
        <v>MDO/MGO</v>
      </c>
      <c r="AA231" t="str">
        <f t="shared" si="45"/>
        <v>MSD</v>
      </c>
      <c r="AB231" t="str">
        <f t="shared" si="46"/>
        <v>MDO/MGO</v>
      </c>
      <c r="AC231" t="str">
        <f t="shared" si="47"/>
        <v>MSD</v>
      </c>
      <c r="AD231" t="str">
        <f t="shared" si="48"/>
        <v>MDO/MGO</v>
      </c>
      <c r="AE231" t="str">
        <f t="shared" si="49"/>
        <v>ST</v>
      </c>
      <c r="AG231">
        <f>Alukset_Käynnit!O238</f>
        <v>0</v>
      </c>
      <c r="AH231" s="207">
        <f>IF(AA231="SSD",((U231*Alukset_fx!$B$24)*Alukset_Käynnit_Lask!W231*(Alukset_fx!$K$49)/1000),IF(AA231="MSD",((U231*Alukset_fx!$B$24)*Alukset_Käynnit_Lask!W231*(Alukset_fx!$K$52)/1000),IF(AA231="HSD",((U231*Alukset_fx!$B$24)*Alukset_Käynnit_Lask!W231*(Alukset_fx!$K$55)/1000),0)))</f>
        <v>0</v>
      </c>
      <c r="AI231" s="207">
        <f>IF(AC231="MSD",((V231*Alukset_fx!$B$25)*Alukset_Käynnit_Lask!W231*(Alukset_fx!$L$52)/1000),IF(AC231="HSD",((V231*Alukset_fx!$B$25)*Alukset_Käynnit_Lask!W231*(Alukset_fx!$L$55)/1000),0))</f>
        <v>0</v>
      </c>
      <c r="AJ231" s="207">
        <f>X231*W231*Alukset_fx!$K$61/1000</f>
        <v>0</v>
      </c>
      <c r="AK231">
        <v>0</v>
      </c>
      <c r="AL231" s="207">
        <f>IF(AG231="Käytetty",0,IF(AC231="MSD",((V231*Alukset_fx!$O$25)*Alukset_Käynnit_Lask!O231*(Alukset_fx!$L$52)/1000),IF(AC231="HSD",((V231*Alukset_fx!$O$25)*Alukset_Käynnit_Lask!O231*(Alukset_fx!$L$55)/1000),0)))</f>
        <v>0</v>
      </c>
      <c r="AM231" s="207">
        <f>IF(AG231="Käytetty",0,Y231*O231*Alukset_fx!$K$61/1000)</f>
        <v>0</v>
      </c>
      <c r="AN231" s="213">
        <f t="shared" si="50"/>
        <v>0</v>
      </c>
    </row>
    <row r="232" spans="1:40" x14ac:dyDescent="0.25">
      <c r="A232" s="203">
        <f>Alukset_Käynnit!A239</f>
        <v>0</v>
      </c>
      <c r="B232" s="203">
        <f>Alukset_Käynnit!B239</f>
        <v>0</v>
      </c>
      <c r="C232" s="262">
        <f>Alukset_Käynnit!C239</f>
        <v>0</v>
      </c>
      <c r="D232" s="266">
        <f>Alukset_Käynnit!D239</f>
        <v>0</v>
      </c>
      <c r="E232" s="262">
        <f>Alukset_Käynnit!E239</f>
        <v>0</v>
      </c>
      <c r="F232" s="262">
        <f>Alukset_Käynnit!F239</f>
        <v>0</v>
      </c>
      <c r="G232" s="262">
        <f>Alukset_Käynnit!G239</f>
        <v>0</v>
      </c>
      <c r="H232" s="262">
        <f>Alukset_Käynnit!H239</f>
        <v>0</v>
      </c>
      <c r="I232" s="262">
        <f>Alukset_Käynnit!I239</f>
        <v>0</v>
      </c>
      <c r="J232" s="262">
        <f>Alukset_Käynnit!J239</f>
        <v>0</v>
      </c>
      <c r="K232" s="262">
        <f>Alukset_Käynnit!K239</f>
        <v>0</v>
      </c>
      <c r="L232" s="205">
        <f>Alukset_Käynnit!L239</f>
        <v>0</v>
      </c>
      <c r="N232" s="273">
        <f t="shared" si="51"/>
        <v>0</v>
      </c>
      <c r="O232" s="274">
        <f t="shared" si="52"/>
        <v>0</v>
      </c>
      <c r="Q232" s="204">
        <f t="shared" si="41"/>
        <v>0</v>
      </c>
      <c r="R232" s="202">
        <f>IF(Q232="Other dry cargo",L232*Alukset_fx!$B$71,IF(OR(Q232="Dry bulk",Q232="Bulk carrier"),L232*Alukset_fx!$B$69,IF(Q232="Tugboat",L232*Alukset_fx!$B$76,IF(OR(Q232="Tanker",Q232="Gas tanker",Q232="Chemical tanker",Q232="Oil tanker"),L232*Alukset_fx!$B$68,IF(OR(Q232="RoRo",Q232="Vehicle carrier"),L232*Alukset_fx!$B$72,IF(Q232="RoPax",L232*Alukset_fx!$B$73,IF(Q232="Container ship",L232*Alukset_fx!$B$70,IF(Q232="Barge",0,L232*Alukset_fx!$B$75))))))))</f>
        <v>0</v>
      </c>
      <c r="S232" s="210">
        <f>IF(L232=0,IF(Q232="Other dry cargo",Alukset_fx!$H$73*(Alukset_Käynnit_Lask!K232^Alukset_fx!$I$73),IF(OR(Q232="Dry Bulk",Q232="Bulk carrier"),Alukset_fx!$H$71*(Alukset_Käynnit_Lask!K232^Alukset_fx!$I$71),IF(Q232="Tugboat",Alukset_fx!$H$78*(Alukset_Käynnit_Lask!K232^Alukset_fx!$I$78),IF(OR(Q232="Tanker",Q232="Gas tanker",Q232="Chemical tanker",Q232="Oil tanker"),Alukset_fx!$H$70*(Alukset_Käynnit_Lask!K232^Alukset_fx!$I$70),IF(Q232="Container ship",Alukset_fx!$H$72*(Alukset_Käynnit_Lask!K232^Alukset_fx!$I$72),IF(Q232="Barge",0,IF(Q232="RoPax",Alukset_fx!$H$75*(Alukset_Käynnit_Lask!K232^Alukset_fx!$I$75),IF(OR(Q232="RoRo",Q232="Vehicle carrier"),Alukset_fx!$H$74*(Alukset_Käynnit_Lask!K232^Alukset_fx!$I$74),Alukset_fx!$H$77*(Alukset_Käynnit_Lask!K232^Alukset_fx!$I$77))))))))),"-")</f>
        <v>0</v>
      </c>
      <c r="T232" s="208">
        <f>IF(R232=0,IF(Q232="Other dry cargo",S232*Alukset_fx!$B$71,IF(OR(Q232="Dry bulk",Q232="Bulk carrier"),S232*Alukset_fx!$B$69,IF(Q232="Tugboat",S232*Alukset_fx!$B$76,IF(OR(Q232="Tanker",Q232="Gas tanker",Q232="Chemical tanker",Q232="Oil tanker"),S232*Alukset_fx!$B$68,IF(OR(Q232="RoRo",Q232="Vehicle carrier"),S232*Alukset_fx!$B$72,IF(Q232="RoPax",S232*Alukset_fx!$B$73,IF(Q232="Container ship",S232*Alukset_fx!$B$70,S232*Alukset_fx!$B$75))))))),"-")</f>
        <v>0</v>
      </c>
      <c r="U232" s="208">
        <f t="shared" si="42"/>
        <v>0</v>
      </c>
      <c r="V232" s="208">
        <f t="shared" si="43"/>
        <v>0</v>
      </c>
      <c r="W232" s="202">
        <f>Alukset_Käynnit!N239</f>
        <v>0</v>
      </c>
      <c r="X232" s="211">
        <f>IF(Q232="Other dry cargo", Alukset_fx!$C$52, IF(OR(Q232="Dry bulk",Q232="Bulk carrier"),Alukset_fx!$C$35,IF(OR(Q232="Tanker",Q232="Gas tanker",Q232="Oil tanker"),Alukset_fx!$C$57,IF(Q232="Chemical tanker",Alukset_fx!$C$56,IF(OR(Q232="Tugboat",Q232="Barge"),0,IF(Q232="Other vessel",Alukset_fx!$C$54,IF(Q232="Container ship",Alukset_fx!$C$37,IF(OR(Q232="RoPax",Q232="RoRo",Q232="Vehicle carrier"),Alukset_fx!$C$55,0))))))))</f>
        <v>0</v>
      </c>
      <c r="Y232" s="211">
        <f>IF(Q232="Other dry cargo", Alukset_fx!$Q$52, IF(OR(Q232="Dry bulk",Q232="Bulk carrier"),Alukset_fx!$Q$35,IF(OR(Q232="Tanker",Q232="Gas tanker",Q232="Oil tanker"),Alukset_fx!$Q$57,IF(Q232="Chemical tanker",Alukset_fx!$Q$56,IF(OR(Q232="Tugboat",Q232="Barge"),0,IF(Q232="Other vessel",Alukset_fx!$Q$54,IF(Q232="Container ship",Alukset_fx!$Q$37,IF(OR(Q232="RoPax",Q232="RoRo",Q232="Vehicle carrier"),Alukset_fx!$Q$55,0))))))))</f>
        <v>0</v>
      </c>
      <c r="Z232" t="str">
        <f t="shared" si="44"/>
        <v>MDO/MGO</v>
      </c>
      <c r="AA232" t="str">
        <f t="shared" si="45"/>
        <v>MSD</v>
      </c>
      <c r="AB232" t="str">
        <f t="shared" si="46"/>
        <v>MDO/MGO</v>
      </c>
      <c r="AC232" t="str">
        <f t="shared" si="47"/>
        <v>MSD</v>
      </c>
      <c r="AD232" t="str">
        <f t="shared" si="48"/>
        <v>MDO/MGO</v>
      </c>
      <c r="AE232" t="str">
        <f t="shared" si="49"/>
        <v>ST</v>
      </c>
      <c r="AG232">
        <f>Alukset_Käynnit!O239</f>
        <v>0</v>
      </c>
      <c r="AH232" s="207">
        <f>IF(AA232="SSD",((U232*Alukset_fx!$B$24)*Alukset_Käynnit_Lask!W232*(Alukset_fx!$K$49)/1000),IF(AA232="MSD",((U232*Alukset_fx!$B$24)*Alukset_Käynnit_Lask!W232*(Alukset_fx!$K$52)/1000),IF(AA232="HSD",((U232*Alukset_fx!$B$24)*Alukset_Käynnit_Lask!W232*(Alukset_fx!$K$55)/1000),0)))</f>
        <v>0</v>
      </c>
      <c r="AI232" s="207">
        <f>IF(AC232="MSD",((V232*Alukset_fx!$B$25)*Alukset_Käynnit_Lask!W232*(Alukset_fx!$L$52)/1000),IF(AC232="HSD",((V232*Alukset_fx!$B$25)*Alukset_Käynnit_Lask!W232*(Alukset_fx!$L$55)/1000),0))</f>
        <v>0</v>
      </c>
      <c r="AJ232" s="207">
        <f>X232*W232*Alukset_fx!$K$61/1000</f>
        <v>0</v>
      </c>
      <c r="AK232">
        <v>0</v>
      </c>
      <c r="AL232" s="207">
        <f>IF(AG232="Käytetty",0,IF(AC232="MSD",((V232*Alukset_fx!$O$25)*Alukset_Käynnit_Lask!O232*(Alukset_fx!$L$52)/1000),IF(AC232="HSD",((V232*Alukset_fx!$O$25)*Alukset_Käynnit_Lask!O232*(Alukset_fx!$L$55)/1000),0)))</f>
        <v>0</v>
      </c>
      <c r="AM232" s="207">
        <f>IF(AG232="Käytetty",0,Y232*O232*Alukset_fx!$K$61/1000)</f>
        <v>0</v>
      </c>
      <c r="AN232" s="213">
        <f t="shared" si="50"/>
        <v>0</v>
      </c>
    </row>
    <row r="233" spans="1:40" x14ac:dyDescent="0.25">
      <c r="A233" s="203">
        <f>Alukset_Käynnit!A240</f>
        <v>0</v>
      </c>
      <c r="B233" s="203">
        <f>Alukset_Käynnit!B240</f>
        <v>0</v>
      </c>
      <c r="C233" s="262">
        <f>Alukset_Käynnit!C240</f>
        <v>0</v>
      </c>
      <c r="D233" s="266">
        <f>Alukset_Käynnit!D240</f>
        <v>0</v>
      </c>
      <c r="E233" s="262">
        <f>Alukset_Käynnit!E240</f>
        <v>0</v>
      </c>
      <c r="F233" s="262">
        <f>Alukset_Käynnit!F240</f>
        <v>0</v>
      </c>
      <c r="G233" s="262">
        <f>Alukset_Käynnit!G240</f>
        <v>0</v>
      </c>
      <c r="H233" s="262">
        <f>Alukset_Käynnit!H240</f>
        <v>0</v>
      </c>
      <c r="I233" s="262">
        <f>Alukset_Käynnit!I240</f>
        <v>0</v>
      </c>
      <c r="J233" s="262">
        <f>Alukset_Käynnit!J240</f>
        <v>0</v>
      </c>
      <c r="K233" s="262">
        <f>Alukset_Käynnit!K240</f>
        <v>0</v>
      </c>
      <c r="L233" s="205">
        <f>Alukset_Käynnit!L240</f>
        <v>0</v>
      </c>
      <c r="N233" s="273">
        <f t="shared" si="51"/>
        <v>0</v>
      </c>
      <c r="O233" s="274">
        <f t="shared" si="52"/>
        <v>0</v>
      </c>
      <c r="Q233" s="204">
        <f t="shared" si="41"/>
        <v>0</v>
      </c>
      <c r="R233" s="202">
        <f>IF(Q233="Other dry cargo",L233*Alukset_fx!$B$71,IF(OR(Q233="Dry bulk",Q233="Bulk carrier"),L233*Alukset_fx!$B$69,IF(Q233="Tugboat",L233*Alukset_fx!$B$76,IF(OR(Q233="Tanker",Q233="Gas tanker",Q233="Chemical tanker",Q233="Oil tanker"),L233*Alukset_fx!$B$68,IF(OR(Q233="RoRo",Q233="Vehicle carrier"),L233*Alukset_fx!$B$72,IF(Q233="RoPax",L233*Alukset_fx!$B$73,IF(Q233="Container ship",L233*Alukset_fx!$B$70,IF(Q233="Barge",0,L233*Alukset_fx!$B$75))))))))</f>
        <v>0</v>
      </c>
      <c r="S233" s="210">
        <f>IF(L233=0,IF(Q233="Other dry cargo",Alukset_fx!$H$73*(Alukset_Käynnit_Lask!K233^Alukset_fx!$I$73),IF(OR(Q233="Dry Bulk",Q233="Bulk carrier"),Alukset_fx!$H$71*(Alukset_Käynnit_Lask!K233^Alukset_fx!$I$71),IF(Q233="Tugboat",Alukset_fx!$H$78*(Alukset_Käynnit_Lask!K233^Alukset_fx!$I$78),IF(OR(Q233="Tanker",Q233="Gas tanker",Q233="Chemical tanker",Q233="Oil tanker"),Alukset_fx!$H$70*(Alukset_Käynnit_Lask!K233^Alukset_fx!$I$70),IF(Q233="Container ship",Alukset_fx!$H$72*(Alukset_Käynnit_Lask!K233^Alukset_fx!$I$72),IF(Q233="Barge",0,IF(Q233="RoPax",Alukset_fx!$H$75*(Alukset_Käynnit_Lask!K233^Alukset_fx!$I$75),IF(OR(Q233="RoRo",Q233="Vehicle carrier"),Alukset_fx!$H$74*(Alukset_Käynnit_Lask!K233^Alukset_fx!$I$74),Alukset_fx!$H$77*(Alukset_Käynnit_Lask!K233^Alukset_fx!$I$77))))))))),"-")</f>
        <v>0</v>
      </c>
      <c r="T233" s="208">
        <f>IF(R233=0,IF(Q233="Other dry cargo",S233*Alukset_fx!$B$71,IF(OR(Q233="Dry bulk",Q233="Bulk carrier"),S233*Alukset_fx!$B$69,IF(Q233="Tugboat",S233*Alukset_fx!$B$76,IF(OR(Q233="Tanker",Q233="Gas tanker",Q233="Chemical tanker",Q233="Oil tanker"),S233*Alukset_fx!$B$68,IF(OR(Q233="RoRo",Q233="Vehicle carrier"),S233*Alukset_fx!$B$72,IF(Q233="RoPax",S233*Alukset_fx!$B$73,IF(Q233="Container ship",S233*Alukset_fx!$B$70,S233*Alukset_fx!$B$75))))))),"-")</f>
        <v>0</v>
      </c>
      <c r="U233" s="208">
        <f t="shared" si="42"/>
        <v>0</v>
      </c>
      <c r="V233" s="208">
        <f t="shared" si="43"/>
        <v>0</v>
      </c>
      <c r="W233" s="202">
        <f>Alukset_Käynnit!N240</f>
        <v>0</v>
      </c>
      <c r="X233" s="211">
        <f>IF(Q233="Other dry cargo", Alukset_fx!$C$52, IF(OR(Q233="Dry bulk",Q233="Bulk carrier"),Alukset_fx!$C$35,IF(OR(Q233="Tanker",Q233="Gas tanker",Q233="Oil tanker"),Alukset_fx!$C$57,IF(Q233="Chemical tanker",Alukset_fx!$C$56,IF(OR(Q233="Tugboat",Q233="Barge"),0,IF(Q233="Other vessel",Alukset_fx!$C$54,IF(Q233="Container ship",Alukset_fx!$C$37,IF(OR(Q233="RoPax",Q233="RoRo",Q233="Vehicle carrier"),Alukset_fx!$C$55,0))))))))</f>
        <v>0</v>
      </c>
      <c r="Y233" s="211">
        <f>IF(Q233="Other dry cargo", Alukset_fx!$Q$52, IF(OR(Q233="Dry bulk",Q233="Bulk carrier"),Alukset_fx!$Q$35,IF(OR(Q233="Tanker",Q233="Gas tanker",Q233="Oil tanker"),Alukset_fx!$Q$57,IF(Q233="Chemical tanker",Alukset_fx!$Q$56,IF(OR(Q233="Tugboat",Q233="Barge"),0,IF(Q233="Other vessel",Alukset_fx!$Q$54,IF(Q233="Container ship",Alukset_fx!$Q$37,IF(OR(Q233="RoPax",Q233="RoRo",Q233="Vehicle carrier"),Alukset_fx!$Q$55,0))))))))</f>
        <v>0</v>
      </c>
      <c r="Z233" t="str">
        <f t="shared" si="44"/>
        <v>MDO/MGO</v>
      </c>
      <c r="AA233" t="str">
        <f t="shared" si="45"/>
        <v>MSD</v>
      </c>
      <c r="AB233" t="str">
        <f t="shared" si="46"/>
        <v>MDO/MGO</v>
      </c>
      <c r="AC233" t="str">
        <f t="shared" si="47"/>
        <v>MSD</v>
      </c>
      <c r="AD233" t="str">
        <f t="shared" si="48"/>
        <v>MDO/MGO</v>
      </c>
      <c r="AE233" t="str">
        <f t="shared" si="49"/>
        <v>ST</v>
      </c>
      <c r="AG233">
        <f>Alukset_Käynnit!O240</f>
        <v>0</v>
      </c>
      <c r="AH233" s="207">
        <f>IF(AA233="SSD",((U233*Alukset_fx!$B$24)*Alukset_Käynnit_Lask!W233*(Alukset_fx!$K$49)/1000),IF(AA233="MSD",((U233*Alukset_fx!$B$24)*Alukset_Käynnit_Lask!W233*(Alukset_fx!$K$52)/1000),IF(AA233="HSD",((U233*Alukset_fx!$B$24)*Alukset_Käynnit_Lask!W233*(Alukset_fx!$K$55)/1000),0)))</f>
        <v>0</v>
      </c>
      <c r="AI233" s="207">
        <f>IF(AC233="MSD",((V233*Alukset_fx!$B$25)*Alukset_Käynnit_Lask!W233*(Alukset_fx!$L$52)/1000),IF(AC233="HSD",((V233*Alukset_fx!$B$25)*Alukset_Käynnit_Lask!W233*(Alukset_fx!$L$55)/1000),0))</f>
        <v>0</v>
      </c>
      <c r="AJ233" s="207">
        <f>X233*W233*Alukset_fx!$K$61/1000</f>
        <v>0</v>
      </c>
      <c r="AK233">
        <v>0</v>
      </c>
      <c r="AL233" s="207">
        <f>IF(AG233="Käytetty",0,IF(AC233="MSD",((V233*Alukset_fx!$O$25)*Alukset_Käynnit_Lask!O233*(Alukset_fx!$L$52)/1000),IF(AC233="HSD",((V233*Alukset_fx!$O$25)*Alukset_Käynnit_Lask!O233*(Alukset_fx!$L$55)/1000),0)))</f>
        <v>0</v>
      </c>
      <c r="AM233" s="207">
        <f>IF(AG233="Käytetty",0,Y233*O233*Alukset_fx!$K$61/1000)</f>
        <v>0</v>
      </c>
      <c r="AN233" s="213">
        <f t="shared" si="50"/>
        <v>0</v>
      </c>
    </row>
    <row r="234" spans="1:40" x14ac:dyDescent="0.25">
      <c r="A234" s="203">
        <f>Alukset_Käynnit!A241</f>
        <v>0</v>
      </c>
      <c r="B234" s="203">
        <f>Alukset_Käynnit!B241</f>
        <v>0</v>
      </c>
      <c r="C234" s="262">
        <f>Alukset_Käynnit!C241</f>
        <v>0</v>
      </c>
      <c r="D234" s="266">
        <f>Alukset_Käynnit!D241</f>
        <v>0</v>
      </c>
      <c r="E234" s="262">
        <f>Alukset_Käynnit!E241</f>
        <v>0</v>
      </c>
      <c r="F234" s="262">
        <f>Alukset_Käynnit!F241</f>
        <v>0</v>
      </c>
      <c r="G234" s="262">
        <f>Alukset_Käynnit!G241</f>
        <v>0</v>
      </c>
      <c r="H234" s="262">
        <f>Alukset_Käynnit!H241</f>
        <v>0</v>
      </c>
      <c r="I234" s="262">
        <f>Alukset_Käynnit!I241</f>
        <v>0</v>
      </c>
      <c r="J234" s="262">
        <f>Alukset_Käynnit!J241</f>
        <v>0</v>
      </c>
      <c r="K234" s="262">
        <f>Alukset_Käynnit!K241</f>
        <v>0</v>
      </c>
      <c r="L234" s="205">
        <f>Alukset_Käynnit!L241</f>
        <v>0</v>
      </c>
      <c r="N234" s="273">
        <f t="shared" si="51"/>
        <v>0</v>
      </c>
      <c r="O234" s="274">
        <f t="shared" si="52"/>
        <v>0</v>
      </c>
      <c r="Q234" s="204">
        <f t="shared" si="41"/>
        <v>0</v>
      </c>
      <c r="R234" s="202">
        <f>IF(Q234="Other dry cargo",L234*Alukset_fx!$B$71,IF(OR(Q234="Dry bulk",Q234="Bulk carrier"),L234*Alukset_fx!$B$69,IF(Q234="Tugboat",L234*Alukset_fx!$B$76,IF(OR(Q234="Tanker",Q234="Gas tanker",Q234="Chemical tanker",Q234="Oil tanker"),L234*Alukset_fx!$B$68,IF(OR(Q234="RoRo",Q234="Vehicle carrier"),L234*Alukset_fx!$B$72,IF(Q234="RoPax",L234*Alukset_fx!$B$73,IF(Q234="Container ship",L234*Alukset_fx!$B$70,IF(Q234="Barge",0,L234*Alukset_fx!$B$75))))))))</f>
        <v>0</v>
      </c>
      <c r="S234" s="210">
        <f>IF(L234=0,IF(Q234="Other dry cargo",Alukset_fx!$H$73*(Alukset_Käynnit_Lask!K234^Alukset_fx!$I$73),IF(OR(Q234="Dry Bulk",Q234="Bulk carrier"),Alukset_fx!$H$71*(Alukset_Käynnit_Lask!K234^Alukset_fx!$I$71),IF(Q234="Tugboat",Alukset_fx!$H$78*(Alukset_Käynnit_Lask!K234^Alukset_fx!$I$78),IF(OR(Q234="Tanker",Q234="Gas tanker",Q234="Chemical tanker",Q234="Oil tanker"),Alukset_fx!$H$70*(Alukset_Käynnit_Lask!K234^Alukset_fx!$I$70),IF(Q234="Container ship",Alukset_fx!$H$72*(Alukset_Käynnit_Lask!K234^Alukset_fx!$I$72),IF(Q234="Barge",0,IF(Q234="RoPax",Alukset_fx!$H$75*(Alukset_Käynnit_Lask!K234^Alukset_fx!$I$75),IF(OR(Q234="RoRo",Q234="Vehicle carrier"),Alukset_fx!$H$74*(Alukset_Käynnit_Lask!K234^Alukset_fx!$I$74),Alukset_fx!$H$77*(Alukset_Käynnit_Lask!K234^Alukset_fx!$I$77))))))))),"-")</f>
        <v>0</v>
      </c>
      <c r="T234" s="208">
        <f>IF(R234=0,IF(Q234="Other dry cargo",S234*Alukset_fx!$B$71,IF(OR(Q234="Dry bulk",Q234="Bulk carrier"),S234*Alukset_fx!$B$69,IF(Q234="Tugboat",S234*Alukset_fx!$B$76,IF(OR(Q234="Tanker",Q234="Gas tanker",Q234="Chemical tanker",Q234="Oil tanker"),S234*Alukset_fx!$B$68,IF(OR(Q234="RoRo",Q234="Vehicle carrier"),S234*Alukset_fx!$B$72,IF(Q234="RoPax",S234*Alukset_fx!$B$73,IF(Q234="Container ship",S234*Alukset_fx!$B$70,S234*Alukset_fx!$B$75))))))),"-")</f>
        <v>0</v>
      </c>
      <c r="U234" s="208">
        <f t="shared" si="42"/>
        <v>0</v>
      </c>
      <c r="V234" s="208">
        <f t="shared" si="43"/>
        <v>0</v>
      </c>
      <c r="W234" s="202">
        <f>Alukset_Käynnit!N241</f>
        <v>0</v>
      </c>
      <c r="X234" s="211">
        <f>IF(Q234="Other dry cargo", Alukset_fx!$C$52, IF(OR(Q234="Dry bulk",Q234="Bulk carrier"),Alukset_fx!$C$35,IF(OR(Q234="Tanker",Q234="Gas tanker",Q234="Oil tanker"),Alukset_fx!$C$57,IF(Q234="Chemical tanker",Alukset_fx!$C$56,IF(OR(Q234="Tugboat",Q234="Barge"),0,IF(Q234="Other vessel",Alukset_fx!$C$54,IF(Q234="Container ship",Alukset_fx!$C$37,IF(OR(Q234="RoPax",Q234="RoRo",Q234="Vehicle carrier"),Alukset_fx!$C$55,0))))))))</f>
        <v>0</v>
      </c>
      <c r="Y234" s="211">
        <f>IF(Q234="Other dry cargo", Alukset_fx!$Q$52, IF(OR(Q234="Dry bulk",Q234="Bulk carrier"),Alukset_fx!$Q$35,IF(OR(Q234="Tanker",Q234="Gas tanker",Q234="Oil tanker"),Alukset_fx!$Q$57,IF(Q234="Chemical tanker",Alukset_fx!$Q$56,IF(OR(Q234="Tugboat",Q234="Barge"),0,IF(Q234="Other vessel",Alukset_fx!$Q$54,IF(Q234="Container ship",Alukset_fx!$Q$37,IF(OR(Q234="RoPax",Q234="RoRo",Q234="Vehicle carrier"),Alukset_fx!$Q$55,0))))))))</f>
        <v>0</v>
      </c>
      <c r="Z234" t="str">
        <f t="shared" si="44"/>
        <v>MDO/MGO</v>
      </c>
      <c r="AA234" t="str">
        <f t="shared" si="45"/>
        <v>MSD</v>
      </c>
      <c r="AB234" t="str">
        <f t="shared" si="46"/>
        <v>MDO/MGO</v>
      </c>
      <c r="AC234" t="str">
        <f t="shared" si="47"/>
        <v>MSD</v>
      </c>
      <c r="AD234" t="str">
        <f t="shared" si="48"/>
        <v>MDO/MGO</v>
      </c>
      <c r="AE234" t="str">
        <f t="shared" si="49"/>
        <v>ST</v>
      </c>
      <c r="AG234">
        <f>Alukset_Käynnit!O241</f>
        <v>0</v>
      </c>
      <c r="AH234" s="207">
        <f>IF(AA234="SSD",((U234*Alukset_fx!$B$24)*Alukset_Käynnit_Lask!W234*(Alukset_fx!$K$49)/1000),IF(AA234="MSD",((U234*Alukset_fx!$B$24)*Alukset_Käynnit_Lask!W234*(Alukset_fx!$K$52)/1000),IF(AA234="HSD",((U234*Alukset_fx!$B$24)*Alukset_Käynnit_Lask!W234*(Alukset_fx!$K$55)/1000),0)))</f>
        <v>0</v>
      </c>
      <c r="AI234" s="207">
        <f>IF(AC234="MSD",((V234*Alukset_fx!$B$25)*Alukset_Käynnit_Lask!W234*(Alukset_fx!$L$52)/1000),IF(AC234="HSD",((V234*Alukset_fx!$B$25)*Alukset_Käynnit_Lask!W234*(Alukset_fx!$L$55)/1000),0))</f>
        <v>0</v>
      </c>
      <c r="AJ234" s="207">
        <f>X234*W234*Alukset_fx!$K$61/1000</f>
        <v>0</v>
      </c>
      <c r="AK234">
        <v>0</v>
      </c>
      <c r="AL234" s="207">
        <f>IF(AG234="Käytetty",0,IF(AC234="MSD",((V234*Alukset_fx!$O$25)*Alukset_Käynnit_Lask!O234*(Alukset_fx!$L$52)/1000),IF(AC234="HSD",((V234*Alukset_fx!$O$25)*Alukset_Käynnit_Lask!O234*(Alukset_fx!$L$55)/1000),0)))</f>
        <v>0</v>
      </c>
      <c r="AM234" s="207">
        <f>IF(AG234="Käytetty",0,Y234*O234*Alukset_fx!$K$61/1000)</f>
        <v>0</v>
      </c>
      <c r="AN234" s="213">
        <f t="shared" si="50"/>
        <v>0</v>
      </c>
    </row>
    <row r="235" spans="1:40" x14ac:dyDescent="0.25">
      <c r="A235" s="203">
        <f>Alukset_Käynnit!A242</f>
        <v>0</v>
      </c>
      <c r="B235" s="203">
        <f>Alukset_Käynnit!B242</f>
        <v>0</v>
      </c>
      <c r="C235" s="262">
        <f>Alukset_Käynnit!C242</f>
        <v>0</v>
      </c>
      <c r="D235" s="266">
        <f>Alukset_Käynnit!D242</f>
        <v>0</v>
      </c>
      <c r="E235" s="262">
        <f>Alukset_Käynnit!E242</f>
        <v>0</v>
      </c>
      <c r="F235" s="262">
        <f>Alukset_Käynnit!F242</f>
        <v>0</v>
      </c>
      <c r="G235" s="262">
        <f>Alukset_Käynnit!G242</f>
        <v>0</v>
      </c>
      <c r="H235" s="262">
        <f>Alukset_Käynnit!H242</f>
        <v>0</v>
      </c>
      <c r="I235" s="262">
        <f>Alukset_Käynnit!I242</f>
        <v>0</v>
      </c>
      <c r="J235" s="262">
        <f>Alukset_Käynnit!J242</f>
        <v>0</v>
      </c>
      <c r="K235" s="262">
        <f>Alukset_Käynnit!K242</f>
        <v>0</v>
      </c>
      <c r="L235" s="205">
        <f>Alukset_Käynnit!L242</f>
        <v>0</v>
      </c>
      <c r="N235" s="273">
        <f t="shared" si="51"/>
        <v>0</v>
      </c>
      <c r="O235" s="274">
        <f t="shared" si="52"/>
        <v>0</v>
      </c>
      <c r="Q235" s="204">
        <f t="shared" si="41"/>
        <v>0</v>
      </c>
      <c r="R235" s="202">
        <f>IF(Q235="Other dry cargo",L235*Alukset_fx!$B$71,IF(OR(Q235="Dry bulk",Q235="Bulk carrier"),L235*Alukset_fx!$B$69,IF(Q235="Tugboat",L235*Alukset_fx!$B$76,IF(OR(Q235="Tanker",Q235="Gas tanker",Q235="Chemical tanker",Q235="Oil tanker"),L235*Alukset_fx!$B$68,IF(OR(Q235="RoRo",Q235="Vehicle carrier"),L235*Alukset_fx!$B$72,IF(Q235="RoPax",L235*Alukset_fx!$B$73,IF(Q235="Container ship",L235*Alukset_fx!$B$70,IF(Q235="Barge",0,L235*Alukset_fx!$B$75))))))))</f>
        <v>0</v>
      </c>
      <c r="S235" s="210">
        <f>IF(L235=0,IF(Q235="Other dry cargo",Alukset_fx!$H$73*(Alukset_Käynnit_Lask!K235^Alukset_fx!$I$73),IF(OR(Q235="Dry Bulk",Q235="Bulk carrier"),Alukset_fx!$H$71*(Alukset_Käynnit_Lask!K235^Alukset_fx!$I$71),IF(Q235="Tugboat",Alukset_fx!$H$78*(Alukset_Käynnit_Lask!K235^Alukset_fx!$I$78),IF(OR(Q235="Tanker",Q235="Gas tanker",Q235="Chemical tanker",Q235="Oil tanker"),Alukset_fx!$H$70*(Alukset_Käynnit_Lask!K235^Alukset_fx!$I$70),IF(Q235="Container ship",Alukset_fx!$H$72*(Alukset_Käynnit_Lask!K235^Alukset_fx!$I$72),IF(Q235="Barge",0,IF(Q235="RoPax",Alukset_fx!$H$75*(Alukset_Käynnit_Lask!K235^Alukset_fx!$I$75),IF(OR(Q235="RoRo",Q235="Vehicle carrier"),Alukset_fx!$H$74*(Alukset_Käynnit_Lask!K235^Alukset_fx!$I$74),Alukset_fx!$H$77*(Alukset_Käynnit_Lask!K235^Alukset_fx!$I$77))))))))),"-")</f>
        <v>0</v>
      </c>
      <c r="T235" s="208">
        <f>IF(R235=0,IF(Q235="Other dry cargo",S235*Alukset_fx!$B$71,IF(OR(Q235="Dry bulk",Q235="Bulk carrier"),S235*Alukset_fx!$B$69,IF(Q235="Tugboat",S235*Alukset_fx!$B$76,IF(OR(Q235="Tanker",Q235="Gas tanker",Q235="Chemical tanker",Q235="Oil tanker"),S235*Alukset_fx!$B$68,IF(OR(Q235="RoRo",Q235="Vehicle carrier"),S235*Alukset_fx!$B$72,IF(Q235="RoPax",S235*Alukset_fx!$B$73,IF(Q235="Container ship",S235*Alukset_fx!$B$70,S235*Alukset_fx!$B$75))))))),"-")</f>
        <v>0</v>
      </c>
      <c r="U235" s="208">
        <f t="shared" si="42"/>
        <v>0</v>
      </c>
      <c r="V235" s="208">
        <f t="shared" si="43"/>
        <v>0</v>
      </c>
      <c r="W235" s="202">
        <f>Alukset_Käynnit!N242</f>
        <v>0</v>
      </c>
      <c r="X235" s="211">
        <f>IF(Q235="Other dry cargo", Alukset_fx!$C$52, IF(OR(Q235="Dry bulk",Q235="Bulk carrier"),Alukset_fx!$C$35,IF(OR(Q235="Tanker",Q235="Gas tanker",Q235="Oil tanker"),Alukset_fx!$C$57,IF(Q235="Chemical tanker",Alukset_fx!$C$56,IF(OR(Q235="Tugboat",Q235="Barge"),0,IF(Q235="Other vessel",Alukset_fx!$C$54,IF(Q235="Container ship",Alukset_fx!$C$37,IF(OR(Q235="RoPax",Q235="RoRo",Q235="Vehicle carrier"),Alukset_fx!$C$55,0))))))))</f>
        <v>0</v>
      </c>
      <c r="Y235" s="211">
        <f>IF(Q235="Other dry cargo", Alukset_fx!$Q$52, IF(OR(Q235="Dry bulk",Q235="Bulk carrier"),Alukset_fx!$Q$35,IF(OR(Q235="Tanker",Q235="Gas tanker",Q235="Oil tanker"),Alukset_fx!$Q$57,IF(Q235="Chemical tanker",Alukset_fx!$Q$56,IF(OR(Q235="Tugboat",Q235="Barge"),0,IF(Q235="Other vessel",Alukset_fx!$Q$54,IF(Q235="Container ship",Alukset_fx!$Q$37,IF(OR(Q235="RoPax",Q235="RoRo",Q235="Vehicle carrier"),Alukset_fx!$Q$55,0))))))))</f>
        <v>0</v>
      </c>
      <c r="Z235" t="str">
        <f t="shared" si="44"/>
        <v>MDO/MGO</v>
      </c>
      <c r="AA235" t="str">
        <f t="shared" si="45"/>
        <v>MSD</v>
      </c>
      <c r="AB235" t="str">
        <f t="shared" si="46"/>
        <v>MDO/MGO</v>
      </c>
      <c r="AC235" t="str">
        <f t="shared" si="47"/>
        <v>MSD</v>
      </c>
      <c r="AD235" t="str">
        <f t="shared" si="48"/>
        <v>MDO/MGO</v>
      </c>
      <c r="AE235" t="str">
        <f t="shared" si="49"/>
        <v>ST</v>
      </c>
      <c r="AG235">
        <f>Alukset_Käynnit!O242</f>
        <v>0</v>
      </c>
      <c r="AH235" s="207">
        <f>IF(AA235="SSD",((U235*Alukset_fx!$B$24)*Alukset_Käynnit_Lask!W235*(Alukset_fx!$K$49)/1000),IF(AA235="MSD",((U235*Alukset_fx!$B$24)*Alukset_Käynnit_Lask!W235*(Alukset_fx!$K$52)/1000),IF(AA235="HSD",((U235*Alukset_fx!$B$24)*Alukset_Käynnit_Lask!W235*(Alukset_fx!$K$55)/1000),0)))</f>
        <v>0</v>
      </c>
      <c r="AI235" s="207">
        <f>IF(AC235="MSD",((V235*Alukset_fx!$B$25)*Alukset_Käynnit_Lask!W235*(Alukset_fx!$L$52)/1000),IF(AC235="HSD",((V235*Alukset_fx!$B$25)*Alukset_Käynnit_Lask!W235*(Alukset_fx!$L$55)/1000),0))</f>
        <v>0</v>
      </c>
      <c r="AJ235" s="207">
        <f>X235*W235*Alukset_fx!$K$61/1000</f>
        <v>0</v>
      </c>
      <c r="AK235">
        <v>0</v>
      </c>
      <c r="AL235" s="207">
        <f>IF(AG235="Käytetty",0,IF(AC235="MSD",((V235*Alukset_fx!$O$25)*Alukset_Käynnit_Lask!O235*(Alukset_fx!$L$52)/1000),IF(AC235="HSD",((V235*Alukset_fx!$O$25)*Alukset_Käynnit_Lask!O235*(Alukset_fx!$L$55)/1000),0)))</f>
        <v>0</v>
      </c>
      <c r="AM235" s="207">
        <f>IF(AG235="Käytetty",0,Y235*O235*Alukset_fx!$K$61/1000)</f>
        <v>0</v>
      </c>
      <c r="AN235" s="213">
        <f t="shared" si="50"/>
        <v>0</v>
      </c>
    </row>
    <row r="236" spans="1:40" x14ac:dyDescent="0.25">
      <c r="A236" s="203">
        <f>Alukset_Käynnit!A243</f>
        <v>0</v>
      </c>
      <c r="B236" s="203">
        <f>Alukset_Käynnit!B243</f>
        <v>0</v>
      </c>
      <c r="C236" s="262">
        <f>Alukset_Käynnit!C243</f>
        <v>0</v>
      </c>
      <c r="D236" s="266">
        <f>Alukset_Käynnit!D243</f>
        <v>0</v>
      </c>
      <c r="E236" s="262">
        <f>Alukset_Käynnit!E243</f>
        <v>0</v>
      </c>
      <c r="F236" s="262">
        <f>Alukset_Käynnit!F243</f>
        <v>0</v>
      </c>
      <c r="G236" s="262">
        <f>Alukset_Käynnit!G243</f>
        <v>0</v>
      </c>
      <c r="H236" s="262">
        <f>Alukset_Käynnit!H243</f>
        <v>0</v>
      </c>
      <c r="I236" s="262">
        <f>Alukset_Käynnit!I243</f>
        <v>0</v>
      </c>
      <c r="J236" s="262">
        <f>Alukset_Käynnit!J243</f>
        <v>0</v>
      </c>
      <c r="K236" s="262">
        <f>Alukset_Käynnit!K243</f>
        <v>0</v>
      </c>
      <c r="L236" s="205">
        <f>Alukset_Käynnit!L243</f>
        <v>0</v>
      </c>
      <c r="N236" s="273">
        <f t="shared" si="51"/>
        <v>0</v>
      </c>
      <c r="O236" s="274">
        <f t="shared" si="52"/>
        <v>0</v>
      </c>
      <c r="Q236" s="204">
        <f t="shared" si="41"/>
        <v>0</v>
      </c>
      <c r="R236" s="202">
        <f>IF(Q236="Other dry cargo",L236*Alukset_fx!$B$71,IF(OR(Q236="Dry bulk",Q236="Bulk carrier"),L236*Alukset_fx!$B$69,IF(Q236="Tugboat",L236*Alukset_fx!$B$76,IF(OR(Q236="Tanker",Q236="Gas tanker",Q236="Chemical tanker",Q236="Oil tanker"),L236*Alukset_fx!$B$68,IF(OR(Q236="RoRo",Q236="Vehicle carrier"),L236*Alukset_fx!$B$72,IF(Q236="RoPax",L236*Alukset_fx!$B$73,IF(Q236="Container ship",L236*Alukset_fx!$B$70,IF(Q236="Barge",0,L236*Alukset_fx!$B$75))))))))</f>
        <v>0</v>
      </c>
      <c r="S236" s="210">
        <f>IF(L236=0,IF(Q236="Other dry cargo",Alukset_fx!$H$73*(Alukset_Käynnit_Lask!K236^Alukset_fx!$I$73),IF(OR(Q236="Dry Bulk",Q236="Bulk carrier"),Alukset_fx!$H$71*(Alukset_Käynnit_Lask!K236^Alukset_fx!$I$71),IF(Q236="Tugboat",Alukset_fx!$H$78*(Alukset_Käynnit_Lask!K236^Alukset_fx!$I$78),IF(OR(Q236="Tanker",Q236="Gas tanker",Q236="Chemical tanker",Q236="Oil tanker"),Alukset_fx!$H$70*(Alukset_Käynnit_Lask!K236^Alukset_fx!$I$70),IF(Q236="Container ship",Alukset_fx!$H$72*(Alukset_Käynnit_Lask!K236^Alukset_fx!$I$72),IF(Q236="Barge",0,IF(Q236="RoPax",Alukset_fx!$H$75*(Alukset_Käynnit_Lask!K236^Alukset_fx!$I$75),IF(OR(Q236="RoRo",Q236="Vehicle carrier"),Alukset_fx!$H$74*(Alukset_Käynnit_Lask!K236^Alukset_fx!$I$74),Alukset_fx!$H$77*(Alukset_Käynnit_Lask!K236^Alukset_fx!$I$77))))))))),"-")</f>
        <v>0</v>
      </c>
      <c r="T236" s="208">
        <f>IF(R236=0,IF(Q236="Other dry cargo",S236*Alukset_fx!$B$71,IF(OR(Q236="Dry bulk",Q236="Bulk carrier"),S236*Alukset_fx!$B$69,IF(Q236="Tugboat",S236*Alukset_fx!$B$76,IF(OR(Q236="Tanker",Q236="Gas tanker",Q236="Chemical tanker",Q236="Oil tanker"),S236*Alukset_fx!$B$68,IF(OR(Q236="RoRo",Q236="Vehicle carrier"),S236*Alukset_fx!$B$72,IF(Q236="RoPax",S236*Alukset_fx!$B$73,IF(Q236="Container ship",S236*Alukset_fx!$B$70,S236*Alukset_fx!$B$75))))))),"-")</f>
        <v>0</v>
      </c>
      <c r="U236" s="208">
        <f t="shared" si="42"/>
        <v>0</v>
      </c>
      <c r="V236" s="208">
        <f t="shared" si="43"/>
        <v>0</v>
      </c>
      <c r="W236" s="202">
        <f>Alukset_Käynnit!N243</f>
        <v>0</v>
      </c>
      <c r="X236" s="211">
        <f>IF(Q236="Other dry cargo", Alukset_fx!$C$52, IF(OR(Q236="Dry bulk",Q236="Bulk carrier"),Alukset_fx!$C$35,IF(OR(Q236="Tanker",Q236="Gas tanker",Q236="Oil tanker"),Alukset_fx!$C$57,IF(Q236="Chemical tanker",Alukset_fx!$C$56,IF(OR(Q236="Tugboat",Q236="Barge"),0,IF(Q236="Other vessel",Alukset_fx!$C$54,IF(Q236="Container ship",Alukset_fx!$C$37,IF(OR(Q236="RoPax",Q236="RoRo",Q236="Vehicle carrier"),Alukset_fx!$C$55,0))))))))</f>
        <v>0</v>
      </c>
      <c r="Y236" s="211">
        <f>IF(Q236="Other dry cargo", Alukset_fx!$Q$52, IF(OR(Q236="Dry bulk",Q236="Bulk carrier"),Alukset_fx!$Q$35,IF(OR(Q236="Tanker",Q236="Gas tanker",Q236="Oil tanker"),Alukset_fx!$Q$57,IF(Q236="Chemical tanker",Alukset_fx!$Q$56,IF(OR(Q236="Tugboat",Q236="Barge"),0,IF(Q236="Other vessel",Alukset_fx!$Q$54,IF(Q236="Container ship",Alukset_fx!$Q$37,IF(OR(Q236="RoPax",Q236="RoRo",Q236="Vehicle carrier"),Alukset_fx!$Q$55,0))))))))</f>
        <v>0</v>
      </c>
      <c r="Z236" t="str">
        <f t="shared" si="44"/>
        <v>MDO/MGO</v>
      </c>
      <c r="AA236" t="str">
        <f t="shared" si="45"/>
        <v>MSD</v>
      </c>
      <c r="AB236" t="str">
        <f t="shared" si="46"/>
        <v>MDO/MGO</v>
      </c>
      <c r="AC236" t="str">
        <f t="shared" si="47"/>
        <v>MSD</v>
      </c>
      <c r="AD236" t="str">
        <f t="shared" si="48"/>
        <v>MDO/MGO</v>
      </c>
      <c r="AE236" t="str">
        <f t="shared" si="49"/>
        <v>ST</v>
      </c>
      <c r="AG236">
        <f>Alukset_Käynnit!O243</f>
        <v>0</v>
      </c>
      <c r="AH236" s="207">
        <f>IF(AA236="SSD",((U236*Alukset_fx!$B$24)*Alukset_Käynnit_Lask!W236*(Alukset_fx!$K$49)/1000),IF(AA236="MSD",((U236*Alukset_fx!$B$24)*Alukset_Käynnit_Lask!W236*(Alukset_fx!$K$52)/1000),IF(AA236="HSD",((U236*Alukset_fx!$B$24)*Alukset_Käynnit_Lask!W236*(Alukset_fx!$K$55)/1000),0)))</f>
        <v>0</v>
      </c>
      <c r="AI236" s="207">
        <f>IF(AC236="MSD",((V236*Alukset_fx!$B$25)*Alukset_Käynnit_Lask!W236*(Alukset_fx!$L$52)/1000),IF(AC236="HSD",((V236*Alukset_fx!$B$25)*Alukset_Käynnit_Lask!W236*(Alukset_fx!$L$55)/1000),0))</f>
        <v>0</v>
      </c>
      <c r="AJ236" s="207">
        <f>X236*W236*Alukset_fx!$K$61/1000</f>
        <v>0</v>
      </c>
      <c r="AK236">
        <v>0</v>
      </c>
      <c r="AL236" s="207">
        <f>IF(AG236="Käytetty",0,IF(AC236="MSD",((V236*Alukset_fx!$O$25)*Alukset_Käynnit_Lask!O236*(Alukset_fx!$L$52)/1000),IF(AC236="HSD",((V236*Alukset_fx!$O$25)*Alukset_Käynnit_Lask!O236*(Alukset_fx!$L$55)/1000),0)))</f>
        <v>0</v>
      </c>
      <c r="AM236" s="207">
        <f>IF(AG236="Käytetty",0,Y236*O236*Alukset_fx!$K$61/1000)</f>
        <v>0</v>
      </c>
      <c r="AN236" s="213">
        <f t="shared" si="50"/>
        <v>0</v>
      </c>
    </row>
    <row r="237" spans="1:40" x14ac:dyDescent="0.25">
      <c r="A237" s="203">
        <f>Alukset_Käynnit!A244</f>
        <v>0</v>
      </c>
      <c r="B237" s="203">
        <f>Alukset_Käynnit!B244</f>
        <v>0</v>
      </c>
      <c r="C237" s="262">
        <f>Alukset_Käynnit!C244</f>
        <v>0</v>
      </c>
      <c r="D237" s="266">
        <f>Alukset_Käynnit!D244</f>
        <v>0</v>
      </c>
      <c r="E237" s="262">
        <f>Alukset_Käynnit!E244</f>
        <v>0</v>
      </c>
      <c r="F237" s="262">
        <f>Alukset_Käynnit!F244</f>
        <v>0</v>
      </c>
      <c r="G237" s="262">
        <f>Alukset_Käynnit!G244</f>
        <v>0</v>
      </c>
      <c r="H237" s="262">
        <f>Alukset_Käynnit!H244</f>
        <v>0</v>
      </c>
      <c r="I237" s="262">
        <f>Alukset_Käynnit!I244</f>
        <v>0</v>
      </c>
      <c r="J237" s="262">
        <f>Alukset_Käynnit!J244</f>
        <v>0</v>
      </c>
      <c r="K237" s="262">
        <f>Alukset_Käynnit!K244</f>
        <v>0</v>
      </c>
      <c r="L237" s="205">
        <f>Alukset_Käynnit!L244</f>
        <v>0</v>
      </c>
      <c r="N237" s="273">
        <f t="shared" si="51"/>
        <v>0</v>
      </c>
      <c r="O237" s="274">
        <f t="shared" si="52"/>
        <v>0</v>
      </c>
      <c r="Q237" s="204">
        <f t="shared" si="41"/>
        <v>0</v>
      </c>
      <c r="R237" s="202">
        <f>IF(Q237="Other dry cargo",L237*Alukset_fx!$B$71,IF(OR(Q237="Dry bulk",Q237="Bulk carrier"),L237*Alukset_fx!$B$69,IF(Q237="Tugboat",L237*Alukset_fx!$B$76,IF(OR(Q237="Tanker",Q237="Gas tanker",Q237="Chemical tanker",Q237="Oil tanker"),L237*Alukset_fx!$B$68,IF(OR(Q237="RoRo",Q237="Vehicle carrier"),L237*Alukset_fx!$B$72,IF(Q237="RoPax",L237*Alukset_fx!$B$73,IF(Q237="Container ship",L237*Alukset_fx!$B$70,IF(Q237="Barge",0,L237*Alukset_fx!$B$75))))))))</f>
        <v>0</v>
      </c>
      <c r="S237" s="210">
        <f>IF(L237=0,IF(Q237="Other dry cargo",Alukset_fx!$H$73*(Alukset_Käynnit_Lask!K237^Alukset_fx!$I$73),IF(OR(Q237="Dry Bulk",Q237="Bulk carrier"),Alukset_fx!$H$71*(Alukset_Käynnit_Lask!K237^Alukset_fx!$I$71),IF(Q237="Tugboat",Alukset_fx!$H$78*(Alukset_Käynnit_Lask!K237^Alukset_fx!$I$78),IF(OR(Q237="Tanker",Q237="Gas tanker",Q237="Chemical tanker",Q237="Oil tanker"),Alukset_fx!$H$70*(Alukset_Käynnit_Lask!K237^Alukset_fx!$I$70),IF(Q237="Container ship",Alukset_fx!$H$72*(Alukset_Käynnit_Lask!K237^Alukset_fx!$I$72),IF(Q237="Barge",0,IF(Q237="RoPax",Alukset_fx!$H$75*(Alukset_Käynnit_Lask!K237^Alukset_fx!$I$75),IF(OR(Q237="RoRo",Q237="Vehicle carrier"),Alukset_fx!$H$74*(Alukset_Käynnit_Lask!K237^Alukset_fx!$I$74),Alukset_fx!$H$77*(Alukset_Käynnit_Lask!K237^Alukset_fx!$I$77))))))))),"-")</f>
        <v>0</v>
      </c>
      <c r="T237" s="208">
        <f>IF(R237=0,IF(Q237="Other dry cargo",S237*Alukset_fx!$B$71,IF(OR(Q237="Dry bulk",Q237="Bulk carrier"),S237*Alukset_fx!$B$69,IF(Q237="Tugboat",S237*Alukset_fx!$B$76,IF(OR(Q237="Tanker",Q237="Gas tanker",Q237="Chemical tanker",Q237="Oil tanker"),S237*Alukset_fx!$B$68,IF(OR(Q237="RoRo",Q237="Vehicle carrier"),S237*Alukset_fx!$B$72,IF(Q237="RoPax",S237*Alukset_fx!$B$73,IF(Q237="Container ship",S237*Alukset_fx!$B$70,S237*Alukset_fx!$B$75))))))),"-")</f>
        <v>0</v>
      </c>
      <c r="U237" s="208">
        <f t="shared" si="42"/>
        <v>0</v>
      </c>
      <c r="V237" s="208">
        <f t="shared" si="43"/>
        <v>0</v>
      </c>
      <c r="W237" s="202">
        <f>Alukset_Käynnit!N244</f>
        <v>0</v>
      </c>
      <c r="X237" s="211">
        <f>IF(Q237="Other dry cargo", Alukset_fx!$C$52, IF(OR(Q237="Dry bulk",Q237="Bulk carrier"),Alukset_fx!$C$35,IF(OR(Q237="Tanker",Q237="Gas tanker",Q237="Oil tanker"),Alukset_fx!$C$57,IF(Q237="Chemical tanker",Alukset_fx!$C$56,IF(OR(Q237="Tugboat",Q237="Barge"),0,IF(Q237="Other vessel",Alukset_fx!$C$54,IF(Q237="Container ship",Alukset_fx!$C$37,IF(OR(Q237="RoPax",Q237="RoRo",Q237="Vehicle carrier"),Alukset_fx!$C$55,0))))))))</f>
        <v>0</v>
      </c>
      <c r="Y237" s="211">
        <f>IF(Q237="Other dry cargo", Alukset_fx!$Q$52, IF(OR(Q237="Dry bulk",Q237="Bulk carrier"),Alukset_fx!$Q$35,IF(OR(Q237="Tanker",Q237="Gas tanker",Q237="Oil tanker"),Alukset_fx!$Q$57,IF(Q237="Chemical tanker",Alukset_fx!$Q$56,IF(OR(Q237="Tugboat",Q237="Barge"),0,IF(Q237="Other vessel",Alukset_fx!$Q$54,IF(Q237="Container ship",Alukset_fx!$Q$37,IF(OR(Q237="RoPax",Q237="RoRo",Q237="Vehicle carrier"),Alukset_fx!$Q$55,0))))))))</f>
        <v>0</v>
      </c>
      <c r="Z237" t="str">
        <f t="shared" si="44"/>
        <v>MDO/MGO</v>
      </c>
      <c r="AA237" t="str">
        <f t="shared" si="45"/>
        <v>MSD</v>
      </c>
      <c r="AB237" t="str">
        <f t="shared" si="46"/>
        <v>MDO/MGO</v>
      </c>
      <c r="AC237" t="str">
        <f t="shared" si="47"/>
        <v>MSD</v>
      </c>
      <c r="AD237" t="str">
        <f t="shared" si="48"/>
        <v>MDO/MGO</v>
      </c>
      <c r="AE237" t="str">
        <f t="shared" si="49"/>
        <v>ST</v>
      </c>
      <c r="AG237">
        <f>Alukset_Käynnit!O244</f>
        <v>0</v>
      </c>
      <c r="AH237" s="207">
        <f>IF(AA237="SSD",((U237*Alukset_fx!$B$24)*Alukset_Käynnit_Lask!W237*(Alukset_fx!$K$49)/1000),IF(AA237="MSD",((U237*Alukset_fx!$B$24)*Alukset_Käynnit_Lask!W237*(Alukset_fx!$K$52)/1000),IF(AA237="HSD",((U237*Alukset_fx!$B$24)*Alukset_Käynnit_Lask!W237*(Alukset_fx!$K$55)/1000),0)))</f>
        <v>0</v>
      </c>
      <c r="AI237" s="207">
        <f>IF(AC237="MSD",((V237*Alukset_fx!$B$25)*Alukset_Käynnit_Lask!W237*(Alukset_fx!$L$52)/1000),IF(AC237="HSD",((V237*Alukset_fx!$B$25)*Alukset_Käynnit_Lask!W237*(Alukset_fx!$L$55)/1000),0))</f>
        <v>0</v>
      </c>
      <c r="AJ237" s="207">
        <f>X237*W237*Alukset_fx!$K$61/1000</f>
        <v>0</v>
      </c>
      <c r="AK237">
        <v>0</v>
      </c>
      <c r="AL237" s="207">
        <f>IF(AG237="Käytetty",0,IF(AC237="MSD",((V237*Alukset_fx!$O$25)*Alukset_Käynnit_Lask!O237*(Alukset_fx!$L$52)/1000),IF(AC237="HSD",((V237*Alukset_fx!$O$25)*Alukset_Käynnit_Lask!O237*(Alukset_fx!$L$55)/1000),0)))</f>
        <v>0</v>
      </c>
      <c r="AM237" s="207">
        <f>IF(AG237="Käytetty",0,Y237*O237*Alukset_fx!$K$61/1000)</f>
        <v>0</v>
      </c>
      <c r="AN237" s="213">
        <f t="shared" si="50"/>
        <v>0</v>
      </c>
    </row>
    <row r="238" spans="1:40" x14ac:dyDescent="0.25">
      <c r="A238" s="203">
        <f>Alukset_Käynnit!A245</f>
        <v>0</v>
      </c>
      <c r="B238" s="203">
        <f>Alukset_Käynnit!B245</f>
        <v>0</v>
      </c>
      <c r="C238" s="262">
        <f>Alukset_Käynnit!C245</f>
        <v>0</v>
      </c>
      <c r="D238" s="266">
        <f>Alukset_Käynnit!D245</f>
        <v>0</v>
      </c>
      <c r="E238" s="262">
        <f>Alukset_Käynnit!E245</f>
        <v>0</v>
      </c>
      <c r="F238" s="262">
        <f>Alukset_Käynnit!F245</f>
        <v>0</v>
      </c>
      <c r="G238" s="262">
        <f>Alukset_Käynnit!G245</f>
        <v>0</v>
      </c>
      <c r="H238" s="262">
        <f>Alukset_Käynnit!H245</f>
        <v>0</v>
      </c>
      <c r="I238" s="262">
        <f>Alukset_Käynnit!I245</f>
        <v>0</v>
      </c>
      <c r="J238" s="262">
        <f>Alukset_Käynnit!J245</f>
        <v>0</v>
      </c>
      <c r="K238" s="262">
        <f>Alukset_Käynnit!K245</f>
        <v>0</v>
      </c>
      <c r="L238" s="205">
        <f>Alukset_Käynnit!L245</f>
        <v>0</v>
      </c>
      <c r="N238" s="273">
        <f t="shared" si="51"/>
        <v>0</v>
      </c>
      <c r="O238" s="274">
        <f t="shared" si="52"/>
        <v>0</v>
      </c>
      <c r="Q238" s="204">
        <f t="shared" si="41"/>
        <v>0</v>
      </c>
      <c r="R238" s="202">
        <f>IF(Q238="Other dry cargo",L238*Alukset_fx!$B$71,IF(OR(Q238="Dry bulk",Q238="Bulk carrier"),L238*Alukset_fx!$B$69,IF(Q238="Tugboat",L238*Alukset_fx!$B$76,IF(OR(Q238="Tanker",Q238="Gas tanker",Q238="Chemical tanker",Q238="Oil tanker"),L238*Alukset_fx!$B$68,IF(OR(Q238="RoRo",Q238="Vehicle carrier"),L238*Alukset_fx!$B$72,IF(Q238="RoPax",L238*Alukset_fx!$B$73,IF(Q238="Container ship",L238*Alukset_fx!$B$70,IF(Q238="Barge",0,L238*Alukset_fx!$B$75))))))))</f>
        <v>0</v>
      </c>
      <c r="S238" s="210">
        <f>IF(L238=0,IF(Q238="Other dry cargo",Alukset_fx!$H$73*(Alukset_Käynnit_Lask!K238^Alukset_fx!$I$73),IF(OR(Q238="Dry Bulk",Q238="Bulk carrier"),Alukset_fx!$H$71*(Alukset_Käynnit_Lask!K238^Alukset_fx!$I$71),IF(Q238="Tugboat",Alukset_fx!$H$78*(Alukset_Käynnit_Lask!K238^Alukset_fx!$I$78),IF(OR(Q238="Tanker",Q238="Gas tanker",Q238="Chemical tanker",Q238="Oil tanker"),Alukset_fx!$H$70*(Alukset_Käynnit_Lask!K238^Alukset_fx!$I$70),IF(Q238="Container ship",Alukset_fx!$H$72*(Alukset_Käynnit_Lask!K238^Alukset_fx!$I$72),IF(Q238="Barge",0,IF(Q238="RoPax",Alukset_fx!$H$75*(Alukset_Käynnit_Lask!K238^Alukset_fx!$I$75),IF(OR(Q238="RoRo",Q238="Vehicle carrier"),Alukset_fx!$H$74*(Alukset_Käynnit_Lask!K238^Alukset_fx!$I$74),Alukset_fx!$H$77*(Alukset_Käynnit_Lask!K238^Alukset_fx!$I$77))))))))),"-")</f>
        <v>0</v>
      </c>
      <c r="T238" s="208">
        <f>IF(R238=0,IF(Q238="Other dry cargo",S238*Alukset_fx!$B$71,IF(OR(Q238="Dry bulk",Q238="Bulk carrier"),S238*Alukset_fx!$B$69,IF(Q238="Tugboat",S238*Alukset_fx!$B$76,IF(OR(Q238="Tanker",Q238="Gas tanker",Q238="Chemical tanker",Q238="Oil tanker"),S238*Alukset_fx!$B$68,IF(OR(Q238="RoRo",Q238="Vehicle carrier"),S238*Alukset_fx!$B$72,IF(Q238="RoPax",S238*Alukset_fx!$B$73,IF(Q238="Container ship",S238*Alukset_fx!$B$70,S238*Alukset_fx!$B$75))))))),"-")</f>
        <v>0</v>
      </c>
      <c r="U238" s="208">
        <f t="shared" si="42"/>
        <v>0</v>
      </c>
      <c r="V238" s="208">
        <f t="shared" si="43"/>
        <v>0</v>
      </c>
      <c r="W238" s="202">
        <f>Alukset_Käynnit!N245</f>
        <v>0</v>
      </c>
      <c r="X238" s="211">
        <f>IF(Q238="Other dry cargo", Alukset_fx!$C$52, IF(OR(Q238="Dry bulk",Q238="Bulk carrier"),Alukset_fx!$C$35,IF(OR(Q238="Tanker",Q238="Gas tanker",Q238="Oil tanker"),Alukset_fx!$C$57,IF(Q238="Chemical tanker",Alukset_fx!$C$56,IF(OR(Q238="Tugboat",Q238="Barge"),0,IF(Q238="Other vessel",Alukset_fx!$C$54,IF(Q238="Container ship",Alukset_fx!$C$37,IF(OR(Q238="RoPax",Q238="RoRo",Q238="Vehicle carrier"),Alukset_fx!$C$55,0))))))))</f>
        <v>0</v>
      </c>
      <c r="Y238" s="211">
        <f>IF(Q238="Other dry cargo", Alukset_fx!$Q$52, IF(OR(Q238="Dry bulk",Q238="Bulk carrier"),Alukset_fx!$Q$35,IF(OR(Q238="Tanker",Q238="Gas tanker",Q238="Oil tanker"),Alukset_fx!$Q$57,IF(Q238="Chemical tanker",Alukset_fx!$Q$56,IF(OR(Q238="Tugboat",Q238="Barge"),0,IF(Q238="Other vessel",Alukset_fx!$Q$54,IF(Q238="Container ship",Alukset_fx!$Q$37,IF(OR(Q238="RoPax",Q238="RoRo",Q238="Vehicle carrier"),Alukset_fx!$Q$55,0))))))))</f>
        <v>0</v>
      </c>
      <c r="Z238" t="str">
        <f t="shared" si="44"/>
        <v>MDO/MGO</v>
      </c>
      <c r="AA238" t="str">
        <f t="shared" si="45"/>
        <v>MSD</v>
      </c>
      <c r="AB238" t="str">
        <f t="shared" si="46"/>
        <v>MDO/MGO</v>
      </c>
      <c r="AC238" t="str">
        <f t="shared" si="47"/>
        <v>MSD</v>
      </c>
      <c r="AD238" t="str">
        <f t="shared" si="48"/>
        <v>MDO/MGO</v>
      </c>
      <c r="AE238" t="str">
        <f t="shared" si="49"/>
        <v>ST</v>
      </c>
      <c r="AG238">
        <f>Alukset_Käynnit!O245</f>
        <v>0</v>
      </c>
      <c r="AH238" s="207">
        <f>IF(AA238="SSD",((U238*Alukset_fx!$B$24)*Alukset_Käynnit_Lask!W238*(Alukset_fx!$K$49)/1000),IF(AA238="MSD",((U238*Alukset_fx!$B$24)*Alukset_Käynnit_Lask!W238*(Alukset_fx!$K$52)/1000),IF(AA238="HSD",((U238*Alukset_fx!$B$24)*Alukset_Käynnit_Lask!W238*(Alukset_fx!$K$55)/1000),0)))</f>
        <v>0</v>
      </c>
      <c r="AI238" s="207">
        <f>IF(AC238="MSD",((V238*Alukset_fx!$B$25)*Alukset_Käynnit_Lask!W238*(Alukset_fx!$L$52)/1000),IF(AC238="HSD",((V238*Alukset_fx!$B$25)*Alukset_Käynnit_Lask!W238*(Alukset_fx!$L$55)/1000),0))</f>
        <v>0</v>
      </c>
      <c r="AJ238" s="207">
        <f>X238*W238*Alukset_fx!$K$61/1000</f>
        <v>0</v>
      </c>
      <c r="AK238">
        <v>0</v>
      </c>
      <c r="AL238" s="207">
        <f>IF(AG238="Käytetty",0,IF(AC238="MSD",((V238*Alukset_fx!$O$25)*Alukset_Käynnit_Lask!O238*(Alukset_fx!$L$52)/1000),IF(AC238="HSD",((V238*Alukset_fx!$O$25)*Alukset_Käynnit_Lask!O238*(Alukset_fx!$L$55)/1000),0)))</f>
        <v>0</v>
      </c>
      <c r="AM238" s="207">
        <f>IF(AG238="Käytetty",0,Y238*O238*Alukset_fx!$K$61/1000)</f>
        <v>0</v>
      </c>
      <c r="AN238" s="213">
        <f t="shared" si="50"/>
        <v>0</v>
      </c>
    </row>
    <row r="239" spans="1:40" x14ac:dyDescent="0.25">
      <c r="A239" s="203">
        <f>Alukset_Käynnit!A246</f>
        <v>0</v>
      </c>
      <c r="B239" s="203">
        <f>Alukset_Käynnit!B246</f>
        <v>0</v>
      </c>
      <c r="C239" s="262">
        <f>Alukset_Käynnit!C246</f>
        <v>0</v>
      </c>
      <c r="D239" s="266">
        <f>Alukset_Käynnit!D246</f>
        <v>0</v>
      </c>
      <c r="E239" s="262">
        <f>Alukset_Käynnit!E246</f>
        <v>0</v>
      </c>
      <c r="F239" s="262">
        <f>Alukset_Käynnit!F246</f>
        <v>0</v>
      </c>
      <c r="G239" s="262">
        <f>Alukset_Käynnit!G246</f>
        <v>0</v>
      </c>
      <c r="H239" s="262">
        <f>Alukset_Käynnit!H246</f>
        <v>0</v>
      </c>
      <c r="I239" s="262">
        <f>Alukset_Käynnit!I246</f>
        <v>0</v>
      </c>
      <c r="J239" s="262">
        <f>Alukset_Käynnit!J246</f>
        <v>0</v>
      </c>
      <c r="K239" s="262">
        <f>Alukset_Käynnit!K246</f>
        <v>0</v>
      </c>
      <c r="L239" s="205">
        <f>Alukset_Käynnit!L246</f>
        <v>0</v>
      </c>
      <c r="N239" s="273">
        <f t="shared" si="51"/>
        <v>0</v>
      </c>
      <c r="O239" s="274">
        <f t="shared" si="52"/>
        <v>0</v>
      </c>
      <c r="Q239" s="204">
        <f t="shared" si="41"/>
        <v>0</v>
      </c>
      <c r="R239" s="202">
        <f>IF(Q239="Other dry cargo",L239*Alukset_fx!$B$71,IF(OR(Q239="Dry bulk",Q239="Bulk carrier"),L239*Alukset_fx!$B$69,IF(Q239="Tugboat",L239*Alukset_fx!$B$76,IF(OR(Q239="Tanker",Q239="Gas tanker",Q239="Chemical tanker",Q239="Oil tanker"),L239*Alukset_fx!$B$68,IF(OR(Q239="RoRo",Q239="Vehicle carrier"),L239*Alukset_fx!$B$72,IF(Q239="RoPax",L239*Alukset_fx!$B$73,IF(Q239="Container ship",L239*Alukset_fx!$B$70,IF(Q239="Barge",0,L239*Alukset_fx!$B$75))))))))</f>
        <v>0</v>
      </c>
      <c r="S239" s="210">
        <f>IF(L239=0,IF(Q239="Other dry cargo",Alukset_fx!$H$73*(Alukset_Käynnit_Lask!K239^Alukset_fx!$I$73),IF(OR(Q239="Dry Bulk",Q239="Bulk carrier"),Alukset_fx!$H$71*(Alukset_Käynnit_Lask!K239^Alukset_fx!$I$71),IF(Q239="Tugboat",Alukset_fx!$H$78*(Alukset_Käynnit_Lask!K239^Alukset_fx!$I$78),IF(OR(Q239="Tanker",Q239="Gas tanker",Q239="Chemical tanker",Q239="Oil tanker"),Alukset_fx!$H$70*(Alukset_Käynnit_Lask!K239^Alukset_fx!$I$70),IF(Q239="Container ship",Alukset_fx!$H$72*(Alukset_Käynnit_Lask!K239^Alukset_fx!$I$72),IF(Q239="Barge",0,IF(Q239="RoPax",Alukset_fx!$H$75*(Alukset_Käynnit_Lask!K239^Alukset_fx!$I$75),IF(OR(Q239="RoRo",Q239="Vehicle carrier"),Alukset_fx!$H$74*(Alukset_Käynnit_Lask!K239^Alukset_fx!$I$74),Alukset_fx!$H$77*(Alukset_Käynnit_Lask!K239^Alukset_fx!$I$77))))))))),"-")</f>
        <v>0</v>
      </c>
      <c r="T239" s="208">
        <f>IF(R239=0,IF(Q239="Other dry cargo",S239*Alukset_fx!$B$71,IF(OR(Q239="Dry bulk",Q239="Bulk carrier"),S239*Alukset_fx!$B$69,IF(Q239="Tugboat",S239*Alukset_fx!$B$76,IF(OR(Q239="Tanker",Q239="Gas tanker",Q239="Chemical tanker",Q239="Oil tanker"),S239*Alukset_fx!$B$68,IF(OR(Q239="RoRo",Q239="Vehicle carrier"),S239*Alukset_fx!$B$72,IF(Q239="RoPax",S239*Alukset_fx!$B$73,IF(Q239="Container ship",S239*Alukset_fx!$B$70,S239*Alukset_fx!$B$75))))))),"-")</f>
        <v>0</v>
      </c>
      <c r="U239" s="208">
        <f t="shared" si="42"/>
        <v>0</v>
      </c>
      <c r="V239" s="208">
        <f t="shared" si="43"/>
        <v>0</v>
      </c>
      <c r="W239" s="202">
        <f>Alukset_Käynnit!N246</f>
        <v>0</v>
      </c>
      <c r="X239" s="211">
        <f>IF(Q239="Other dry cargo", Alukset_fx!$C$52, IF(OR(Q239="Dry bulk",Q239="Bulk carrier"),Alukset_fx!$C$35,IF(OR(Q239="Tanker",Q239="Gas tanker",Q239="Oil tanker"),Alukset_fx!$C$57,IF(Q239="Chemical tanker",Alukset_fx!$C$56,IF(OR(Q239="Tugboat",Q239="Barge"),0,IF(Q239="Other vessel",Alukset_fx!$C$54,IF(Q239="Container ship",Alukset_fx!$C$37,IF(OR(Q239="RoPax",Q239="RoRo",Q239="Vehicle carrier"),Alukset_fx!$C$55,0))))))))</f>
        <v>0</v>
      </c>
      <c r="Y239" s="211">
        <f>IF(Q239="Other dry cargo", Alukset_fx!$Q$52, IF(OR(Q239="Dry bulk",Q239="Bulk carrier"),Alukset_fx!$Q$35,IF(OR(Q239="Tanker",Q239="Gas tanker",Q239="Oil tanker"),Alukset_fx!$Q$57,IF(Q239="Chemical tanker",Alukset_fx!$Q$56,IF(OR(Q239="Tugboat",Q239="Barge"),0,IF(Q239="Other vessel",Alukset_fx!$Q$54,IF(Q239="Container ship",Alukset_fx!$Q$37,IF(OR(Q239="RoPax",Q239="RoRo",Q239="Vehicle carrier"),Alukset_fx!$Q$55,0))))))))</f>
        <v>0</v>
      </c>
      <c r="Z239" t="str">
        <f t="shared" si="44"/>
        <v>MDO/MGO</v>
      </c>
      <c r="AA239" t="str">
        <f t="shared" si="45"/>
        <v>MSD</v>
      </c>
      <c r="AB239" t="str">
        <f t="shared" si="46"/>
        <v>MDO/MGO</v>
      </c>
      <c r="AC239" t="str">
        <f t="shared" si="47"/>
        <v>MSD</v>
      </c>
      <c r="AD239" t="str">
        <f t="shared" si="48"/>
        <v>MDO/MGO</v>
      </c>
      <c r="AE239" t="str">
        <f t="shared" si="49"/>
        <v>ST</v>
      </c>
      <c r="AG239">
        <f>Alukset_Käynnit!O246</f>
        <v>0</v>
      </c>
      <c r="AH239" s="207">
        <f>IF(AA239="SSD",((U239*Alukset_fx!$B$24)*Alukset_Käynnit_Lask!W239*(Alukset_fx!$K$49)/1000),IF(AA239="MSD",((U239*Alukset_fx!$B$24)*Alukset_Käynnit_Lask!W239*(Alukset_fx!$K$52)/1000),IF(AA239="HSD",((U239*Alukset_fx!$B$24)*Alukset_Käynnit_Lask!W239*(Alukset_fx!$K$55)/1000),0)))</f>
        <v>0</v>
      </c>
      <c r="AI239" s="207">
        <f>IF(AC239="MSD",((V239*Alukset_fx!$B$25)*Alukset_Käynnit_Lask!W239*(Alukset_fx!$L$52)/1000),IF(AC239="HSD",((V239*Alukset_fx!$B$25)*Alukset_Käynnit_Lask!W239*(Alukset_fx!$L$55)/1000),0))</f>
        <v>0</v>
      </c>
      <c r="AJ239" s="207">
        <f>X239*W239*Alukset_fx!$K$61/1000</f>
        <v>0</v>
      </c>
      <c r="AK239">
        <v>0</v>
      </c>
      <c r="AL239" s="207">
        <f>IF(AG239="Käytetty",0,IF(AC239="MSD",((V239*Alukset_fx!$O$25)*Alukset_Käynnit_Lask!O239*(Alukset_fx!$L$52)/1000),IF(AC239="HSD",((V239*Alukset_fx!$O$25)*Alukset_Käynnit_Lask!O239*(Alukset_fx!$L$55)/1000),0)))</f>
        <v>0</v>
      </c>
      <c r="AM239" s="207">
        <f>IF(AG239="Käytetty",0,Y239*O239*Alukset_fx!$K$61/1000)</f>
        <v>0</v>
      </c>
      <c r="AN239" s="213">
        <f t="shared" si="50"/>
        <v>0</v>
      </c>
    </row>
    <row r="240" spans="1:40" x14ac:dyDescent="0.25">
      <c r="A240" s="203">
        <f>Alukset_Käynnit!A247</f>
        <v>0</v>
      </c>
      <c r="B240" s="203">
        <f>Alukset_Käynnit!B247</f>
        <v>0</v>
      </c>
      <c r="C240" s="262">
        <f>Alukset_Käynnit!C247</f>
        <v>0</v>
      </c>
      <c r="D240" s="266">
        <f>Alukset_Käynnit!D247</f>
        <v>0</v>
      </c>
      <c r="E240" s="262">
        <f>Alukset_Käynnit!E247</f>
        <v>0</v>
      </c>
      <c r="F240" s="262">
        <f>Alukset_Käynnit!F247</f>
        <v>0</v>
      </c>
      <c r="G240" s="262">
        <f>Alukset_Käynnit!G247</f>
        <v>0</v>
      </c>
      <c r="H240" s="262">
        <f>Alukset_Käynnit!H247</f>
        <v>0</v>
      </c>
      <c r="I240" s="262">
        <f>Alukset_Käynnit!I247</f>
        <v>0</v>
      </c>
      <c r="J240" s="262">
        <f>Alukset_Käynnit!J247</f>
        <v>0</v>
      </c>
      <c r="K240" s="262">
        <f>Alukset_Käynnit!K247</f>
        <v>0</v>
      </c>
      <c r="L240" s="205">
        <f>Alukset_Käynnit!L247</f>
        <v>0</v>
      </c>
      <c r="N240" s="273">
        <f t="shared" si="51"/>
        <v>0</v>
      </c>
      <c r="O240" s="274">
        <f t="shared" si="52"/>
        <v>0</v>
      </c>
      <c r="Q240" s="204">
        <f t="shared" si="41"/>
        <v>0</v>
      </c>
      <c r="R240" s="202">
        <f>IF(Q240="Other dry cargo",L240*Alukset_fx!$B$71,IF(OR(Q240="Dry bulk",Q240="Bulk carrier"),L240*Alukset_fx!$B$69,IF(Q240="Tugboat",L240*Alukset_fx!$B$76,IF(OR(Q240="Tanker",Q240="Gas tanker",Q240="Chemical tanker",Q240="Oil tanker"),L240*Alukset_fx!$B$68,IF(OR(Q240="RoRo",Q240="Vehicle carrier"),L240*Alukset_fx!$B$72,IF(Q240="RoPax",L240*Alukset_fx!$B$73,IF(Q240="Container ship",L240*Alukset_fx!$B$70,IF(Q240="Barge",0,L240*Alukset_fx!$B$75))))))))</f>
        <v>0</v>
      </c>
      <c r="S240" s="210">
        <f>IF(L240=0,IF(Q240="Other dry cargo",Alukset_fx!$H$73*(Alukset_Käynnit_Lask!K240^Alukset_fx!$I$73),IF(OR(Q240="Dry Bulk",Q240="Bulk carrier"),Alukset_fx!$H$71*(Alukset_Käynnit_Lask!K240^Alukset_fx!$I$71),IF(Q240="Tugboat",Alukset_fx!$H$78*(Alukset_Käynnit_Lask!K240^Alukset_fx!$I$78),IF(OR(Q240="Tanker",Q240="Gas tanker",Q240="Chemical tanker",Q240="Oil tanker"),Alukset_fx!$H$70*(Alukset_Käynnit_Lask!K240^Alukset_fx!$I$70),IF(Q240="Container ship",Alukset_fx!$H$72*(Alukset_Käynnit_Lask!K240^Alukset_fx!$I$72),IF(Q240="Barge",0,IF(Q240="RoPax",Alukset_fx!$H$75*(Alukset_Käynnit_Lask!K240^Alukset_fx!$I$75),IF(OR(Q240="RoRo",Q240="Vehicle carrier"),Alukset_fx!$H$74*(Alukset_Käynnit_Lask!K240^Alukset_fx!$I$74),Alukset_fx!$H$77*(Alukset_Käynnit_Lask!K240^Alukset_fx!$I$77))))))))),"-")</f>
        <v>0</v>
      </c>
      <c r="T240" s="208">
        <f>IF(R240=0,IF(Q240="Other dry cargo",S240*Alukset_fx!$B$71,IF(OR(Q240="Dry bulk",Q240="Bulk carrier"),S240*Alukset_fx!$B$69,IF(Q240="Tugboat",S240*Alukset_fx!$B$76,IF(OR(Q240="Tanker",Q240="Gas tanker",Q240="Chemical tanker",Q240="Oil tanker"),S240*Alukset_fx!$B$68,IF(OR(Q240="RoRo",Q240="Vehicle carrier"),S240*Alukset_fx!$B$72,IF(Q240="RoPax",S240*Alukset_fx!$B$73,IF(Q240="Container ship",S240*Alukset_fx!$B$70,S240*Alukset_fx!$B$75))))))),"-")</f>
        <v>0</v>
      </c>
      <c r="U240" s="208">
        <f t="shared" si="42"/>
        <v>0</v>
      </c>
      <c r="V240" s="208">
        <f t="shared" si="43"/>
        <v>0</v>
      </c>
      <c r="W240" s="202">
        <f>Alukset_Käynnit!N247</f>
        <v>0</v>
      </c>
      <c r="X240" s="211">
        <f>IF(Q240="Other dry cargo", Alukset_fx!$C$52, IF(OR(Q240="Dry bulk",Q240="Bulk carrier"),Alukset_fx!$C$35,IF(OR(Q240="Tanker",Q240="Gas tanker",Q240="Oil tanker"),Alukset_fx!$C$57,IF(Q240="Chemical tanker",Alukset_fx!$C$56,IF(OR(Q240="Tugboat",Q240="Barge"),0,IF(Q240="Other vessel",Alukset_fx!$C$54,IF(Q240="Container ship",Alukset_fx!$C$37,IF(OR(Q240="RoPax",Q240="RoRo",Q240="Vehicle carrier"),Alukset_fx!$C$55,0))))))))</f>
        <v>0</v>
      </c>
      <c r="Y240" s="211">
        <f>IF(Q240="Other dry cargo", Alukset_fx!$Q$52, IF(OR(Q240="Dry bulk",Q240="Bulk carrier"),Alukset_fx!$Q$35,IF(OR(Q240="Tanker",Q240="Gas tanker",Q240="Oil tanker"),Alukset_fx!$Q$57,IF(Q240="Chemical tanker",Alukset_fx!$Q$56,IF(OR(Q240="Tugboat",Q240="Barge"),0,IF(Q240="Other vessel",Alukset_fx!$Q$54,IF(Q240="Container ship",Alukset_fx!$Q$37,IF(OR(Q240="RoPax",Q240="RoRo",Q240="Vehicle carrier"),Alukset_fx!$Q$55,0))))))))</f>
        <v>0</v>
      </c>
      <c r="Z240" t="str">
        <f t="shared" si="44"/>
        <v>MDO/MGO</v>
      </c>
      <c r="AA240" t="str">
        <f t="shared" si="45"/>
        <v>MSD</v>
      </c>
      <c r="AB240" t="str">
        <f t="shared" si="46"/>
        <v>MDO/MGO</v>
      </c>
      <c r="AC240" t="str">
        <f t="shared" si="47"/>
        <v>MSD</v>
      </c>
      <c r="AD240" t="str">
        <f t="shared" si="48"/>
        <v>MDO/MGO</v>
      </c>
      <c r="AE240" t="str">
        <f t="shared" si="49"/>
        <v>ST</v>
      </c>
      <c r="AG240">
        <f>Alukset_Käynnit!O247</f>
        <v>0</v>
      </c>
      <c r="AH240" s="207">
        <f>IF(AA240="SSD",((U240*Alukset_fx!$B$24)*Alukset_Käynnit_Lask!W240*(Alukset_fx!$K$49)/1000),IF(AA240="MSD",((U240*Alukset_fx!$B$24)*Alukset_Käynnit_Lask!W240*(Alukset_fx!$K$52)/1000),IF(AA240="HSD",((U240*Alukset_fx!$B$24)*Alukset_Käynnit_Lask!W240*(Alukset_fx!$K$55)/1000),0)))</f>
        <v>0</v>
      </c>
      <c r="AI240" s="207">
        <f>IF(AC240="MSD",((V240*Alukset_fx!$B$25)*Alukset_Käynnit_Lask!W240*(Alukset_fx!$L$52)/1000),IF(AC240="HSD",((V240*Alukset_fx!$B$25)*Alukset_Käynnit_Lask!W240*(Alukset_fx!$L$55)/1000),0))</f>
        <v>0</v>
      </c>
      <c r="AJ240" s="207">
        <f>X240*W240*Alukset_fx!$K$61/1000</f>
        <v>0</v>
      </c>
      <c r="AK240">
        <v>0</v>
      </c>
      <c r="AL240" s="207">
        <f>IF(AG240="Käytetty",0,IF(AC240="MSD",((V240*Alukset_fx!$O$25)*Alukset_Käynnit_Lask!O240*(Alukset_fx!$L$52)/1000),IF(AC240="HSD",((V240*Alukset_fx!$O$25)*Alukset_Käynnit_Lask!O240*(Alukset_fx!$L$55)/1000),0)))</f>
        <v>0</v>
      </c>
      <c r="AM240" s="207">
        <f>IF(AG240="Käytetty",0,Y240*O240*Alukset_fx!$K$61/1000)</f>
        <v>0</v>
      </c>
      <c r="AN240" s="213">
        <f t="shared" si="50"/>
        <v>0</v>
      </c>
    </row>
    <row r="241" spans="1:40" x14ac:dyDescent="0.25">
      <c r="A241" s="203">
        <f>Alukset_Käynnit!A248</f>
        <v>0</v>
      </c>
      <c r="B241" s="203">
        <f>Alukset_Käynnit!B248</f>
        <v>0</v>
      </c>
      <c r="C241" s="262">
        <f>Alukset_Käynnit!C248</f>
        <v>0</v>
      </c>
      <c r="D241" s="266">
        <f>Alukset_Käynnit!D248</f>
        <v>0</v>
      </c>
      <c r="E241" s="262">
        <f>Alukset_Käynnit!E248</f>
        <v>0</v>
      </c>
      <c r="F241" s="262">
        <f>Alukset_Käynnit!F248</f>
        <v>0</v>
      </c>
      <c r="G241" s="262">
        <f>Alukset_Käynnit!G248</f>
        <v>0</v>
      </c>
      <c r="H241" s="262">
        <f>Alukset_Käynnit!H248</f>
        <v>0</v>
      </c>
      <c r="I241" s="262">
        <f>Alukset_Käynnit!I248</f>
        <v>0</v>
      </c>
      <c r="J241" s="262">
        <f>Alukset_Käynnit!J248</f>
        <v>0</v>
      </c>
      <c r="K241" s="262">
        <f>Alukset_Käynnit!K248</f>
        <v>0</v>
      </c>
      <c r="L241" s="205">
        <f>Alukset_Käynnit!L248</f>
        <v>0</v>
      </c>
      <c r="N241" s="273">
        <f t="shared" si="51"/>
        <v>0</v>
      </c>
      <c r="O241" s="274">
        <f t="shared" si="52"/>
        <v>0</v>
      </c>
      <c r="Q241" s="204">
        <f t="shared" si="41"/>
        <v>0</v>
      </c>
      <c r="R241" s="202">
        <f>IF(Q241="Other dry cargo",L241*Alukset_fx!$B$71,IF(OR(Q241="Dry bulk",Q241="Bulk carrier"),L241*Alukset_fx!$B$69,IF(Q241="Tugboat",L241*Alukset_fx!$B$76,IF(OR(Q241="Tanker",Q241="Gas tanker",Q241="Chemical tanker",Q241="Oil tanker"),L241*Alukset_fx!$B$68,IF(OR(Q241="RoRo",Q241="Vehicle carrier"),L241*Alukset_fx!$B$72,IF(Q241="RoPax",L241*Alukset_fx!$B$73,IF(Q241="Container ship",L241*Alukset_fx!$B$70,IF(Q241="Barge",0,L241*Alukset_fx!$B$75))))))))</f>
        <v>0</v>
      </c>
      <c r="S241" s="210">
        <f>IF(L241=0,IF(Q241="Other dry cargo",Alukset_fx!$H$73*(Alukset_Käynnit_Lask!K241^Alukset_fx!$I$73),IF(OR(Q241="Dry Bulk",Q241="Bulk carrier"),Alukset_fx!$H$71*(Alukset_Käynnit_Lask!K241^Alukset_fx!$I$71),IF(Q241="Tugboat",Alukset_fx!$H$78*(Alukset_Käynnit_Lask!K241^Alukset_fx!$I$78),IF(OR(Q241="Tanker",Q241="Gas tanker",Q241="Chemical tanker",Q241="Oil tanker"),Alukset_fx!$H$70*(Alukset_Käynnit_Lask!K241^Alukset_fx!$I$70),IF(Q241="Container ship",Alukset_fx!$H$72*(Alukset_Käynnit_Lask!K241^Alukset_fx!$I$72),IF(Q241="Barge",0,IF(Q241="RoPax",Alukset_fx!$H$75*(Alukset_Käynnit_Lask!K241^Alukset_fx!$I$75),IF(OR(Q241="RoRo",Q241="Vehicle carrier"),Alukset_fx!$H$74*(Alukset_Käynnit_Lask!K241^Alukset_fx!$I$74),Alukset_fx!$H$77*(Alukset_Käynnit_Lask!K241^Alukset_fx!$I$77))))))))),"-")</f>
        <v>0</v>
      </c>
      <c r="T241" s="208">
        <f>IF(R241=0,IF(Q241="Other dry cargo",S241*Alukset_fx!$B$71,IF(OR(Q241="Dry bulk",Q241="Bulk carrier"),S241*Alukset_fx!$B$69,IF(Q241="Tugboat",S241*Alukset_fx!$B$76,IF(OR(Q241="Tanker",Q241="Gas tanker",Q241="Chemical tanker",Q241="Oil tanker"),S241*Alukset_fx!$B$68,IF(OR(Q241="RoRo",Q241="Vehicle carrier"),S241*Alukset_fx!$B$72,IF(Q241="RoPax",S241*Alukset_fx!$B$73,IF(Q241="Container ship",S241*Alukset_fx!$B$70,S241*Alukset_fx!$B$75))))))),"-")</f>
        <v>0</v>
      </c>
      <c r="U241" s="208">
        <f t="shared" si="42"/>
        <v>0</v>
      </c>
      <c r="V241" s="208">
        <f t="shared" si="43"/>
        <v>0</v>
      </c>
      <c r="W241" s="202">
        <f>Alukset_Käynnit!N248</f>
        <v>0</v>
      </c>
      <c r="X241" s="211">
        <f>IF(Q241="Other dry cargo", Alukset_fx!$C$52, IF(OR(Q241="Dry bulk",Q241="Bulk carrier"),Alukset_fx!$C$35,IF(OR(Q241="Tanker",Q241="Gas tanker",Q241="Oil tanker"),Alukset_fx!$C$57,IF(Q241="Chemical tanker",Alukset_fx!$C$56,IF(OR(Q241="Tugboat",Q241="Barge"),0,IF(Q241="Other vessel",Alukset_fx!$C$54,IF(Q241="Container ship",Alukset_fx!$C$37,IF(OR(Q241="RoPax",Q241="RoRo",Q241="Vehicle carrier"),Alukset_fx!$C$55,0))))))))</f>
        <v>0</v>
      </c>
      <c r="Y241" s="211">
        <f>IF(Q241="Other dry cargo", Alukset_fx!$Q$52, IF(OR(Q241="Dry bulk",Q241="Bulk carrier"),Alukset_fx!$Q$35,IF(OR(Q241="Tanker",Q241="Gas tanker",Q241="Oil tanker"),Alukset_fx!$Q$57,IF(Q241="Chemical tanker",Alukset_fx!$Q$56,IF(OR(Q241="Tugboat",Q241="Barge"),0,IF(Q241="Other vessel",Alukset_fx!$Q$54,IF(Q241="Container ship",Alukset_fx!$Q$37,IF(OR(Q241="RoPax",Q241="RoRo",Q241="Vehicle carrier"),Alukset_fx!$Q$55,0))))))))</f>
        <v>0</v>
      </c>
      <c r="Z241" t="str">
        <f t="shared" si="44"/>
        <v>MDO/MGO</v>
      </c>
      <c r="AA241" t="str">
        <f t="shared" si="45"/>
        <v>MSD</v>
      </c>
      <c r="AB241" t="str">
        <f t="shared" si="46"/>
        <v>MDO/MGO</v>
      </c>
      <c r="AC241" t="str">
        <f t="shared" si="47"/>
        <v>MSD</v>
      </c>
      <c r="AD241" t="str">
        <f t="shared" si="48"/>
        <v>MDO/MGO</v>
      </c>
      <c r="AE241" t="str">
        <f t="shared" si="49"/>
        <v>ST</v>
      </c>
      <c r="AG241">
        <f>Alukset_Käynnit!O248</f>
        <v>0</v>
      </c>
      <c r="AH241" s="207">
        <f>IF(AA241="SSD",((U241*Alukset_fx!$B$24)*Alukset_Käynnit_Lask!W241*(Alukset_fx!$K$49)/1000),IF(AA241="MSD",((U241*Alukset_fx!$B$24)*Alukset_Käynnit_Lask!W241*(Alukset_fx!$K$52)/1000),IF(AA241="HSD",((U241*Alukset_fx!$B$24)*Alukset_Käynnit_Lask!W241*(Alukset_fx!$K$55)/1000),0)))</f>
        <v>0</v>
      </c>
      <c r="AI241" s="207">
        <f>IF(AC241="MSD",((V241*Alukset_fx!$B$25)*Alukset_Käynnit_Lask!W241*(Alukset_fx!$L$52)/1000),IF(AC241="HSD",((V241*Alukset_fx!$B$25)*Alukset_Käynnit_Lask!W241*(Alukset_fx!$L$55)/1000),0))</f>
        <v>0</v>
      </c>
      <c r="AJ241" s="207">
        <f>X241*W241*Alukset_fx!$K$61/1000</f>
        <v>0</v>
      </c>
      <c r="AK241">
        <v>0</v>
      </c>
      <c r="AL241" s="207">
        <f>IF(AG241="Käytetty",0,IF(AC241="MSD",((V241*Alukset_fx!$O$25)*Alukset_Käynnit_Lask!O241*(Alukset_fx!$L$52)/1000),IF(AC241="HSD",((V241*Alukset_fx!$O$25)*Alukset_Käynnit_Lask!O241*(Alukset_fx!$L$55)/1000),0)))</f>
        <v>0</v>
      </c>
      <c r="AM241" s="207">
        <f>IF(AG241="Käytetty",0,Y241*O241*Alukset_fx!$K$61/1000)</f>
        <v>0</v>
      </c>
      <c r="AN241" s="213">
        <f t="shared" si="50"/>
        <v>0</v>
      </c>
    </row>
    <row r="242" spans="1:40" x14ac:dyDescent="0.25">
      <c r="A242" s="203">
        <f>Alukset_Käynnit!A249</f>
        <v>0</v>
      </c>
      <c r="B242" s="203">
        <f>Alukset_Käynnit!B249</f>
        <v>0</v>
      </c>
      <c r="C242" s="262">
        <f>Alukset_Käynnit!C249</f>
        <v>0</v>
      </c>
      <c r="D242" s="266">
        <f>Alukset_Käynnit!D249</f>
        <v>0</v>
      </c>
      <c r="E242" s="262">
        <f>Alukset_Käynnit!E249</f>
        <v>0</v>
      </c>
      <c r="F242" s="262">
        <f>Alukset_Käynnit!F249</f>
        <v>0</v>
      </c>
      <c r="G242" s="262">
        <f>Alukset_Käynnit!G249</f>
        <v>0</v>
      </c>
      <c r="H242" s="262">
        <f>Alukset_Käynnit!H249</f>
        <v>0</v>
      </c>
      <c r="I242" s="262">
        <f>Alukset_Käynnit!I249</f>
        <v>0</v>
      </c>
      <c r="J242" s="262">
        <f>Alukset_Käynnit!J249</f>
        <v>0</v>
      </c>
      <c r="K242" s="262">
        <f>Alukset_Käynnit!K249</f>
        <v>0</v>
      </c>
      <c r="L242" s="205">
        <f>Alukset_Käynnit!L249</f>
        <v>0</v>
      </c>
      <c r="N242" s="273">
        <f t="shared" si="51"/>
        <v>0</v>
      </c>
      <c r="O242" s="274">
        <f t="shared" si="52"/>
        <v>0</v>
      </c>
      <c r="Q242" s="204">
        <f t="shared" si="41"/>
        <v>0</v>
      </c>
      <c r="R242" s="202">
        <f>IF(Q242="Other dry cargo",L242*Alukset_fx!$B$71,IF(OR(Q242="Dry bulk",Q242="Bulk carrier"),L242*Alukset_fx!$B$69,IF(Q242="Tugboat",L242*Alukset_fx!$B$76,IF(OR(Q242="Tanker",Q242="Gas tanker",Q242="Chemical tanker",Q242="Oil tanker"),L242*Alukset_fx!$B$68,IF(OR(Q242="RoRo",Q242="Vehicle carrier"),L242*Alukset_fx!$B$72,IF(Q242="RoPax",L242*Alukset_fx!$B$73,IF(Q242="Container ship",L242*Alukset_fx!$B$70,IF(Q242="Barge",0,L242*Alukset_fx!$B$75))))))))</f>
        <v>0</v>
      </c>
      <c r="S242" s="210">
        <f>IF(L242=0,IF(Q242="Other dry cargo",Alukset_fx!$H$73*(Alukset_Käynnit_Lask!K242^Alukset_fx!$I$73),IF(OR(Q242="Dry Bulk",Q242="Bulk carrier"),Alukset_fx!$H$71*(Alukset_Käynnit_Lask!K242^Alukset_fx!$I$71),IF(Q242="Tugboat",Alukset_fx!$H$78*(Alukset_Käynnit_Lask!K242^Alukset_fx!$I$78),IF(OR(Q242="Tanker",Q242="Gas tanker",Q242="Chemical tanker",Q242="Oil tanker"),Alukset_fx!$H$70*(Alukset_Käynnit_Lask!K242^Alukset_fx!$I$70),IF(Q242="Container ship",Alukset_fx!$H$72*(Alukset_Käynnit_Lask!K242^Alukset_fx!$I$72),IF(Q242="Barge",0,IF(Q242="RoPax",Alukset_fx!$H$75*(Alukset_Käynnit_Lask!K242^Alukset_fx!$I$75),IF(OR(Q242="RoRo",Q242="Vehicle carrier"),Alukset_fx!$H$74*(Alukset_Käynnit_Lask!K242^Alukset_fx!$I$74),Alukset_fx!$H$77*(Alukset_Käynnit_Lask!K242^Alukset_fx!$I$77))))))))),"-")</f>
        <v>0</v>
      </c>
      <c r="T242" s="208">
        <f>IF(R242=0,IF(Q242="Other dry cargo",S242*Alukset_fx!$B$71,IF(OR(Q242="Dry bulk",Q242="Bulk carrier"),S242*Alukset_fx!$B$69,IF(Q242="Tugboat",S242*Alukset_fx!$B$76,IF(OR(Q242="Tanker",Q242="Gas tanker",Q242="Chemical tanker",Q242="Oil tanker"),S242*Alukset_fx!$B$68,IF(OR(Q242="RoRo",Q242="Vehicle carrier"),S242*Alukset_fx!$B$72,IF(Q242="RoPax",S242*Alukset_fx!$B$73,IF(Q242="Container ship",S242*Alukset_fx!$B$70,S242*Alukset_fx!$B$75))))))),"-")</f>
        <v>0</v>
      </c>
      <c r="U242" s="208">
        <f t="shared" si="42"/>
        <v>0</v>
      </c>
      <c r="V242" s="208">
        <f t="shared" si="43"/>
        <v>0</v>
      </c>
      <c r="W242" s="202">
        <f>Alukset_Käynnit!N249</f>
        <v>0</v>
      </c>
      <c r="X242" s="211">
        <f>IF(Q242="Other dry cargo", Alukset_fx!$C$52, IF(OR(Q242="Dry bulk",Q242="Bulk carrier"),Alukset_fx!$C$35,IF(OR(Q242="Tanker",Q242="Gas tanker",Q242="Oil tanker"),Alukset_fx!$C$57,IF(Q242="Chemical tanker",Alukset_fx!$C$56,IF(OR(Q242="Tugboat",Q242="Barge"),0,IF(Q242="Other vessel",Alukset_fx!$C$54,IF(Q242="Container ship",Alukset_fx!$C$37,IF(OR(Q242="RoPax",Q242="RoRo",Q242="Vehicle carrier"),Alukset_fx!$C$55,0))))))))</f>
        <v>0</v>
      </c>
      <c r="Y242" s="211">
        <f>IF(Q242="Other dry cargo", Alukset_fx!$Q$52, IF(OR(Q242="Dry bulk",Q242="Bulk carrier"),Alukset_fx!$Q$35,IF(OR(Q242="Tanker",Q242="Gas tanker",Q242="Oil tanker"),Alukset_fx!$Q$57,IF(Q242="Chemical tanker",Alukset_fx!$Q$56,IF(OR(Q242="Tugboat",Q242="Barge"),0,IF(Q242="Other vessel",Alukset_fx!$Q$54,IF(Q242="Container ship",Alukset_fx!$Q$37,IF(OR(Q242="RoPax",Q242="RoRo",Q242="Vehicle carrier"),Alukset_fx!$Q$55,0))))))))</f>
        <v>0</v>
      </c>
      <c r="Z242" t="str">
        <f t="shared" si="44"/>
        <v>MDO/MGO</v>
      </c>
      <c r="AA242" t="str">
        <f t="shared" si="45"/>
        <v>MSD</v>
      </c>
      <c r="AB242" t="str">
        <f t="shared" si="46"/>
        <v>MDO/MGO</v>
      </c>
      <c r="AC242" t="str">
        <f t="shared" si="47"/>
        <v>MSD</v>
      </c>
      <c r="AD242" t="str">
        <f t="shared" si="48"/>
        <v>MDO/MGO</v>
      </c>
      <c r="AE242" t="str">
        <f t="shared" si="49"/>
        <v>ST</v>
      </c>
      <c r="AG242">
        <f>Alukset_Käynnit!O249</f>
        <v>0</v>
      </c>
      <c r="AH242" s="207">
        <f>IF(AA242="SSD",((U242*Alukset_fx!$B$24)*Alukset_Käynnit_Lask!W242*(Alukset_fx!$K$49)/1000),IF(AA242="MSD",((U242*Alukset_fx!$B$24)*Alukset_Käynnit_Lask!W242*(Alukset_fx!$K$52)/1000),IF(AA242="HSD",((U242*Alukset_fx!$B$24)*Alukset_Käynnit_Lask!W242*(Alukset_fx!$K$55)/1000),0)))</f>
        <v>0</v>
      </c>
      <c r="AI242" s="207">
        <f>IF(AC242="MSD",((V242*Alukset_fx!$B$25)*Alukset_Käynnit_Lask!W242*(Alukset_fx!$L$52)/1000),IF(AC242="HSD",((V242*Alukset_fx!$B$25)*Alukset_Käynnit_Lask!W242*(Alukset_fx!$L$55)/1000),0))</f>
        <v>0</v>
      </c>
      <c r="AJ242" s="207">
        <f>X242*W242*Alukset_fx!$K$61/1000</f>
        <v>0</v>
      </c>
      <c r="AK242">
        <v>0</v>
      </c>
      <c r="AL242" s="207">
        <f>IF(AG242="Käytetty",0,IF(AC242="MSD",((V242*Alukset_fx!$O$25)*Alukset_Käynnit_Lask!O242*(Alukset_fx!$L$52)/1000),IF(AC242="HSD",((V242*Alukset_fx!$O$25)*Alukset_Käynnit_Lask!O242*(Alukset_fx!$L$55)/1000),0)))</f>
        <v>0</v>
      </c>
      <c r="AM242" s="207">
        <f>IF(AG242="Käytetty",0,Y242*O242*Alukset_fx!$K$61/1000)</f>
        <v>0</v>
      </c>
      <c r="AN242" s="213">
        <f t="shared" si="50"/>
        <v>0</v>
      </c>
    </row>
    <row r="243" spans="1:40" x14ac:dyDescent="0.25">
      <c r="A243" s="203">
        <f>Alukset_Käynnit!A250</f>
        <v>0</v>
      </c>
      <c r="B243" s="203">
        <f>Alukset_Käynnit!B250</f>
        <v>0</v>
      </c>
      <c r="C243" s="262">
        <f>Alukset_Käynnit!C250</f>
        <v>0</v>
      </c>
      <c r="D243" s="266">
        <f>Alukset_Käynnit!D250</f>
        <v>0</v>
      </c>
      <c r="E243" s="262">
        <f>Alukset_Käynnit!E250</f>
        <v>0</v>
      </c>
      <c r="F243" s="262">
        <f>Alukset_Käynnit!F250</f>
        <v>0</v>
      </c>
      <c r="G243" s="262">
        <f>Alukset_Käynnit!G250</f>
        <v>0</v>
      </c>
      <c r="H243" s="262">
        <f>Alukset_Käynnit!H250</f>
        <v>0</v>
      </c>
      <c r="I243" s="262">
        <f>Alukset_Käynnit!I250</f>
        <v>0</v>
      </c>
      <c r="J243" s="262">
        <f>Alukset_Käynnit!J250</f>
        <v>0</v>
      </c>
      <c r="K243" s="262">
        <f>Alukset_Käynnit!K250</f>
        <v>0</v>
      </c>
      <c r="L243" s="205">
        <f>Alukset_Käynnit!L250</f>
        <v>0</v>
      </c>
      <c r="N243" s="273">
        <f t="shared" si="51"/>
        <v>0</v>
      </c>
      <c r="O243" s="274">
        <f t="shared" si="52"/>
        <v>0</v>
      </c>
      <c r="Q243" s="204">
        <f t="shared" si="41"/>
        <v>0</v>
      </c>
      <c r="R243" s="202">
        <f>IF(Q243="Other dry cargo",L243*Alukset_fx!$B$71,IF(OR(Q243="Dry bulk",Q243="Bulk carrier"),L243*Alukset_fx!$B$69,IF(Q243="Tugboat",L243*Alukset_fx!$B$76,IF(OR(Q243="Tanker",Q243="Gas tanker",Q243="Chemical tanker",Q243="Oil tanker"),L243*Alukset_fx!$B$68,IF(OR(Q243="RoRo",Q243="Vehicle carrier"),L243*Alukset_fx!$B$72,IF(Q243="RoPax",L243*Alukset_fx!$B$73,IF(Q243="Container ship",L243*Alukset_fx!$B$70,IF(Q243="Barge",0,L243*Alukset_fx!$B$75))))))))</f>
        <v>0</v>
      </c>
      <c r="S243" s="210">
        <f>IF(L243=0,IF(Q243="Other dry cargo",Alukset_fx!$H$73*(Alukset_Käynnit_Lask!K243^Alukset_fx!$I$73),IF(OR(Q243="Dry Bulk",Q243="Bulk carrier"),Alukset_fx!$H$71*(Alukset_Käynnit_Lask!K243^Alukset_fx!$I$71),IF(Q243="Tugboat",Alukset_fx!$H$78*(Alukset_Käynnit_Lask!K243^Alukset_fx!$I$78),IF(OR(Q243="Tanker",Q243="Gas tanker",Q243="Chemical tanker",Q243="Oil tanker"),Alukset_fx!$H$70*(Alukset_Käynnit_Lask!K243^Alukset_fx!$I$70),IF(Q243="Container ship",Alukset_fx!$H$72*(Alukset_Käynnit_Lask!K243^Alukset_fx!$I$72),IF(Q243="Barge",0,IF(Q243="RoPax",Alukset_fx!$H$75*(Alukset_Käynnit_Lask!K243^Alukset_fx!$I$75),IF(OR(Q243="RoRo",Q243="Vehicle carrier"),Alukset_fx!$H$74*(Alukset_Käynnit_Lask!K243^Alukset_fx!$I$74),Alukset_fx!$H$77*(Alukset_Käynnit_Lask!K243^Alukset_fx!$I$77))))))))),"-")</f>
        <v>0</v>
      </c>
      <c r="T243" s="208">
        <f>IF(R243=0,IF(Q243="Other dry cargo",S243*Alukset_fx!$B$71,IF(OR(Q243="Dry bulk",Q243="Bulk carrier"),S243*Alukset_fx!$B$69,IF(Q243="Tugboat",S243*Alukset_fx!$B$76,IF(OR(Q243="Tanker",Q243="Gas tanker",Q243="Chemical tanker",Q243="Oil tanker"),S243*Alukset_fx!$B$68,IF(OR(Q243="RoRo",Q243="Vehicle carrier"),S243*Alukset_fx!$B$72,IF(Q243="RoPax",S243*Alukset_fx!$B$73,IF(Q243="Container ship",S243*Alukset_fx!$B$70,S243*Alukset_fx!$B$75))))))),"-")</f>
        <v>0</v>
      </c>
      <c r="U243" s="208">
        <f t="shared" si="42"/>
        <v>0</v>
      </c>
      <c r="V243" s="208">
        <f t="shared" si="43"/>
        <v>0</v>
      </c>
      <c r="W243" s="202">
        <f>Alukset_Käynnit!N250</f>
        <v>0</v>
      </c>
      <c r="X243" s="211">
        <f>IF(Q243="Other dry cargo", Alukset_fx!$C$52, IF(OR(Q243="Dry bulk",Q243="Bulk carrier"),Alukset_fx!$C$35,IF(OR(Q243="Tanker",Q243="Gas tanker",Q243="Oil tanker"),Alukset_fx!$C$57,IF(Q243="Chemical tanker",Alukset_fx!$C$56,IF(OR(Q243="Tugboat",Q243="Barge"),0,IF(Q243="Other vessel",Alukset_fx!$C$54,IF(Q243="Container ship",Alukset_fx!$C$37,IF(OR(Q243="RoPax",Q243="RoRo",Q243="Vehicle carrier"),Alukset_fx!$C$55,0))))))))</f>
        <v>0</v>
      </c>
      <c r="Y243" s="211">
        <f>IF(Q243="Other dry cargo", Alukset_fx!$Q$52, IF(OR(Q243="Dry bulk",Q243="Bulk carrier"),Alukset_fx!$Q$35,IF(OR(Q243="Tanker",Q243="Gas tanker",Q243="Oil tanker"),Alukset_fx!$Q$57,IF(Q243="Chemical tanker",Alukset_fx!$Q$56,IF(OR(Q243="Tugboat",Q243="Barge"),0,IF(Q243="Other vessel",Alukset_fx!$Q$54,IF(Q243="Container ship",Alukset_fx!$Q$37,IF(OR(Q243="RoPax",Q243="RoRo",Q243="Vehicle carrier"),Alukset_fx!$Q$55,0))))))))</f>
        <v>0</v>
      </c>
      <c r="Z243" t="str">
        <f t="shared" si="44"/>
        <v>MDO/MGO</v>
      </c>
      <c r="AA243" t="str">
        <f t="shared" si="45"/>
        <v>MSD</v>
      </c>
      <c r="AB243" t="str">
        <f t="shared" si="46"/>
        <v>MDO/MGO</v>
      </c>
      <c r="AC243" t="str">
        <f t="shared" si="47"/>
        <v>MSD</v>
      </c>
      <c r="AD243" t="str">
        <f t="shared" si="48"/>
        <v>MDO/MGO</v>
      </c>
      <c r="AE243" t="str">
        <f t="shared" si="49"/>
        <v>ST</v>
      </c>
      <c r="AG243">
        <f>Alukset_Käynnit!O250</f>
        <v>0</v>
      </c>
      <c r="AH243" s="207">
        <f>IF(AA243="SSD",((U243*Alukset_fx!$B$24)*Alukset_Käynnit_Lask!W243*(Alukset_fx!$K$49)/1000),IF(AA243="MSD",((U243*Alukset_fx!$B$24)*Alukset_Käynnit_Lask!W243*(Alukset_fx!$K$52)/1000),IF(AA243="HSD",((U243*Alukset_fx!$B$24)*Alukset_Käynnit_Lask!W243*(Alukset_fx!$K$55)/1000),0)))</f>
        <v>0</v>
      </c>
      <c r="AI243" s="207">
        <f>IF(AC243="MSD",((V243*Alukset_fx!$B$25)*Alukset_Käynnit_Lask!W243*(Alukset_fx!$L$52)/1000),IF(AC243="HSD",((V243*Alukset_fx!$B$25)*Alukset_Käynnit_Lask!W243*(Alukset_fx!$L$55)/1000),0))</f>
        <v>0</v>
      </c>
      <c r="AJ243" s="207">
        <f>X243*W243*Alukset_fx!$K$61/1000</f>
        <v>0</v>
      </c>
      <c r="AK243">
        <v>0</v>
      </c>
      <c r="AL243" s="207">
        <f>IF(AG243="Käytetty",0,IF(AC243="MSD",((V243*Alukset_fx!$O$25)*Alukset_Käynnit_Lask!O243*(Alukset_fx!$L$52)/1000),IF(AC243="HSD",((V243*Alukset_fx!$O$25)*Alukset_Käynnit_Lask!O243*(Alukset_fx!$L$55)/1000),0)))</f>
        <v>0</v>
      </c>
      <c r="AM243" s="207">
        <f>IF(AG243="Käytetty",0,Y243*O243*Alukset_fx!$K$61/1000)</f>
        <v>0</v>
      </c>
      <c r="AN243" s="213">
        <f t="shared" si="50"/>
        <v>0</v>
      </c>
    </row>
    <row r="244" spans="1:40" x14ac:dyDescent="0.25">
      <c r="A244" s="203">
        <f>Alukset_Käynnit!A251</f>
        <v>0</v>
      </c>
      <c r="B244" s="203">
        <f>Alukset_Käynnit!B251</f>
        <v>0</v>
      </c>
      <c r="C244" s="262">
        <f>Alukset_Käynnit!C251</f>
        <v>0</v>
      </c>
      <c r="D244" s="266">
        <f>Alukset_Käynnit!D251</f>
        <v>0</v>
      </c>
      <c r="E244" s="262">
        <f>Alukset_Käynnit!E251</f>
        <v>0</v>
      </c>
      <c r="F244" s="262">
        <f>Alukset_Käynnit!F251</f>
        <v>0</v>
      </c>
      <c r="G244" s="262">
        <f>Alukset_Käynnit!G251</f>
        <v>0</v>
      </c>
      <c r="H244" s="262">
        <f>Alukset_Käynnit!H251</f>
        <v>0</v>
      </c>
      <c r="I244" s="262">
        <f>Alukset_Käynnit!I251</f>
        <v>0</v>
      </c>
      <c r="J244" s="262">
        <f>Alukset_Käynnit!J251</f>
        <v>0</v>
      </c>
      <c r="K244" s="262">
        <f>Alukset_Käynnit!K251</f>
        <v>0</v>
      </c>
      <c r="L244" s="205">
        <f>Alukset_Käynnit!L251</f>
        <v>0</v>
      </c>
      <c r="N244" s="273">
        <f t="shared" si="51"/>
        <v>0</v>
      </c>
      <c r="O244" s="274">
        <f t="shared" si="52"/>
        <v>0</v>
      </c>
      <c r="Q244" s="204">
        <f t="shared" si="41"/>
        <v>0</v>
      </c>
      <c r="R244" s="202">
        <f>IF(Q244="Other dry cargo",L244*Alukset_fx!$B$71,IF(OR(Q244="Dry bulk",Q244="Bulk carrier"),L244*Alukset_fx!$B$69,IF(Q244="Tugboat",L244*Alukset_fx!$B$76,IF(OR(Q244="Tanker",Q244="Gas tanker",Q244="Chemical tanker",Q244="Oil tanker"),L244*Alukset_fx!$B$68,IF(OR(Q244="RoRo",Q244="Vehicle carrier"),L244*Alukset_fx!$B$72,IF(Q244="RoPax",L244*Alukset_fx!$B$73,IF(Q244="Container ship",L244*Alukset_fx!$B$70,IF(Q244="Barge",0,L244*Alukset_fx!$B$75))))))))</f>
        <v>0</v>
      </c>
      <c r="S244" s="210">
        <f>IF(L244=0,IF(Q244="Other dry cargo",Alukset_fx!$H$73*(Alukset_Käynnit_Lask!K244^Alukset_fx!$I$73),IF(OR(Q244="Dry Bulk",Q244="Bulk carrier"),Alukset_fx!$H$71*(Alukset_Käynnit_Lask!K244^Alukset_fx!$I$71),IF(Q244="Tugboat",Alukset_fx!$H$78*(Alukset_Käynnit_Lask!K244^Alukset_fx!$I$78),IF(OR(Q244="Tanker",Q244="Gas tanker",Q244="Chemical tanker",Q244="Oil tanker"),Alukset_fx!$H$70*(Alukset_Käynnit_Lask!K244^Alukset_fx!$I$70),IF(Q244="Container ship",Alukset_fx!$H$72*(Alukset_Käynnit_Lask!K244^Alukset_fx!$I$72),IF(Q244="Barge",0,IF(Q244="RoPax",Alukset_fx!$H$75*(Alukset_Käynnit_Lask!K244^Alukset_fx!$I$75),IF(OR(Q244="RoRo",Q244="Vehicle carrier"),Alukset_fx!$H$74*(Alukset_Käynnit_Lask!K244^Alukset_fx!$I$74),Alukset_fx!$H$77*(Alukset_Käynnit_Lask!K244^Alukset_fx!$I$77))))))))),"-")</f>
        <v>0</v>
      </c>
      <c r="T244" s="208">
        <f>IF(R244=0,IF(Q244="Other dry cargo",S244*Alukset_fx!$B$71,IF(OR(Q244="Dry bulk",Q244="Bulk carrier"),S244*Alukset_fx!$B$69,IF(Q244="Tugboat",S244*Alukset_fx!$B$76,IF(OR(Q244="Tanker",Q244="Gas tanker",Q244="Chemical tanker",Q244="Oil tanker"),S244*Alukset_fx!$B$68,IF(OR(Q244="RoRo",Q244="Vehicle carrier"),S244*Alukset_fx!$B$72,IF(Q244="RoPax",S244*Alukset_fx!$B$73,IF(Q244="Container ship",S244*Alukset_fx!$B$70,S244*Alukset_fx!$B$75))))))),"-")</f>
        <v>0</v>
      </c>
      <c r="U244" s="208">
        <f t="shared" si="42"/>
        <v>0</v>
      </c>
      <c r="V244" s="208">
        <f t="shared" si="43"/>
        <v>0</v>
      </c>
      <c r="W244" s="202">
        <f>Alukset_Käynnit!N251</f>
        <v>0</v>
      </c>
      <c r="X244" s="211">
        <f>IF(Q244="Other dry cargo", Alukset_fx!$C$52, IF(OR(Q244="Dry bulk",Q244="Bulk carrier"),Alukset_fx!$C$35,IF(OR(Q244="Tanker",Q244="Gas tanker",Q244="Oil tanker"),Alukset_fx!$C$57,IF(Q244="Chemical tanker",Alukset_fx!$C$56,IF(OR(Q244="Tugboat",Q244="Barge"),0,IF(Q244="Other vessel",Alukset_fx!$C$54,IF(Q244="Container ship",Alukset_fx!$C$37,IF(OR(Q244="RoPax",Q244="RoRo",Q244="Vehicle carrier"),Alukset_fx!$C$55,0))))))))</f>
        <v>0</v>
      </c>
      <c r="Y244" s="211">
        <f>IF(Q244="Other dry cargo", Alukset_fx!$Q$52, IF(OR(Q244="Dry bulk",Q244="Bulk carrier"),Alukset_fx!$Q$35,IF(OR(Q244="Tanker",Q244="Gas tanker",Q244="Oil tanker"),Alukset_fx!$Q$57,IF(Q244="Chemical tanker",Alukset_fx!$Q$56,IF(OR(Q244="Tugboat",Q244="Barge"),0,IF(Q244="Other vessel",Alukset_fx!$Q$54,IF(Q244="Container ship",Alukset_fx!$Q$37,IF(OR(Q244="RoPax",Q244="RoRo",Q244="Vehicle carrier"),Alukset_fx!$Q$55,0))))))))</f>
        <v>0</v>
      </c>
      <c r="Z244" t="str">
        <f t="shared" si="44"/>
        <v>MDO/MGO</v>
      </c>
      <c r="AA244" t="str">
        <f t="shared" si="45"/>
        <v>MSD</v>
      </c>
      <c r="AB244" t="str">
        <f t="shared" si="46"/>
        <v>MDO/MGO</v>
      </c>
      <c r="AC244" t="str">
        <f t="shared" si="47"/>
        <v>MSD</v>
      </c>
      <c r="AD244" t="str">
        <f t="shared" si="48"/>
        <v>MDO/MGO</v>
      </c>
      <c r="AE244" t="str">
        <f t="shared" si="49"/>
        <v>ST</v>
      </c>
      <c r="AG244">
        <f>Alukset_Käynnit!O251</f>
        <v>0</v>
      </c>
      <c r="AH244" s="207">
        <f>IF(AA244="SSD",((U244*Alukset_fx!$B$24)*Alukset_Käynnit_Lask!W244*(Alukset_fx!$K$49)/1000),IF(AA244="MSD",((U244*Alukset_fx!$B$24)*Alukset_Käynnit_Lask!W244*(Alukset_fx!$K$52)/1000),IF(AA244="HSD",((U244*Alukset_fx!$B$24)*Alukset_Käynnit_Lask!W244*(Alukset_fx!$K$55)/1000),0)))</f>
        <v>0</v>
      </c>
      <c r="AI244" s="207">
        <f>IF(AC244="MSD",((V244*Alukset_fx!$B$25)*Alukset_Käynnit_Lask!W244*(Alukset_fx!$L$52)/1000),IF(AC244="HSD",((V244*Alukset_fx!$B$25)*Alukset_Käynnit_Lask!W244*(Alukset_fx!$L$55)/1000),0))</f>
        <v>0</v>
      </c>
      <c r="AJ244" s="207">
        <f>X244*W244*Alukset_fx!$K$61/1000</f>
        <v>0</v>
      </c>
      <c r="AK244">
        <v>0</v>
      </c>
      <c r="AL244" s="207">
        <f>IF(AG244="Käytetty",0,IF(AC244="MSD",((V244*Alukset_fx!$O$25)*Alukset_Käynnit_Lask!O244*(Alukset_fx!$L$52)/1000),IF(AC244="HSD",((V244*Alukset_fx!$O$25)*Alukset_Käynnit_Lask!O244*(Alukset_fx!$L$55)/1000),0)))</f>
        <v>0</v>
      </c>
      <c r="AM244" s="207">
        <f>IF(AG244="Käytetty",0,Y244*O244*Alukset_fx!$K$61/1000)</f>
        <v>0</v>
      </c>
      <c r="AN244" s="213">
        <f t="shared" si="50"/>
        <v>0</v>
      </c>
    </row>
    <row r="245" spans="1:40" x14ac:dyDescent="0.25">
      <c r="A245" s="203">
        <f>Alukset_Käynnit!A252</f>
        <v>0</v>
      </c>
      <c r="B245" s="203">
        <f>Alukset_Käynnit!B252</f>
        <v>0</v>
      </c>
      <c r="C245" s="262">
        <f>Alukset_Käynnit!C252</f>
        <v>0</v>
      </c>
      <c r="D245" s="266">
        <f>Alukset_Käynnit!D252</f>
        <v>0</v>
      </c>
      <c r="E245" s="262">
        <f>Alukset_Käynnit!E252</f>
        <v>0</v>
      </c>
      <c r="F245" s="262">
        <f>Alukset_Käynnit!F252</f>
        <v>0</v>
      </c>
      <c r="G245" s="262">
        <f>Alukset_Käynnit!G252</f>
        <v>0</v>
      </c>
      <c r="H245" s="262">
        <f>Alukset_Käynnit!H252</f>
        <v>0</v>
      </c>
      <c r="I245" s="262">
        <f>Alukset_Käynnit!I252</f>
        <v>0</v>
      </c>
      <c r="J245" s="262">
        <f>Alukset_Käynnit!J252</f>
        <v>0</v>
      </c>
      <c r="K245" s="262">
        <f>Alukset_Käynnit!K252</f>
        <v>0</v>
      </c>
      <c r="L245" s="205">
        <f>Alukset_Käynnit!L252</f>
        <v>0</v>
      </c>
      <c r="N245" s="273">
        <f t="shared" si="51"/>
        <v>0</v>
      </c>
      <c r="O245" s="274">
        <f t="shared" si="52"/>
        <v>0</v>
      </c>
      <c r="Q245" s="204">
        <f t="shared" si="41"/>
        <v>0</v>
      </c>
      <c r="R245" s="202">
        <f>IF(Q245="Other dry cargo",L245*Alukset_fx!$B$71,IF(OR(Q245="Dry bulk",Q245="Bulk carrier"),L245*Alukset_fx!$B$69,IF(Q245="Tugboat",L245*Alukset_fx!$B$76,IF(OR(Q245="Tanker",Q245="Gas tanker",Q245="Chemical tanker",Q245="Oil tanker"),L245*Alukset_fx!$B$68,IF(OR(Q245="RoRo",Q245="Vehicle carrier"),L245*Alukset_fx!$B$72,IF(Q245="RoPax",L245*Alukset_fx!$B$73,IF(Q245="Container ship",L245*Alukset_fx!$B$70,IF(Q245="Barge",0,L245*Alukset_fx!$B$75))))))))</f>
        <v>0</v>
      </c>
      <c r="S245" s="210">
        <f>IF(L245=0,IF(Q245="Other dry cargo",Alukset_fx!$H$73*(Alukset_Käynnit_Lask!K245^Alukset_fx!$I$73),IF(OR(Q245="Dry Bulk",Q245="Bulk carrier"),Alukset_fx!$H$71*(Alukset_Käynnit_Lask!K245^Alukset_fx!$I$71),IF(Q245="Tugboat",Alukset_fx!$H$78*(Alukset_Käynnit_Lask!K245^Alukset_fx!$I$78),IF(OR(Q245="Tanker",Q245="Gas tanker",Q245="Chemical tanker",Q245="Oil tanker"),Alukset_fx!$H$70*(Alukset_Käynnit_Lask!K245^Alukset_fx!$I$70),IF(Q245="Container ship",Alukset_fx!$H$72*(Alukset_Käynnit_Lask!K245^Alukset_fx!$I$72),IF(Q245="Barge",0,IF(Q245="RoPax",Alukset_fx!$H$75*(Alukset_Käynnit_Lask!K245^Alukset_fx!$I$75),IF(OR(Q245="RoRo",Q245="Vehicle carrier"),Alukset_fx!$H$74*(Alukset_Käynnit_Lask!K245^Alukset_fx!$I$74),Alukset_fx!$H$77*(Alukset_Käynnit_Lask!K245^Alukset_fx!$I$77))))))))),"-")</f>
        <v>0</v>
      </c>
      <c r="T245" s="208">
        <f>IF(R245=0,IF(Q245="Other dry cargo",S245*Alukset_fx!$B$71,IF(OR(Q245="Dry bulk",Q245="Bulk carrier"),S245*Alukset_fx!$B$69,IF(Q245="Tugboat",S245*Alukset_fx!$B$76,IF(OR(Q245="Tanker",Q245="Gas tanker",Q245="Chemical tanker",Q245="Oil tanker"),S245*Alukset_fx!$B$68,IF(OR(Q245="RoRo",Q245="Vehicle carrier"),S245*Alukset_fx!$B$72,IF(Q245="RoPax",S245*Alukset_fx!$B$73,IF(Q245="Container ship",S245*Alukset_fx!$B$70,S245*Alukset_fx!$B$75))))))),"-")</f>
        <v>0</v>
      </c>
      <c r="U245" s="208">
        <f t="shared" si="42"/>
        <v>0</v>
      </c>
      <c r="V245" s="208">
        <f t="shared" si="43"/>
        <v>0</v>
      </c>
      <c r="W245" s="202">
        <f>Alukset_Käynnit!N252</f>
        <v>0</v>
      </c>
      <c r="X245" s="211">
        <f>IF(Q245="Other dry cargo", Alukset_fx!$C$52, IF(OR(Q245="Dry bulk",Q245="Bulk carrier"),Alukset_fx!$C$35,IF(OR(Q245="Tanker",Q245="Gas tanker",Q245="Oil tanker"),Alukset_fx!$C$57,IF(Q245="Chemical tanker",Alukset_fx!$C$56,IF(OR(Q245="Tugboat",Q245="Barge"),0,IF(Q245="Other vessel",Alukset_fx!$C$54,IF(Q245="Container ship",Alukset_fx!$C$37,IF(OR(Q245="RoPax",Q245="RoRo",Q245="Vehicle carrier"),Alukset_fx!$C$55,0))))))))</f>
        <v>0</v>
      </c>
      <c r="Y245" s="211">
        <f>IF(Q245="Other dry cargo", Alukset_fx!$Q$52, IF(OR(Q245="Dry bulk",Q245="Bulk carrier"),Alukset_fx!$Q$35,IF(OR(Q245="Tanker",Q245="Gas tanker",Q245="Oil tanker"),Alukset_fx!$Q$57,IF(Q245="Chemical tanker",Alukset_fx!$Q$56,IF(OR(Q245="Tugboat",Q245="Barge"),0,IF(Q245="Other vessel",Alukset_fx!$Q$54,IF(Q245="Container ship",Alukset_fx!$Q$37,IF(OR(Q245="RoPax",Q245="RoRo",Q245="Vehicle carrier"),Alukset_fx!$Q$55,0))))))))</f>
        <v>0</v>
      </c>
      <c r="Z245" t="str">
        <f t="shared" si="44"/>
        <v>MDO/MGO</v>
      </c>
      <c r="AA245" t="str">
        <f t="shared" si="45"/>
        <v>MSD</v>
      </c>
      <c r="AB245" t="str">
        <f t="shared" si="46"/>
        <v>MDO/MGO</v>
      </c>
      <c r="AC245" t="str">
        <f t="shared" si="47"/>
        <v>MSD</v>
      </c>
      <c r="AD245" t="str">
        <f t="shared" si="48"/>
        <v>MDO/MGO</v>
      </c>
      <c r="AE245" t="str">
        <f t="shared" si="49"/>
        <v>ST</v>
      </c>
      <c r="AG245">
        <f>Alukset_Käynnit!O252</f>
        <v>0</v>
      </c>
      <c r="AH245" s="207">
        <f>IF(AA245="SSD",((U245*Alukset_fx!$B$24)*Alukset_Käynnit_Lask!W245*(Alukset_fx!$K$49)/1000),IF(AA245="MSD",((U245*Alukset_fx!$B$24)*Alukset_Käynnit_Lask!W245*(Alukset_fx!$K$52)/1000),IF(AA245="HSD",((U245*Alukset_fx!$B$24)*Alukset_Käynnit_Lask!W245*(Alukset_fx!$K$55)/1000),0)))</f>
        <v>0</v>
      </c>
      <c r="AI245" s="207">
        <f>IF(AC245="MSD",((V245*Alukset_fx!$B$25)*Alukset_Käynnit_Lask!W245*(Alukset_fx!$L$52)/1000),IF(AC245="HSD",((V245*Alukset_fx!$B$25)*Alukset_Käynnit_Lask!W245*(Alukset_fx!$L$55)/1000),0))</f>
        <v>0</v>
      </c>
      <c r="AJ245" s="207">
        <f>X245*W245*Alukset_fx!$K$61/1000</f>
        <v>0</v>
      </c>
      <c r="AK245">
        <v>0</v>
      </c>
      <c r="AL245" s="207">
        <f>IF(AG245="Käytetty",0,IF(AC245="MSD",((V245*Alukset_fx!$O$25)*Alukset_Käynnit_Lask!O245*(Alukset_fx!$L$52)/1000),IF(AC245="HSD",((V245*Alukset_fx!$O$25)*Alukset_Käynnit_Lask!O245*(Alukset_fx!$L$55)/1000),0)))</f>
        <v>0</v>
      </c>
      <c r="AM245" s="207">
        <f>IF(AG245="Käytetty",0,Y245*O245*Alukset_fx!$K$61/1000)</f>
        <v>0</v>
      </c>
      <c r="AN245" s="213">
        <f t="shared" si="50"/>
        <v>0</v>
      </c>
    </row>
    <row r="246" spans="1:40" x14ac:dyDescent="0.25">
      <c r="A246" s="203">
        <f>Alukset_Käynnit!A253</f>
        <v>0</v>
      </c>
      <c r="B246" s="203">
        <f>Alukset_Käynnit!B253</f>
        <v>0</v>
      </c>
      <c r="C246" s="262">
        <f>Alukset_Käynnit!C253</f>
        <v>0</v>
      </c>
      <c r="D246" s="266">
        <f>Alukset_Käynnit!D253</f>
        <v>0</v>
      </c>
      <c r="E246" s="262">
        <f>Alukset_Käynnit!E253</f>
        <v>0</v>
      </c>
      <c r="F246" s="262">
        <f>Alukset_Käynnit!F253</f>
        <v>0</v>
      </c>
      <c r="G246" s="262">
        <f>Alukset_Käynnit!G253</f>
        <v>0</v>
      </c>
      <c r="H246" s="262">
        <f>Alukset_Käynnit!H253</f>
        <v>0</v>
      </c>
      <c r="I246" s="262">
        <f>Alukset_Käynnit!I253</f>
        <v>0</v>
      </c>
      <c r="J246" s="262">
        <f>Alukset_Käynnit!J253</f>
        <v>0</v>
      </c>
      <c r="K246" s="262">
        <f>Alukset_Käynnit!K253</f>
        <v>0</v>
      </c>
      <c r="L246" s="205">
        <f>Alukset_Käynnit!L253</f>
        <v>0</v>
      </c>
      <c r="N246" s="273">
        <f t="shared" si="51"/>
        <v>0</v>
      </c>
      <c r="O246" s="274">
        <f t="shared" si="52"/>
        <v>0</v>
      </c>
      <c r="Q246" s="204">
        <f t="shared" si="41"/>
        <v>0</v>
      </c>
      <c r="R246" s="202">
        <f>IF(Q246="Other dry cargo",L246*Alukset_fx!$B$71,IF(OR(Q246="Dry bulk",Q246="Bulk carrier"),L246*Alukset_fx!$B$69,IF(Q246="Tugboat",L246*Alukset_fx!$B$76,IF(OR(Q246="Tanker",Q246="Gas tanker",Q246="Chemical tanker",Q246="Oil tanker"),L246*Alukset_fx!$B$68,IF(OR(Q246="RoRo",Q246="Vehicle carrier"),L246*Alukset_fx!$B$72,IF(Q246="RoPax",L246*Alukset_fx!$B$73,IF(Q246="Container ship",L246*Alukset_fx!$B$70,IF(Q246="Barge",0,L246*Alukset_fx!$B$75))))))))</f>
        <v>0</v>
      </c>
      <c r="S246" s="210">
        <f>IF(L246=0,IF(Q246="Other dry cargo",Alukset_fx!$H$73*(Alukset_Käynnit_Lask!K246^Alukset_fx!$I$73),IF(OR(Q246="Dry Bulk",Q246="Bulk carrier"),Alukset_fx!$H$71*(Alukset_Käynnit_Lask!K246^Alukset_fx!$I$71),IF(Q246="Tugboat",Alukset_fx!$H$78*(Alukset_Käynnit_Lask!K246^Alukset_fx!$I$78),IF(OR(Q246="Tanker",Q246="Gas tanker",Q246="Chemical tanker",Q246="Oil tanker"),Alukset_fx!$H$70*(Alukset_Käynnit_Lask!K246^Alukset_fx!$I$70),IF(Q246="Container ship",Alukset_fx!$H$72*(Alukset_Käynnit_Lask!K246^Alukset_fx!$I$72),IF(Q246="Barge",0,IF(Q246="RoPax",Alukset_fx!$H$75*(Alukset_Käynnit_Lask!K246^Alukset_fx!$I$75),IF(OR(Q246="RoRo",Q246="Vehicle carrier"),Alukset_fx!$H$74*(Alukset_Käynnit_Lask!K246^Alukset_fx!$I$74),Alukset_fx!$H$77*(Alukset_Käynnit_Lask!K246^Alukset_fx!$I$77))))))))),"-")</f>
        <v>0</v>
      </c>
      <c r="T246" s="208">
        <f>IF(R246=0,IF(Q246="Other dry cargo",S246*Alukset_fx!$B$71,IF(OR(Q246="Dry bulk",Q246="Bulk carrier"),S246*Alukset_fx!$B$69,IF(Q246="Tugboat",S246*Alukset_fx!$B$76,IF(OR(Q246="Tanker",Q246="Gas tanker",Q246="Chemical tanker",Q246="Oil tanker"),S246*Alukset_fx!$B$68,IF(OR(Q246="RoRo",Q246="Vehicle carrier"),S246*Alukset_fx!$B$72,IF(Q246="RoPax",S246*Alukset_fx!$B$73,IF(Q246="Container ship",S246*Alukset_fx!$B$70,S246*Alukset_fx!$B$75))))))),"-")</f>
        <v>0</v>
      </c>
      <c r="U246" s="208">
        <f t="shared" si="42"/>
        <v>0</v>
      </c>
      <c r="V246" s="208">
        <f t="shared" si="43"/>
        <v>0</v>
      </c>
      <c r="W246" s="202">
        <f>Alukset_Käynnit!N253</f>
        <v>0</v>
      </c>
      <c r="X246" s="211">
        <f>IF(Q246="Other dry cargo", Alukset_fx!$C$52, IF(OR(Q246="Dry bulk",Q246="Bulk carrier"),Alukset_fx!$C$35,IF(OR(Q246="Tanker",Q246="Gas tanker",Q246="Oil tanker"),Alukset_fx!$C$57,IF(Q246="Chemical tanker",Alukset_fx!$C$56,IF(OR(Q246="Tugboat",Q246="Barge"),0,IF(Q246="Other vessel",Alukset_fx!$C$54,IF(Q246="Container ship",Alukset_fx!$C$37,IF(OR(Q246="RoPax",Q246="RoRo",Q246="Vehicle carrier"),Alukset_fx!$C$55,0))))))))</f>
        <v>0</v>
      </c>
      <c r="Y246" s="211">
        <f>IF(Q246="Other dry cargo", Alukset_fx!$Q$52, IF(OR(Q246="Dry bulk",Q246="Bulk carrier"),Alukset_fx!$Q$35,IF(OR(Q246="Tanker",Q246="Gas tanker",Q246="Oil tanker"),Alukset_fx!$Q$57,IF(Q246="Chemical tanker",Alukset_fx!$Q$56,IF(OR(Q246="Tugboat",Q246="Barge"),0,IF(Q246="Other vessel",Alukset_fx!$Q$54,IF(Q246="Container ship",Alukset_fx!$Q$37,IF(OR(Q246="RoPax",Q246="RoRo",Q246="Vehicle carrier"),Alukset_fx!$Q$55,0))))))))</f>
        <v>0</v>
      </c>
      <c r="Z246" t="str">
        <f t="shared" si="44"/>
        <v>MDO/MGO</v>
      </c>
      <c r="AA246" t="str">
        <f t="shared" si="45"/>
        <v>MSD</v>
      </c>
      <c r="AB246" t="str">
        <f t="shared" si="46"/>
        <v>MDO/MGO</v>
      </c>
      <c r="AC246" t="str">
        <f t="shared" si="47"/>
        <v>MSD</v>
      </c>
      <c r="AD246" t="str">
        <f t="shared" si="48"/>
        <v>MDO/MGO</v>
      </c>
      <c r="AE246" t="str">
        <f t="shared" si="49"/>
        <v>ST</v>
      </c>
      <c r="AG246">
        <f>Alukset_Käynnit!O253</f>
        <v>0</v>
      </c>
      <c r="AH246" s="207">
        <f>IF(AA246="SSD",((U246*Alukset_fx!$B$24)*Alukset_Käynnit_Lask!W246*(Alukset_fx!$K$49)/1000),IF(AA246="MSD",((U246*Alukset_fx!$B$24)*Alukset_Käynnit_Lask!W246*(Alukset_fx!$K$52)/1000),IF(AA246="HSD",((U246*Alukset_fx!$B$24)*Alukset_Käynnit_Lask!W246*(Alukset_fx!$K$55)/1000),0)))</f>
        <v>0</v>
      </c>
      <c r="AI246" s="207">
        <f>IF(AC246="MSD",((V246*Alukset_fx!$B$25)*Alukset_Käynnit_Lask!W246*(Alukset_fx!$L$52)/1000),IF(AC246="HSD",((V246*Alukset_fx!$B$25)*Alukset_Käynnit_Lask!W246*(Alukset_fx!$L$55)/1000),0))</f>
        <v>0</v>
      </c>
      <c r="AJ246" s="207">
        <f>X246*W246*Alukset_fx!$K$61/1000</f>
        <v>0</v>
      </c>
      <c r="AK246">
        <v>0</v>
      </c>
      <c r="AL246" s="207">
        <f>IF(AG246="Käytetty",0,IF(AC246="MSD",((V246*Alukset_fx!$O$25)*Alukset_Käynnit_Lask!O246*(Alukset_fx!$L$52)/1000),IF(AC246="HSD",((V246*Alukset_fx!$O$25)*Alukset_Käynnit_Lask!O246*(Alukset_fx!$L$55)/1000),0)))</f>
        <v>0</v>
      </c>
      <c r="AM246" s="207">
        <f>IF(AG246="Käytetty",0,Y246*O246*Alukset_fx!$K$61/1000)</f>
        <v>0</v>
      </c>
      <c r="AN246" s="213">
        <f t="shared" si="50"/>
        <v>0</v>
      </c>
    </row>
    <row r="247" spans="1:40" x14ac:dyDescent="0.25">
      <c r="A247" s="203">
        <f>Alukset_Käynnit!A254</f>
        <v>0</v>
      </c>
      <c r="B247" s="203">
        <f>Alukset_Käynnit!B254</f>
        <v>0</v>
      </c>
      <c r="C247" s="262">
        <f>Alukset_Käynnit!C254</f>
        <v>0</v>
      </c>
      <c r="D247" s="266">
        <f>Alukset_Käynnit!D254</f>
        <v>0</v>
      </c>
      <c r="E247" s="262">
        <f>Alukset_Käynnit!E254</f>
        <v>0</v>
      </c>
      <c r="F247" s="262">
        <f>Alukset_Käynnit!F254</f>
        <v>0</v>
      </c>
      <c r="G247" s="262">
        <f>Alukset_Käynnit!G254</f>
        <v>0</v>
      </c>
      <c r="H247" s="262">
        <f>Alukset_Käynnit!H254</f>
        <v>0</v>
      </c>
      <c r="I247" s="262">
        <f>Alukset_Käynnit!I254</f>
        <v>0</v>
      </c>
      <c r="J247" s="262">
        <f>Alukset_Käynnit!J254</f>
        <v>0</v>
      </c>
      <c r="K247" s="262">
        <f>Alukset_Käynnit!K254</f>
        <v>0</v>
      </c>
      <c r="L247" s="205">
        <f>Alukset_Käynnit!L254</f>
        <v>0</v>
      </c>
      <c r="N247" s="273">
        <f t="shared" si="51"/>
        <v>0</v>
      </c>
      <c r="O247" s="274">
        <f t="shared" si="52"/>
        <v>0</v>
      </c>
      <c r="Q247" s="204">
        <f t="shared" si="41"/>
        <v>0</v>
      </c>
      <c r="R247" s="202">
        <f>IF(Q247="Other dry cargo",L247*Alukset_fx!$B$71,IF(OR(Q247="Dry bulk",Q247="Bulk carrier"),L247*Alukset_fx!$B$69,IF(Q247="Tugboat",L247*Alukset_fx!$B$76,IF(OR(Q247="Tanker",Q247="Gas tanker",Q247="Chemical tanker",Q247="Oil tanker"),L247*Alukset_fx!$B$68,IF(OR(Q247="RoRo",Q247="Vehicle carrier"),L247*Alukset_fx!$B$72,IF(Q247="RoPax",L247*Alukset_fx!$B$73,IF(Q247="Container ship",L247*Alukset_fx!$B$70,IF(Q247="Barge",0,L247*Alukset_fx!$B$75))))))))</f>
        <v>0</v>
      </c>
      <c r="S247" s="210">
        <f>IF(L247=0,IF(Q247="Other dry cargo",Alukset_fx!$H$73*(Alukset_Käynnit_Lask!K247^Alukset_fx!$I$73),IF(OR(Q247="Dry Bulk",Q247="Bulk carrier"),Alukset_fx!$H$71*(Alukset_Käynnit_Lask!K247^Alukset_fx!$I$71),IF(Q247="Tugboat",Alukset_fx!$H$78*(Alukset_Käynnit_Lask!K247^Alukset_fx!$I$78),IF(OR(Q247="Tanker",Q247="Gas tanker",Q247="Chemical tanker",Q247="Oil tanker"),Alukset_fx!$H$70*(Alukset_Käynnit_Lask!K247^Alukset_fx!$I$70),IF(Q247="Container ship",Alukset_fx!$H$72*(Alukset_Käynnit_Lask!K247^Alukset_fx!$I$72),IF(Q247="Barge",0,IF(Q247="RoPax",Alukset_fx!$H$75*(Alukset_Käynnit_Lask!K247^Alukset_fx!$I$75),IF(OR(Q247="RoRo",Q247="Vehicle carrier"),Alukset_fx!$H$74*(Alukset_Käynnit_Lask!K247^Alukset_fx!$I$74),Alukset_fx!$H$77*(Alukset_Käynnit_Lask!K247^Alukset_fx!$I$77))))))))),"-")</f>
        <v>0</v>
      </c>
      <c r="T247" s="208">
        <f>IF(R247=0,IF(Q247="Other dry cargo",S247*Alukset_fx!$B$71,IF(OR(Q247="Dry bulk",Q247="Bulk carrier"),S247*Alukset_fx!$B$69,IF(Q247="Tugboat",S247*Alukset_fx!$B$76,IF(OR(Q247="Tanker",Q247="Gas tanker",Q247="Chemical tanker",Q247="Oil tanker"),S247*Alukset_fx!$B$68,IF(OR(Q247="RoRo",Q247="Vehicle carrier"),S247*Alukset_fx!$B$72,IF(Q247="RoPax",S247*Alukset_fx!$B$73,IF(Q247="Container ship",S247*Alukset_fx!$B$70,S247*Alukset_fx!$B$75))))))),"-")</f>
        <v>0</v>
      </c>
      <c r="U247" s="208">
        <f t="shared" si="42"/>
        <v>0</v>
      </c>
      <c r="V247" s="208">
        <f t="shared" si="43"/>
        <v>0</v>
      </c>
      <c r="W247" s="202">
        <f>Alukset_Käynnit!N254</f>
        <v>0</v>
      </c>
      <c r="X247" s="211">
        <f>IF(Q247="Other dry cargo", Alukset_fx!$C$52, IF(OR(Q247="Dry bulk",Q247="Bulk carrier"),Alukset_fx!$C$35,IF(OR(Q247="Tanker",Q247="Gas tanker",Q247="Oil tanker"),Alukset_fx!$C$57,IF(Q247="Chemical tanker",Alukset_fx!$C$56,IF(OR(Q247="Tugboat",Q247="Barge"),0,IF(Q247="Other vessel",Alukset_fx!$C$54,IF(Q247="Container ship",Alukset_fx!$C$37,IF(OR(Q247="RoPax",Q247="RoRo",Q247="Vehicle carrier"),Alukset_fx!$C$55,0))))))))</f>
        <v>0</v>
      </c>
      <c r="Y247" s="211">
        <f>IF(Q247="Other dry cargo", Alukset_fx!$Q$52, IF(OR(Q247="Dry bulk",Q247="Bulk carrier"),Alukset_fx!$Q$35,IF(OR(Q247="Tanker",Q247="Gas tanker",Q247="Oil tanker"),Alukset_fx!$Q$57,IF(Q247="Chemical tanker",Alukset_fx!$Q$56,IF(OR(Q247="Tugboat",Q247="Barge"),0,IF(Q247="Other vessel",Alukset_fx!$Q$54,IF(Q247="Container ship",Alukset_fx!$Q$37,IF(OR(Q247="RoPax",Q247="RoRo",Q247="Vehicle carrier"),Alukset_fx!$Q$55,0))))))))</f>
        <v>0</v>
      </c>
      <c r="Z247" t="str">
        <f t="shared" si="44"/>
        <v>MDO/MGO</v>
      </c>
      <c r="AA247" t="str">
        <f t="shared" si="45"/>
        <v>MSD</v>
      </c>
      <c r="AB247" t="str">
        <f t="shared" si="46"/>
        <v>MDO/MGO</v>
      </c>
      <c r="AC247" t="str">
        <f t="shared" si="47"/>
        <v>MSD</v>
      </c>
      <c r="AD247" t="str">
        <f t="shared" si="48"/>
        <v>MDO/MGO</v>
      </c>
      <c r="AE247" t="str">
        <f t="shared" si="49"/>
        <v>ST</v>
      </c>
      <c r="AG247">
        <f>Alukset_Käynnit!O254</f>
        <v>0</v>
      </c>
      <c r="AH247" s="207">
        <f>IF(AA247="SSD",((U247*Alukset_fx!$B$24)*Alukset_Käynnit_Lask!W247*(Alukset_fx!$K$49)/1000),IF(AA247="MSD",((U247*Alukset_fx!$B$24)*Alukset_Käynnit_Lask!W247*(Alukset_fx!$K$52)/1000),IF(AA247="HSD",((U247*Alukset_fx!$B$24)*Alukset_Käynnit_Lask!W247*(Alukset_fx!$K$55)/1000),0)))</f>
        <v>0</v>
      </c>
      <c r="AI247" s="207">
        <f>IF(AC247="MSD",((V247*Alukset_fx!$B$25)*Alukset_Käynnit_Lask!W247*(Alukset_fx!$L$52)/1000),IF(AC247="HSD",((V247*Alukset_fx!$B$25)*Alukset_Käynnit_Lask!W247*(Alukset_fx!$L$55)/1000),0))</f>
        <v>0</v>
      </c>
      <c r="AJ247" s="207">
        <f>X247*W247*Alukset_fx!$K$61/1000</f>
        <v>0</v>
      </c>
      <c r="AK247">
        <v>0</v>
      </c>
      <c r="AL247" s="207">
        <f>IF(AG247="Käytetty",0,IF(AC247="MSD",((V247*Alukset_fx!$O$25)*Alukset_Käynnit_Lask!O247*(Alukset_fx!$L$52)/1000),IF(AC247="HSD",((V247*Alukset_fx!$O$25)*Alukset_Käynnit_Lask!O247*(Alukset_fx!$L$55)/1000),0)))</f>
        <v>0</v>
      </c>
      <c r="AM247" s="207">
        <f>IF(AG247="Käytetty",0,Y247*O247*Alukset_fx!$K$61/1000)</f>
        <v>0</v>
      </c>
      <c r="AN247" s="213">
        <f t="shared" si="50"/>
        <v>0</v>
      </c>
    </row>
    <row r="248" spans="1:40" x14ac:dyDescent="0.25">
      <c r="A248" s="203">
        <f>Alukset_Käynnit!A255</f>
        <v>0</v>
      </c>
      <c r="B248" s="203">
        <f>Alukset_Käynnit!B255</f>
        <v>0</v>
      </c>
      <c r="C248" s="262">
        <f>Alukset_Käynnit!C255</f>
        <v>0</v>
      </c>
      <c r="D248" s="266">
        <f>Alukset_Käynnit!D255</f>
        <v>0</v>
      </c>
      <c r="E248" s="262">
        <f>Alukset_Käynnit!E255</f>
        <v>0</v>
      </c>
      <c r="F248" s="262">
        <f>Alukset_Käynnit!F255</f>
        <v>0</v>
      </c>
      <c r="G248" s="262">
        <f>Alukset_Käynnit!G255</f>
        <v>0</v>
      </c>
      <c r="H248" s="262">
        <f>Alukset_Käynnit!H255</f>
        <v>0</v>
      </c>
      <c r="I248" s="262">
        <f>Alukset_Käynnit!I255</f>
        <v>0</v>
      </c>
      <c r="J248" s="262">
        <f>Alukset_Käynnit!J255</f>
        <v>0</v>
      </c>
      <c r="K248" s="262">
        <f>Alukset_Käynnit!K255</f>
        <v>0</v>
      </c>
      <c r="L248" s="205">
        <f>Alukset_Käynnit!L255</f>
        <v>0</v>
      </c>
      <c r="N248" s="273">
        <f t="shared" si="51"/>
        <v>0</v>
      </c>
      <c r="O248" s="274">
        <f t="shared" si="52"/>
        <v>0</v>
      </c>
      <c r="Q248" s="204">
        <f t="shared" si="41"/>
        <v>0</v>
      </c>
      <c r="R248" s="202">
        <f>IF(Q248="Other dry cargo",L248*Alukset_fx!$B$71,IF(OR(Q248="Dry bulk",Q248="Bulk carrier"),L248*Alukset_fx!$B$69,IF(Q248="Tugboat",L248*Alukset_fx!$B$76,IF(OR(Q248="Tanker",Q248="Gas tanker",Q248="Chemical tanker",Q248="Oil tanker"),L248*Alukset_fx!$B$68,IF(OR(Q248="RoRo",Q248="Vehicle carrier"),L248*Alukset_fx!$B$72,IF(Q248="RoPax",L248*Alukset_fx!$B$73,IF(Q248="Container ship",L248*Alukset_fx!$B$70,IF(Q248="Barge",0,L248*Alukset_fx!$B$75))))))))</f>
        <v>0</v>
      </c>
      <c r="S248" s="210">
        <f>IF(L248=0,IF(Q248="Other dry cargo",Alukset_fx!$H$73*(Alukset_Käynnit_Lask!K248^Alukset_fx!$I$73),IF(OR(Q248="Dry Bulk",Q248="Bulk carrier"),Alukset_fx!$H$71*(Alukset_Käynnit_Lask!K248^Alukset_fx!$I$71),IF(Q248="Tugboat",Alukset_fx!$H$78*(Alukset_Käynnit_Lask!K248^Alukset_fx!$I$78),IF(OR(Q248="Tanker",Q248="Gas tanker",Q248="Chemical tanker",Q248="Oil tanker"),Alukset_fx!$H$70*(Alukset_Käynnit_Lask!K248^Alukset_fx!$I$70),IF(Q248="Container ship",Alukset_fx!$H$72*(Alukset_Käynnit_Lask!K248^Alukset_fx!$I$72),IF(Q248="Barge",0,IF(Q248="RoPax",Alukset_fx!$H$75*(Alukset_Käynnit_Lask!K248^Alukset_fx!$I$75),IF(OR(Q248="RoRo",Q248="Vehicle carrier"),Alukset_fx!$H$74*(Alukset_Käynnit_Lask!K248^Alukset_fx!$I$74),Alukset_fx!$H$77*(Alukset_Käynnit_Lask!K248^Alukset_fx!$I$77))))))))),"-")</f>
        <v>0</v>
      </c>
      <c r="T248" s="208">
        <f>IF(R248=0,IF(Q248="Other dry cargo",S248*Alukset_fx!$B$71,IF(OR(Q248="Dry bulk",Q248="Bulk carrier"),S248*Alukset_fx!$B$69,IF(Q248="Tugboat",S248*Alukset_fx!$B$76,IF(OR(Q248="Tanker",Q248="Gas tanker",Q248="Chemical tanker",Q248="Oil tanker"),S248*Alukset_fx!$B$68,IF(OR(Q248="RoRo",Q248="Vehicle carrier"),S248*Alukset_fx!$B$72,IF(Q248="RoPax",S248*Alukset_fx!$B$73,IF(Q248="Container ship",S248*Alukset_fx!$B$70,S248*Alukset_fx!$B$75))))))),"-")</f>
        <v>0</v>
      </c>
      <c r="U248" s="208">
        <f t="shared" si="42"/>
        <v>0</v>
      </c>
      <c r="V248" s="208">
        <f t="shared" si="43"/>
        <v>0</v>
      </c>
      <c r="W248" s="202">
        <f>Alukset_Käynnit!N255</f>
        <v>0</v>
      </c>
      <c r="X248" s="211">
        <f>IF(Q248="Other dry cargo", Alukset_fx!$C$52, IF(OR(Q248="Dry bulk",Q248="Bulk carrier"),Alukset_fx!$C$35,IF(OR(Q248="Tanker",Q248="Gas tanker",Q248="Oil tanker"),Alukset_fx!$C$57,IF(Q248="Chemical tanker",Alukset_fx!$C$56,IF(OR(Q248="Tugboat",Q248="Barge"),0,IF(Q248="Other vessel",Alukset_fx!$C$54,IF(Q248="Container ship",Alukset_fx!$C$37,IF(OR(Q248="RoPax",Q248="RoRo",Q248="Vehicle carrier"),Alukset_fx!$C$55,0))))))))</f>
        <v>0</v>
      </c>
      <c r="Y248" s="211">
        <f>IF(Q248="Other dry cargo", Alukset_fx!$Q$52, IF(OR(Q248="Dry bulk",Q248="Bulk carrier"),Alukset_fx!$Q$35,IF(OR(Q248="Tanker",Q248="Gas tanker",Q248="Oil tanker"),Alukset_fx!$Q$57,IF(Q248="Chemical tanker",Alukset_fx!$Q$56,IF(OR(Q248="Tugboat",Q248="Barge"),0,IF(Q248="Other vessel",Alukset_fx!$Q$54,IF(Q248="Container ship",Alukset_fx!$Q$37,IF(OR(Q248="RoPax",Q248="RoRo",Q248="Vehicle carrier"),Alukset_fx!$Q$55,0))))))))</f>
        <v>0</v>
      </c>
      <c r="Z248" t="str">
        <f t="shared" si="44"/>
        <v>MDO/MGO</v>
      </c>
      <c r="AA248" t="str">
        <f t="shared" si="45"/>
        <v>MSD</v>
      </c>
      <c r="AB248" t="str">
        <f t="shared" si="46"/>
        <v>MDO/MGO</v>
      </c>
      <c r="AC248" t="str">
        <f t="shared" si="47"/>
        <v>MSD</v>
      </c>
      <c r="AD248" t="str">
        <f t="shared" si="48"/>
        <v>MDO/MGO</v>
      </c>
      <c r="AE248" t="str">
        <f t="shared" si="49"/>
        <v>ST</v>
      </c>
      <c r="AG248">
        <f>Alukset_Käynnit!O255</f>
        <v>0</v>
      </c>
      <c r="AH248" s="207">
        <f>IF(AA248="SSD",((U248*Alukset_fx!$B$24)*Alukset_Käynnit_Lask!W248*(Alukset_fx!$K$49)/1000),IF(AA248="MSD",((U248*Alukset_fx!$B$24)*Alukset_Käynnit_Lask!W248*(Alukset_fx!$K$52)/1000),IF(AA248="HSD",((U248*Alukset_fx!$B$24)*Alukset_Käynnit_Lask!W248*(Alukset_fx!$K$55)/1000),0)))</f>
        <v>0</v>
      </c>
      <c r="AI248" s="207">
        <f>IF(AC248="MSD",((V248*Alukset_fx!$B$25)*Alukset_Käynnit_Lask!W248*(Alukset_fx!$L$52)/1000),IF(AC248="HSD",((V248*Alukset_fx!$B$25)*Alukset_Käynnit_Lask!W248*(Alukset_fx!$L$55)/1000),0))</f>
        <v>0</v>
      </c>
      <c r="AJ248" s="207">
        <f>X248*W248*Alukset_fx!$K$61/1000</f>
        <v>0</v>
      </c>
      <c r="AK248">
        <v>0</v>
      </c>
      <c r="AL248" s="207">
        <f>IF(AG248="Käytetty",0,IF(AC248="MSD",((V248*Alukset_fx!$O$25)*Alukset_Käynnit_Lask!O248*(Alukset_fx!$L$52)/1000),IF(AC248="HSD",((V248*Alukset_fx!$O$25)*Alukset_Käynnit_Lask!O248*(Alukset_fx!$L$55)/1000),0)))</f>
        <v>0</v>
      </c>
      <c r="AM248" s="207">
        <f>IF(AG248="Käytetty",0,Y248*O248*Alukset_fx!$K$61/1000)</f>
        <v>0</v>
      </c>
      <c r="AN248" s="213">
        <f t="shared" si="50"/>
        <v>0</v>
      </c>
    </row>
    <row r="249" spans="1:40" x14ac:dyDescent="0.25">
      <c r="A249" s="203">
        <f>Alukset_Käynnit!A256</f>
        <v>0</v>
      </c>
      <c r="B249" s="203">
        <f>Alukset_Käynnit!B256</f>
        <v>0</v>
      </c>
      <c r="C249" s="262">
        <f>Alukset_Käynnit!C256</f>
        <v>0</v>
      </c>
      <c r="D249" s="266">
        <f>Alukset_Käynnit!D256</f>
        <v>0</v>
      </c>
      <c r="E249" s="262">
        <f>Alukset_Käynnit!E256</f>
        <v>0</v>
      </c>
      <c r="F249" s="262">
        <f>Alukset_Käynnit!F256</f>
        <v>0</v>
      </c>
      <c r="G249" s="262">
        <f>Alukset_Käynnit!G256</f>
        <v>0</v>
      </c>
      <c r="H249" s="262">
        <f>Alukset_Käynnit!H256</f>
        <v>0</v>
      </c>
      <c r="I249" s="262">
        <f>Alukset_Käynnit!I256</f>
        <v>0</v>
      </c>
      <c r="J249" s="262">
        <f>Alukset_Käynnit!J256</f>
        <v>0</v>
      </c>
      <c r="K249" s="262">
        <f>Alukset_Käynnit!K256</f>
        <v>0</v>
      </c>
      <c r="L249" s="205">
        <f>Alukset_Käynnit!L256</f>
        <v>0</v>
      </c>
      <c r="N249" s="273">
        <f t="shared" si="51"/>
        <v>0</v>
      </c>
      <c r="O249" s="274">
        <f t="shared" si="52"/>
        <v>0</v>
      </c>
      <c r="Q249" s="204">
        <f t="shared" si="41"/>
        <v>0</v>
      </c>
      <c r="R249" s="202">
        <f>IF(Q249="Other dry cargo",L249*Alukset_fx!$B$71,IF(OR(Q249="Dry bulk",Q249="Bulk carrier"),L249*Alukset_fx!$B$69,IF(Q249="Tugboat",L249*Alukset_fx!$B$76,IF(OR(Q249="Tanker",Q249="Gas tanker",Q249="Chemical tanker",Q249="Oil tanker"),L249*Alukset_fx!$B$68,IF(OR(Q249="RoRo",Q249="Vehicle carrier"),L249*Alukset_fx!$B$72,IF(Q249="RoPax",L249*Alukset_fx!$B$73,IF(Q249="Container ship",L249*Alukset_fx!$B$70,IF(Q249="Barge",0,L249*Alukset_fx!$B$75))))))))</f>
        <v>0</v>
      </c>
      <c r="S249" s="210">
        <f>IF(L249=0,IF(Q249="Other dry cargo",Alukset_fx!$H$73*(Alukset_Käynnit_Lask!K249^Alukset_fx!$I$73),IF(OR(Q249="Dry Bulk",Q249="Bulk carrier"),Alukset_fx!$H$71*(Alukset_Käynnit_Lask!K249^Alukset_fx!$I$71),IF(Q249="Tugboat",Alukset_fx!$H$78*(Alukset_Käynnit_Lask!K249^Alukset_fx!$I$78),IF(OR(Q249="Tanker",Q249="Gas tanker",Q249="Chemical tanker",Q249="Oil tanker"),Alukset_fx!$H$70*(Alukset_Käynnit_Lask!K249^Alukset_fx!$I$70),IF(Q249="Container ship",Alukset_fx!$H$72*(Alukset_Käynnit_Lask!K249^Alukset_fx!$I$72),IF(Q249="Barge",0,IF(Q249="RoPax",Alukset_fx!$H$75*(Alukset_Käynnit_Lask!K249^Alukset_fx!$I$75),IF(OR(Q249="RoRo",Q249="Vehicle carrier"),Alukset_fx!$H$74*(Alukset_Käynnit_Lask!K249^Alukset_fx!$I$74),Alukset_fx!$H$77*(Alukset_Käynnit_Lask!K249^Alukset_fx!$I$77))))))))),"-")</f>
        <v>0</v>
      </c>
      <c r="T249" s="208">
        <f>IF(R249=0,IF(Q249="Other dry cargo",S249*Alukset_fx!$B$71,IF(OR(Q249="Dry bulk",Q249="Bulk carrier"),S249*Alukset_fx!$B$69,IF(Q249="Tugboat",S249*Alukset_fx!$B$76,IF(OR(Q249="Tanker",Q249="Gas tanker",Q249="Chemical tanker",Q249="Oil tanker"),S249*Alukset_fx!$B$68,IF(OR(Q249="RoRo",Q249="Vehicle carrier"),S249*Alukset_fx!$B$72,IF(Q249="RoPax",S249*Alukset_fx!$B$73,IF(Q249="Container ship",S249*Alukset_fx!$B$70,S249*Alukset_fx!$B$75))))))),"-")</f>
        <v>0</v>
      </c>
      <c r="U249" s="208">
        <f t="shared" si="42"/>
        <v>0</v>
      </c>
      <c r="V249" s="208">
        <f t="shared" si="43"/>
        <v>0</v>
      </c>
      <c r="W249" s="202">
        <f>Alukset_Käynnit!N256</f>
        <v>0</v>
      </c>
      <c r="X249" s="211">
        <f>IF(Q249="Other dry cargo", Alukset_fx!$C$52, IF(OR(Q249="Dry bulk",Q249="Bulk carrier"),Alukset_fx!$C$35,IF(OR(Q249="Tanker",Q249="Gas tanker",Q249="Oil tanker"),Alukset_fx!$C$57,IF(Q249="Chemical tanker",Alukset_fx!$C$56,IF(OR(Q249="Tugboat",Q249="Barge"),0,IF(Q249="Other vessel",Alukset_fx!$C$54,IF(Q249="Container ship",Alukset_fx!$C$37,IF(OR(Q249="RoPax",Q249="RoRo",Q249="Vehicle carrier"),Alukset_fx!$C$55,0))))))))</f>
        <v>0</v>
      </c>
      <c r="Y249" s="211">
        <f>IF(Q249="Other dry cargo", Alukset_fx!$Q$52, IF(OR(Q249="Dry bulk",Q249="Bulk carrier"),Alukset_fx!$Q$35,IF(OR(Q249="Tanker",Q249="Gas tanker",Q249="Oil tanker"),Alukset_fx!$Q$57,IF(Q249="Chemical tanker",Alukset_fx!$Q$56,IF(OR(Q249="Tugboat",Q249="Barge"),0,IF(Q249="Other vessel",Alukset_fx!$Q$54,IF(Q249="Container ship",Alukset_fx!$Q$37,IF(OR(Q249="RoPax",Q249="RoRo",Q249="Vehicle carrier"),Alukset_fx!$Q$55,0))))))))</f>
        <v>0</v>
      </c>
      <c r="Z249" t="str">
        <f t="shared" si="44"/>
        <v>MDO/MGO</v>
      </c>
      <c r="AA249" t="str">
        <f t="shared" si="45"/>
        <v>MSD</v>
      </c>
      <c r="AB249" t="str">
        <f t="shared" si="46"/>
        <v>MDO/MGO</v>
      </c>
      <c r="AC249" t="str">
        <f t="shared" si="47"/>
        <v>MSD</v>
      </c>
      <c r="AD249" t="str">
        <f t="shared" si="48"/>
        <v>MDO/MGO</v>
      </c>
      <c r="AE249" t="str">
        <f t="shared" si="49"/>
        <v>ST</v>
      </c>
      <c r="AG249">
        <f>Alukset_Käynnit!O256</f>
        <v>0</v>
      </c>
      <c r="AH249" s="207">
        <f>IF(AA249="SSD",((U249*Alukset_fx!$B$24)*Alukset_Käynnit_Lask!W249*(Alukset_fx!$K$49)/1000),IF(AA249="MSD",((U249*Alukset_fx!$B$24)*Alukset_Käynnit_Lask!W249*(Alukset_fx!$K$52)/1000),IF(AA249="HSD",((U249*Alukset_fx!$B$24)*Alukset_Käynnit_Lask!W249*(Alukset_fx!$K$55)/1000),0)))</f>
        <v>0</v>
      </c>
      <c r="AI249" s="207">
        <f>IF(AC249="MSD",((V249*Alukset_fx!$B$25)*Alukset_Käynnit_Lask!W249*(Alukset_fx!$L$52)/1000),IF(AC249="HSD",((V249*Alukset_fx!$B$25)*Alukset_Käynnit_Lask!W249*(Alukset_fx!$L$55)/1000),0))</f>
        <v>0</v>
      </c>
      <c r="AJ249" s="207">
        <f>X249*W249*Alukset_fx!$K$61/1000</f>
        <v>0</v>
      </c>
      <c r="AK249">
        <v>0</v>
      </c>
      <c r="AL249" s="207">
        <f>IF(AG249="Käytetty",0,IF(AC249="MSD",((V249*Alukset_fx!$O$25)*Alukset_Käynnit_Lask!O249*(Alukset_fx!$L$52)/1000),IF(AC249="HSD",((V249*Alukset_fx!$O$25)*Alukset_Käynnit_Lask!O249*(Alukset_fx!$L$55)/1000),0)))</f>
        <v>0</v>
      </c>
      <c r="AM249" s="207">
        <f>IF(AG249="Käytetty",0,Y249*O249*Alukset_fx!$K$61/1000)</f>
        <v>0</v>
      </c>
      <c r="AN249" s="213">
        <f t="shared" si="50"/>
        <v>0</v>
      </c>
    </row>
    <row r="250" spans="1:40" x14ac:dyDescent="0.25">
      <c r="A250" s="203">
        <f>Alukset_Käynnit!A257</f>
        <v>0</v>
      </c>
      <c r="B250" s="203">
        <f>Alukset_Käynnit!B257</f>
        <v>0</v>
      </c>
      <c r="C250" s="262">
        <f>Alukset_Käynnit!C257</f>
        <v>0</v>
      </c>
      <c r="D250" s="266">
        <f>Alukset_Käynnit!D257</f>
        <v>0</v>
      </c>
      <c r="E250" s="262">
        <f>Alukset_Käynnit!E257</f>
        <v>0</v>
      </c>
      <c r="F250" s="262">
        <f>Alukset_Käynnit!F257</f>
        <v>0</v>
      </c>
      <c r="G250" s="262">
        <f>Alukset_Käynnit!G257</f>
        <v>0</v>
      </c>
      <c r="H250" s="262">
        <f>Alukset_Käynnit!H257</f>
        <v>0</v>
      </c>
      <c r="I250" s="262">
        <f>Alukset_Käynnit!I257</f>
        <v>0</v>
      </c>
      <c r="J250" s="262">
        <f>Alukset_Käynnit!J257</f>
        <v>0</v>
      </c>
      <c r="K250" s="262">
        <f>Alukset_Käynnit!K257</f>
        <v>0</v>
      </c>
      <c r="L250" s="205">
        <f>Alukset_Käynnit!L257</f>
        <v>0</v>
      </c>
      <c r="N250" s="273">
        <f t="shared" si="51"/>
        <v>0</v>
      </c>
      <c r="O250" s="274">
        <f t="shared" si="52"/>
        <v>0</v>
      </c>
      <c r="Q250" s="204">
        <f t="shared" si="41"/>
        <v>0</v>
      </c>
      <c r="R250" s="202">
        <f>IF(Q250="Other dry cargo",L250*Alukset_fx!$B$71,IF(OR(Q250="Dry bulk",Q250="Bulk carrier"),L250*Alukset_fx!$B$69,IF(Q250="Tugboat",L250*Alukset_fx!$B$76,IF(OR(Q250="Tanker",Q250="Gas tanker",Q250="Chemical tanker",Q250="Oil tanker"),L250*Alukset_fx!$B$68,IF(OR(Q250="RoRo",Q250="Vehicle carrier"),L250*Alukset_fx!$B$72,IF(Q250="RoPax",L250*Alukset_fx!$B$73,IF(Q250="Container ship",L250*Alukset_fx!$B$70,IF(Q250="Barge",0,L250*Alukset_fx!$B$75))))))))</f>
        <v>0</v>
      </c>
      <c r="S250" s="210">
        <f>IF(L250=0,IF(Q250="Other dry cargo",Alukset_fx!$H$73*(Alukset_Käynnit_Lask!K250^Alukset_fx!$I$73),IF(OR(Q250="Dry Bulk",Q250="Bulk carrier"),Alukset_fx!$H$71*(Alukset_Käynnit_Lask!K250^Alukset_fx!$I$71),IF(Q250="Tugboat",Alukset_fx!$H$78*(Alukset_Käynnit_Lask!K250^Alukset_fx!$I$78),IF(OR(Q250="Tanker",Q250="Gas tanker",Q250="Chemical tanker",Q250="Oil tanker"),Alukset_fx!$H$70*(Alukset_Käynnit_Lask!K250^Alukset_fx!$I$70),IF(Q250="Container ship",Alukset_fx!$H$72*(Alukset_Käynnit_Lask!K250^Alukset_fx!$I$72),IF(Q250="Barge",0,IF(Q250="RoPax",Alukset_fx!$H$75*(Alukset_Käynnit_Lask!K250^Alukset_fx!$I$75),IF(OR(Q250="RoRo",Q250="Vehicle carrier"),Alukset_fx!$H$74*(Alukset_Käynnit_Lask!K250^Alukset_fx!$I$74),Alukset_fx!$H$77*(Alukset_Käynnit_Lask!K250^Alukset_fx!$I$77))))))))),"-")</f>
        <v>0</v>
      </c>
      <c r="T250" s="208">
        <f>IF(R250=0,IF(Q250="Other dry cargo",S250*Alukset_fx!$B$71,IF(OR(Q250="Dry bulk",Q250="Bulk carrier"),S250*Alukset_fx!$B$69,IF(Q250="Tugboat",S250*Alukset_fx!$B$76,IF(OR(Q250="Tanker",Q250="Gas tanker",Q250="Chemical tanker",Q250="Oil tanker"),S250*Alukset_fx!$B$68,IF(OR(Q250="RoRo",Q250="Vehicle carrier"),S250*Alukset_fx!$B$72,IF(Q250="RoPax",S250*Alukset_fx!$B$73,IF(Q250="Container ship",S250*Alukset_fx!$B$70,S250*Alukset_fx!$B$75))))))),"-")</f>
        <v>0</v>
      </c>
      <c r="U250" s="208">
        <f t="shared" si="42"/>
        <v>0</v>
      </c>
      <c r="V250" s="208">
        <f t="shared" si="43"/>
        <v>0</v>
      </c>
      <c r="W250" s="202">
        <f>Alukset_Käynnit!N257</f>
        <v>0</v>
      </c>
      <c r="X250" s="211">
        <f>IF(Q250="Other dry cargo", Alukset_fx!$C$52, IF(OR(Q250="Dry bulk",Q250="Bulk carrier"),Alukset_fx!$C$35,IF(OR(Q250="Tanker",Q250="Gas tanker",Q250="Oil tanker"),Alukset_fx!$C$57,IF(Q250="Chemical tanker",Alukset_fx!$C$56,IF(OR(Q250="Tugboat",Q250="Barge"),0,IF(Q250="Other vessel",Alukset_fx!$C$54,IF(Q250="Container ship",Alukset_fx!$C$37,IF(OR(Q250="RoPax",Q250="RoRo",Q250="Vehicle carrier"),Alukset_fx!$C$55,0))))))))</f>
        <v>0</v>
      </c>
      <c r="Y250" s="211">
        <f>IF(Q250="Other dry cargo", Alukset_fx!$Q$52, IF(OR(Q250="Dry bulk",Q250="Bulk carrier"),Alukset_fx!$Q$35,IF(OR(Q250="Tanker",Q250="Gas tanker",Q250="Oil tanker"),Alukset_fx!$Q$57,IF(Q250="Chemical tanker",Alukset_fx!$Q$56,IF(OR(Q250="Tugboat",Q250="Barge"),0,IF(Q250="Other vessel",Alukset_fx!$Q$54,IF(Q250="Container ship",Alukset_fx!$Q$37,IF(OR(Q250="RoPax",Q250="RoRo",Q250="Vehicle carrier"),Alukset_fx!$Q$55,0))))))))</f>
        <v>0</v>
      </c>
      <c r="Z250" t="str">
        <f t="shared" si="44"/>
        <v>MDO/MGO</v>
      </c>
      <c r="AA250" t="str">
        <f t="shared" si="45"/>
        <v>MSD</v>
      </c>
      <c r="AB250" t="str">
        <f t="shared" si="46"/>
        <v>MDO/MGO</v>
      </c>
      <c r="AC250" t="str">
        <f t="shared" si="47"/>
        <v>MSD</v>
      </c>
      <c r="AD250" t="str">
        <f t="shared" si="48"/>
        <v>MDO/MGO</v>
      </c>
      <c r="AE250" t="str">
        <f t="shared" si="49"/>
        <v>ST</v>
      </c>
      <c r="AG250">
        <f>Alukset_Käynnit!O257</f>
        <v>0</v>
      </c>
      <c r="AH250" s="207">
        <f>IF(AA250="SSD",((U250*Alukset_fx!$B$24)*Alukset_Käynnit_Lask!W250*(Alukset_fx!$K$49)/1000),IF(AA250="MSD",((U250*Alukset_fx!$B$24)*Alukset_Käynnit_Lask!W250*(Alukset_fx!$K$52)/1000),IF(AA250="HSD",((U250*Alukset_fx!$B$24)*Alukset_Käynnit_Lask!W250*(Alukset_fx!$K$55)/1000),0)))</f>
        <v>0</v>
      </c>
      <c r="AI250" s="207">
        <f>IF(AC250="MSD",((V250*Alukset_fx!$B$25)*Alukset_Käynnit_Lask!W250*(Alukset_fx!$L$52)/1000),IF(AC250="HSD",((V250*Alukset_fx!$B$25)*Alukset_Käynnit_Lask!W250*(Alukset_fx!$L$55)/1000),0))</f>
        <v>0</v>
      </c>
      <c r="AJ250" s="207">
        <f>X250*W250*Alukset_fx!$K$61/1000</f>
        <v>0</v>
      </c>
      <c r="AK250">
        <v>0</v>
      </c>
      <c r="AL250" s="207">
        <f>IF(AG250="Käytetty",0,IF(AC250="MSD",((V250*Alukset_fx!$O$25)*Alukset_Käynnit_Lask!O250*(Alukset_fx!$L$52)/1000),IF(AC250="HSD",((V250*Alukset_fx!$O$25)*Alukset_Käynnit_Lask!O250*(Alukset_fx!$L$55)/1000),0)))</f>
        <v>0</v>
      </c>
      <c r="AM250" s="207">
        <f>IF(AG250="Käytetty",0,Y250*O250*Alukset_fx!$K$61/1000)</f>
        <v>0</v>
      </c>
      <c r="AN250" s="213">
        <f t="shared" si="50"/>
        <v>0</v>
      </c>
    </row>
    <row r="251" spans="1:40" x14ac:dyDescent="0.25">
      <c r="A251" s="203">
        <f>Alukset_Käynnit!A258</f>
        <v>0</v>
      </c>
      <c r="B251" s="203">
        <f>Alukset_Käynnit!B258</f>
        <v>0</v>
      </c>
      <c r="C251" s="262">
        <f>Alukset_Käynnit!C258</f>
        <v>0</v>
      </c>
      <c r="D251" s="266">
        <f>Alukset_Käynnit!D258</f>
        <v>0</v>
      </c>
      <c r="E251" s="262">
        <f>Alukset_Käynnit!E258</f>
        <v>0</v>
      </c>
      <c r="F251" s="262">
        <f>Alukset_Käynnit!F258</f>
        <v>0</v>
      </c>
      <c r="G251" s="262">
        <f>Alukset_Käynnit!G258</f>
        <v>0</v>
      </c>
      <c r="H251" s="262">
        <f>Alukset_Käynnit!H258</f>
        <v>0</v>
      </c>
      <c r="I251" s="262">
        <f>Alukset_Käynnit!I258</f>
        <v>0</v>
      </c>
      <c r="J251" s="262">
        <f>Alukset_Käynnit!J258</f>
        <v>0</v>
      </c>
      <c r="K251" s="262">
        <f>Alukset_Käynnit!K258</f>
        <v>0</v>
      </c>
      <c r="L251" s="205">
        <f>Alukset_Käynnit!L258</f>
        <v>0</v>
      </c>
      <c r="N251" s="273">
        <f t="shared" si="51"/>
        <v>0</v>
      </c>
      <c r="O251" s="274">
        <f t="shared" si="52"/>
        <v>0</v>
      </c>
      <c r="Q251" s="204">
        <f t="shared" si="41"/>
        <v>0</v>
      </c>
      <c r="R251" s="202">
        <f>IF(Q251="Other dry cargo",L251*Alukset_fx!$B$71,IF(OR(Q251="Dry bulk",Q251="Bulk carrier"),L251*Alukset_fx!$B$69,IF(Q251="Tugboat",L251*Alukset_fx!$B$76,IF(OR(Q251="Tanker",Q251="Gas tanker",Q251="Chemical tanker",Q251="Oil tanker"),L251*Alukset_fx!$B$68,IF(OR(Q251="RoRo",Q251="Vehicle carrier"),L251*Alukset_fx!$B$72,IF(Q251="RoPax",L251*Alukset_fx!$B$73,IF(Q251="Container ship",L251*Alukset_fx!$B$70,IF(Q251="Barge",0,L251*Alukset_fx!$B$75))))))))</f>
        <v>0</v>
      </c>
      <c r="S251" s="210">
        <f>IF(L251=0,IF(Q251="Other dry cargo",Alukset_fx!$H$73*(Alukset_Käynnit_Lask!K251^Alukset_fx!$I$73),IF(OR(Q251="Dry Bulk",Q251="Bulk carrier"),Alukset_fx!$H$71*(Alukset_Käynnit_Lask!K251^Alukset_fx!$I$71),IF(Q251="Tugboat",Alukset_fx!$H$78*(Alukset_Käynnit_Lask!K251^Alukset_fx!$I$78),IF(OR(Q251="Tanker",Q251="Gas tanker",Q251="Chemical tanker",Q251="Oil tanker"),Alukset_fx!$H$70*(Alukset_Käynnit_Lask!K251^Alukset_fx!$I$70),IF(Q251="Container ship",Alukset_fx!$H$72*(Alukset_Käynnit_Lask!K251^Alukset_fx!$I$72),IF(Q251="Barge",0,IF(Q251="RoPax",Alukset_fx!$H$75*(Alukset_Käynnit_Lask!K251^Alukset_fx!$I$75),IF(OR(Q251="RoRo",Q251="Vehicle carrier"),Alukset_fx!$H$74*(Alukset_Käynnit_Lask!K251^Alukset_fx!$I$74),Alukset_fx!$H$77*(Alukset_Käynnit_Lask!K251^Alukset_fx!$I$77))))))))),"-")</f>
        <v>0</v>
      </c>
      <c r="T251" s="208">
        <f>IF(R251=0,IF(Q251="Other dry cargo",S251*Alukset_fx!$B$71,IF(OR(Q251="Dry bulk",Q251="Bulk carrier"),S251*Alukset_fx!$B$69,IF(Q251="Tugboat",S251*Alukset_fx!$B$76,IF(OR(Q251="Tanker",Q251="Gas tanker",Q251="Chemical tanker",Q251="Oil tanker"),S251*Alukset_fx!$B$68,IF(OR(Q251="RoRo",Q251="Vehicle carrier"),S251*Alukset_fx!$B$72,IF(Q251="RoPax",S251*Alukset_fx!$B$73,IF(Q251="Container ship",S251*Alukset_fx!$B$70,S251*Alukset_fx!$B$75))))))),"-")</f>
        <v>0</v>
      </c>
      <c r="U251" s="208">
        <f t="shared" si="42"/>
        <v>0</v>
      </c>
      <c r="V251" s="208">
        <f t="shared" si="43"/>
        <v>0</v>
      </c>
      <c r="W251" s="202">
        <f>Alukset_Käynnit!N258</f>
        <v>0</v>
      </c>
      <c r="X251" s="211">
        <f>IF(Q251="Other dry cargo", Alukset_fx!$C$52, IF(OR(Q251="Dry bulk",Q251="Bulk carrier"),Alukset_fx!$C$35,IF(OR(Q251="Tanker",Q251="Gas tanker",Q251="Oil tanker"),Alukset_fx!$C$57,IF(Q251="Chemical tanker",Alukset_fx!$C$56,IF(OR(Q251="Tugboat",Q251="Barge"),0,IF(Q251="Other vessel",Alukset_fx!$C$54,IF(Q251="Container ship",Alukset_fx!$C$37,IF(OR(Q251="RoPax",Q251="RoRo",Q251="Vehicle carrier"),Alukset_fx!$C$55,0))))))))</f>
        <v>0</v>
      </c>
      <c r="Y251" s="211">
        <f>IF(Q251="Other dry cargo", Alukset_fx!$Q$52, IF(OR(Q251="Dry bulk",Q251="Bulk carrier"),Alukset_fx!$Q$35,IF(OR(Q251="Tanker",Q251="Gas tanker",Q251="Oil tanker"),Alukset_fx!$Q$57,IF(Q251="Chemical tanker",Alukset_fx!$Q$56,IF(OR(Q251="Tugboat",Q251="Barge"),0,IF(Q251="Other vessel",Alukset_fx!$Q$54,IF(Q251="Container ship",Alukset_fx!$Q$37,IF(OR(Q251="RoPax",Q251="RoRo",Q251="Vehicle carrier"),Alukset_fx!$Q$55,0))))))))</f>
        <v>0</v>
      </c>
      <c r="Z251" t="str">
        <f t="shared" si="44"/>
        <v>MDO/MGO</v>
      </c>
      <c r="AA251" t="str">
        <f t="shared" si="45"/>
        <v>MSD</v>
      </c>
      <c r="AB251" t="str">
        <f t="shared" si="46"/>
        <v>MDO/MGO</v>
      </c>
      <c r="AC251" t="str">
        <f t="shared" si="47"/>
        <v>MSD</v>
      </c>
      <c r="AD251" t="str">
        <f t="shared" si="48"/>
        <v>MDO/MGO</v>
      </c>
      <c r="AE251" t="str">
        <f t="shared" si="49"/>
        <v>ST</v>
      </c>
      <c r="AG251">
        <f>Alukset_Käynnit!O258</f>
        <v>0</v>
      </c>
      <c r="AH251" s="207">
        <f>IF(AA251="SSD",((U251*Alukset_fx!$B$24)*Alukset_Käynnit_Lask!W251*(Alukset_fx!$K$49)/1000),IF(AA251="MSD",((U251*Alukset_fx!$B$24)*Alukset_Käynnit_Lask!W251*(Alukset_fx!$K$52)/1000),IF(AA251="HSD",((U251*Alukset_fx!$B$24)*Alukset_Käynnit_Lask!W251*(Alukset_fx!$K$55)/1000),0)))</f>
        <v>0</v>
      </c>
      <c r="AI251" s="207">
        <f>IF(AC251="MSD",((V251*Alukset_fx!$B$25)*Alukset_Käynnit_Lask!W251*(Alukset_fx!$L$52)/1000),IF(AC251="HSD",((V251*Alukset_fx!$B$25)*Alukset_Käynnit_Lask!W251*(Alukset_fx!$L$55)/1000),0))</f>
        <v>0</v>
      </c>
      <c r="AJ251" s="207">
        <f>X251*W251*Alukset_fx!$K$61/1000</f>
        <v>0</v>
      </c>
      <c r="AK251">
        <v>0</v>
      </c>
      <c r="AL251" s="207">
        <f>IF(AG251="Käytetty",0,IF(AC251="MSD",((V251*Alukset_fx!$O$25)*Alukset_Käynnit_Lask!O251*(Alukset_fx!$L$52)/1000),IF(AC251="HSD",((V251*Alukset_fx!$O$25)*Alukset_Käynnit_Lask!O251*(Alukset_fx!$L$55)/1000),0)))</f>
        <v>0</v>
      </c>
      <c r="AM251" s="207">
        <f>IF(AG251="Käytetty",0,Y251*O251*Alukset_fx!$K$61/1000)</f>
        <v>0</v>
      </c>
      <c r="AN251" s="213">
        <f t="shared" si="50"/>
        <v>0</v>
      </c>
    </row>
    <row r="252" spans="1:40" x14ac:dyDescent="0.25">
      <c r="A252" s="203">
        <f>Alukset_Käynnit!A259</f>
        <v>0</v>
      </c>
      <c r="B252" s="203">
        <f>Alukset_Käynnit!B259</f>
        <v>0</v>
      </c>
      <c r="C252" s="262">
        <f>Alukset_Käynnit!C259</f>
        <v>0</v>
      </c>
      <c r="D252" s="266">
        <f>Alukset_Käynnit!D259</f>
        <v>0</v>
      </c>
      <c r="E252" s="262">
        <f>Alukset_Käynnit!E259</f>
        <v>0</v>
      </c>
      <c r="F252" s="262">
        <f>Alukset_Käynnit!F259</f>
        <v>0</v>
      </c>
      <c r="G252" s="262">
        <f>Alukset_Käynnit!G259</f>
        <v>0</v>
      </c>
      <c r="H252" s="262">
        <f>Alukset_Käynnit!H259</f>
        <v>0</v>
      </c>
      <c r="I252" s="262">
        <f>Alukset_Käynnit!I259</f>
        <v>0</v>
      </c>
      <c r="J252" s="262">
        <f>Alukset_Käynnit!J259</f>
        <v>0</v>
      </c>
      <c r="K252" s="262">
        <f>Alukset_Käynnit!K259</f>
        <v>0</v>
      </c>
      <c r="L252" s="205">
        <f>Alukset_Käynnit!L259</f>
        <v>0</v>
      </c>
      <c r="N252" s="273">
        <f t="shared" si="51"/>
        <v>0</v>
      </c>
      <c r="O252" s="274">
        <f t="shared" si="52"/>
        <v>0</v>
      </c>
      <c r="Q252" s="204">
        <f t="shared" si="41"/>
        <v>0</v>
      </c>
      <c r="R252" s="202">
        <f>IF(Q252="Other dry cargo",L252*Alukset_fx!$B$71,IF(OR(Q252="Dry bulk",Q252="Bulk carrier"),L252*Alukset_fx!$B$69,IF(Q252="Tugboat",L252*Alukset_fx!$B$76,IF(OR(Q252="Tanker",Q252="Gas tanker",Q252="Chemical tanker",Q252="Oil tanker"),L252*Alukset_fx!$B$68,IF(OR(Q252="RoRo",Q252="Vehicle carrier"),L252*Alukset_fx!$B$72,IF(Q252="RoPax",L252*Alukset_fx!$B$73,IF(Q252="Container ship",L252*Alukset_fx!$B$70,IF(Q252="Barge",0,L252*Alukset_fx!$B$75))))))))</f>
        <v>0</v>
      </c>
      <c r="S252" s="210">
        <f>IF(L252=0,IF(Q252="Other dry cargo",Alukset_fx!$H$73*(Alukset_Käynnit_Lask!K252^Alukset_fx!$I$73),IF(OR(Q252="Dry Bulk",Q252="Bulk carrier"),Alukset_fx!$H$71*(Alukset_Käynnit_Lask!K252^Alukset_fx!$I$71),IF(Q252="Tugboat",Alukset_fx!$H$78*(Alukset_Käynnit_Lask!K252^Alukset_fx!$I$78),IF(OR(Q252="Tanker",Q252="Gas tanker",Q252="Chemical tanker",Q252="Oil tanker"),Alukset_fx!$H$70*(Alukset_Käynnit_Lask!K252^Alukset_fx!$I$70),IF(Q252="Container ship",Alukset_fx!$H$72*(Alukset_Käynnit_Lask!K252^Alukset_fx!$I$72),IF(Q252="Barge",0,IF(Q252="RoPax",Alukset_fx!$H$75*(Alukset_Käynnit_Lask!K252^Alukset_fx!$I$75),IF(OR(Q252="RoRo",Q252="Vehicle carrier"),Alukset_fx!$H$74*(Alukset_Käynnit_Lask!K252^Alukset_fx!$I$74),Alukset_fx!$H$77*(Alukset_Käynnit_Lask!K252^Alukset_fx!$I$77))))))))),"-")</f>
        <v>0</v>
      </c>
      <c r="T252" s="208">
        <f>IF(R252=0,IF(Q252="Other dry cargo",S252*Alukset_fx!$B$71,IF(OR(Q252="Dry bulk",Q252="Bulk carrier"),S252*Alukset_fx!$B$69,IF(Q252="Tugboat",S252*Alukset_fx!$B$76,IF(OR(Q252="Tanker",Q252="Gas tanker",Q252="Chemical tanker",Q252="Oil tanker"),S252*Alukset_fx!$B$68,IF(OR(Q252="RoRo",Q252="Vehicle carrier"),S252*Alukset_fx!$B$72,IF(Q252="RoPax",S252*Alukset_fx!$B$73,IF(Q252="Container ship",S252*Alukset_fx!$B$70,S252*Alukset_fx!$B$75))))))),"-")</f>
        <v>0</v>
      </c>
      <c r="U252" s="208">
        <f t="shared" si="42"/>
        <v>0</v>
      </c>
      <c r="V252" s="208">
        <f t="shared" si="43"/>
        <v>0</v>
      </c>
      <c r="W252" s="202">
        <f>Alukset_Käynnit!N259</f>
        <v>0</v>
      </c>
      <c r="X252" s="211">
        <f>IF(Q252="Other dry cargo", Alukset_fx!$C$52, IF(OR(Q252="Dry bulk",Q252="Bulk carrier"),Alukset_fx!$C$35,IF(OR(Q252="Tanker",Q252="Gas tanker",Q252="Oil tanker"),Alukset_fx!$C$57,IF(Q252="Chemical tanker",Alukset_fx!$C$56,IF(OR(Q252="Tugboat",Q252="Barge"),0,IF(Q252="Other vessel",Alukset_fx!$C$54,IF(Q252="Container ship",Alukset_fx!$C$37,IF(OR(Q252="RoPax",Q252="RoRo",Q252="Vehicle carrier"),Alukset_fx!$C$55,0))))))))</f>
        <v>0</v>
      </c>
      <c r="Y252" s="211">
        <f>IF(Q252="Other dry cargo", Alukset_fx!$Q$52, IF(OR(Q252="Dry bulk",Q252="Bulk carrier"),Alukset_fx!$Q$35,IF(OR(Q252="Tanker",Q252="Gas tanker",Q252="Oil tanker"),Alukset_fx!$Q$57,IF(Q252="Chemical tanker",Alukset_fx!$Q$56,IF(OR(Q252="Tugboat",Q252="Barge"),0,IF(Q252="Other vessel",Alukset_fx!$Q$54,IF(Q252="Container ship",Alukset_fx!$Q$37,IF(OR(Q252="RoPax",Q252="RoRo",Q252="Vehicle carrier"),Alukset_fx!$Q$55,0))))))))</f>
        <v>0</v>
      </c>
      <c r="Z252" t="str">
        <f t="shared" si="44"/>
        <v>MDO/MGO</v>
      </c>
      <c r="AA252" t="str">
        <f t="shared" si="45"/>
        <v>MSD</v>
      </c>
      <c r="AB252" t="str">
        <f t="shared" si="46"/>
        <v>MDO/MGO</v>
      </c>
      <c r="AC252" t="str">
        <f t="shared" si="47"/>
        <v>MSD</v>
      </c>
      <c r="AD252" t="str">
        <f t="shared" si="48"/>
        <v>MDO/MGO</v>
      </c>
      <c r="AE252" t="str">
        <f t="shared" si="49"/>
        <v>ST</v>
      </c>
      <c r="AG252">
        <f>Alukset_Käynnit!O259</f>
        <v>0</v>
      </c>
      <c r="AH252" s="207">
        <f>IF(AA252="SSD",((U252*Alukset_fx!$B$24)*Alukset_Käynnit_Lask!W252*(Alukset_fx!$K$49)/1000),IF(AA252="MSD",((U252*Alukset_fx!$B$24)*Alukset_Käynnit_Lask!W252*(Alukset_fx!$K$52)/1000),IF(AA252="HSD",((U252*Alukset_fx!$B$24)*Alukset_Käynnit_Lask!W252*(Alukset_fx!$K$55)/1000),0)))</f>
        <v>0</v>
      </c>
      <c r="AI252" s="207">
        <f>IF(AC252="MSD",((V252*Alukset_fx!$B$25)*Alukset_Käynnit_Lask!W252*(Alukset_fx!$L$52)/1000),IF(AC252="HSD",((V252*Alukset_fx!$B$25)*Alukset_Käynnit_Lask!W252*(Alukset_fx!$L$55)/1000),0))</f>
        <v>0</v>
      </c>
      <c r="AJ252" s="207">
        <f>X252*W252*Alukset_fx!$K$61/1000</f>
        <v>0</v>
      </c>
      <c r="AK252">
        <v>0</v>
      </c>
      <c r="AL252" s="207">
        <f>IF(AG252="Käytetty",0,IF(AC252="MSD",((V252*Alukset_fx!$O$25)*Alukset_Käynnit_Lask!O252*(Alukset_fx!$L$52)/1000),IF(AC252="HSD",((V252*Alukset_fx!$O$25)*Alukset_Käynnit_Lask!O252*(Alukset_fx!$L$55)/1000),0)))</f>
        <v>0</v>
      </c>
      <c r="AM252" s="207">
        <f>IF(AG252="Käytetty",0,Y252*O252*Alukset_fx!$K$61/1000)</f>
        <v>0</v>
      </c>
      <c r="AN252" s="213">
        <f t="shared" si="50"/>
        <v>0</v>
      </c>
    </row>
    <row r="253" spans="1:40" x14ac:dyDescent="0.25">
      <c r="A253" s="203">
        <f>Alukset_Käynnit!A260</f>
        <v>0</v>
      </c>
      <c r="B253" s="203">
        <f>Alukset_Käynnit!B260</f>
        <v>0</v>
      </c>
      <c r="C253" s="262">
        <f>Alukset_Käynnit!C260</f>
        <v>0</v>
      </c>
      <c r="D253" s="266">
        <f>Alukset_Käynnit!D260</f>
        <v>0</v>
      </c>
      <c r="E253" s="262">
        <f>Alukset_Käynnit!E260</f>
        <v>0</v>
      </c>
      <c r="F253" s="262">
        <f>Alukset_Käynnit!F260</f>
        <v>0</v>
      </c>
      <c r="G253" s="262">
        <f>Alukset_Käynnit!G260</f>
        <v>0</v>
      </c>
      <c r="H253" s="262">
        <f>Alukset_Käynnit!H260</f>
        <v>0</v>
      </c>
      <c r="I253" s="262">
        <f>Alukset_Käynnit!I260</f>
        <v>0</v>
      </c>
      <c r="J253" s="262">
        <f>Alukset_Käynnit!J260</f>
        <v>0</v>
      </c>
      <c r="K253" s="262">
        <f>Alukset_Käynnit!K260</f>
        <v>0</v>
      </c>
      <c r="L253" s="205">
        <f>Alukset_Käynnit!L260</f>
        <v>0</v>
      </c>
      <c r="N253" s="273">
        <f t="shared" si="51"/>
        <v>0</v>
      </c>
      <c r="O253" s="274">
        <f t="shared" si="52"/>
        <v>0</v>
      </c>
      <c r="Q253" s="204">
        <f t="shared" si="41"/>
        <v>0</v>
      </c>
      <c r="R253" s="202">
        <f>IF(Q253="Other dry cargo",L253*Alukset_fx!$B$71,IF(OR(Q253="Dry bulk",Q253="Bulk carrier"),L253*Alukset_fx!$B$69,IF(Q253="Tugboat",L253*Alukset_fx!$B$76,IF(OR(Q253="Tanker",Q253="Gas tanker",Q253="Chemical tanker",Q253="Oil tanker"),L253*Alukset_fx!$B$68,IF(OR(Q253="RoRo",Q253="Vehicle carrier"),L253*Alukset_fx!$B$72,IF(Q253="RoPax",L253*Alukset_fx!$B$73,IF(Q253="Container ship",L253*Alukset_fx!$B$70,IF(Q253="Barge",0,L253*Alukset_fx!$B$75))))))))</f>
        <v>0</v>
      </c>
      <c r="S253" s="210">
        <f>IF(L253=0,IF(Q253="Other dry cargo",Alukset_fx!$H$73*(Alukset_Käynnit_Lask!K253^Alukset_fx!$I$73),IF(OR(Q253="Dry Bulk",Q253="Bulk carrier"),Alukset_fx!$H$71*(Alukset_Käynnit_Lask!K253^Alukset_fx!$I$71),IF(Q253="Tugboat",Alukset_fx!$H$78*(Alukset_Käynnit_Lask!K253^Alukset_fx!$I$78),IF(OR(Q253="Tanker",Q253="Gas tanker",Q253="Chemical tanker",Q253="Oil tanker"),Alukset_fx!$H$70*(Alukset_Käynnit_Lask!K253^Alukset_fx!$I$70),IF(Q253="Container ship",Alukset_fx!$H$72*(Alukset_Käynnit_Lask!K253^Alukset_fx!$I$72),IF(Q253="Barge",0,IF(Q253="RoPax",Alukset_fx!$H$75*(Alukset_Käynnit_Lask!K253^Alukset_fx!$I$75),IF(OR(Q253="RoRo",Q253="Vehicle carrier"),Alukset_fx!$H$74*(Alukset_Käynnit_Lask!K253^Alukset_fx!$I$74),Alukset_fx!$H$77*(Alukset_Käynnit_Lask!K253^Alukset_fx!$I$77))))))))),"-")</f>
        <v>0</v>
      </c>
      <c r="T253" s="208">
        <f>IF(R253=0,IF(Q253="Other dry cargo",S253*Alukset_fx!$B$71,IF(OR(Q253="Dry bulk",Q253="Bulk carrier"),S253*Alukset_fx!$B$69,IF(Q253="Tugboat",S253*Alukset_fx!$B$76,IF(OR(Q253="Tanker",Q253="Gas tanker",Q253="Chemical tanker",Q253="Oil tanker"),S253*Alukset_fx!$B$68,IF(OR(Q253="RoRo",Q253="Vehicle carrier"),S253*Alukset_fx!$B$72,IF(Q253="RoPax",S253*Alukset_fx!$B$73,IF(Q253="Container ship",S253*Alukset_fx!$B$70,S253*Alukset_fx!$B$75))))))),"-")</f>
        <v>0</v>
      </c>
      <c r="U253" s="208">
        <f t="shared" si="42"/>
        <v>0</v>
      </c>
      <c r="V253" s="208">
        <f t="shared" si="43"/>
        <v>0</v>
      </c>
      <c r="W253" s="202">
        <f>Alukset_Käynnit!N260</f>
        <v>0</v>
      </c>
      <c r="X253" s="211">
        <f>IF(Q253="Other dry cargo", Alukset_fx!$C$52, IF(OR(Q253="Dry bulk",Q253="Bulk carrier"),Alukset_fx!$C$35,IF(OR(Q253="Tanker",Q253="Gas tanker",Q253="Oil tanker"),Alukset_fx!$C$57,IF(Q253="Chemical tanker",Alukset_fx!$C$56,IF(OR(Q253="Tugboat",Q253="Barge"),0,IF(Q253="Other vessel",Alukset_fx!$C$54,IF(Q253="Container ship",Alukset_fx!$C$37,IF(OR(Q253="RoPax",Q253="RoRo",Q253="Vehicle carrier"),Alukset_fx!$C$55,0))))))))</f>
        <v>0</v>
      </c>
      <c r="Y253" s="211">
        <f>IF(Q253="Other dry cargo", Alukset_fx!$Q$52, IF(OR(Q253="Dry bulk",Q253="Bulk carrier"),Alukset_fx!$Q$35,IF(OR(Q253="Tanker",Q253="Gas tanker",Q253="Oil tanker"),Alukset_fx!$Q$57,IF(Q253="Chemical tanker",Alukset_fx!$Q$56,IF(OR(Q253="Tugboat",Q253="Barge"),0,IF(Q253="Other vessel",Alukset_fx!$Q$54,IF(Q253="Container ship",Alukset_fx!$Q$37,IF(OR(Q253="RoPax",Q253="RoRo",Q253="Vehicle carrier"),Alukset_fx!$Q$55,0))))))))</f>
        <v>0</v>
      </c>
      <c r="Z253" t="str">
        <f t="shared" si="44"/>
        <v>MDO/MGO</v>
      </c>
      <c r="AA253" t="str">
        <f t="shared" si="45"/>
        <v>MSD</v>
      </c>
      <c r="AB253" t="str">
        <f t="shared" si="46"/>
        <v>MDO/MGO</v>
      </c>
      <c r="AC253" t="str">
        <f t="shared" si="47"/>
        <v>MSD</v>
      </c>
      <c r="AD253" t="str">
        <f t="shared" si="48"/>
        <v>MDO/MGO</v>
      </c>
      <c r="AE253" t="str">
        <f t="shared" si="49"/>
        <v>ST</v>
      </c>
      <c r="AG253">
        <f>Alukset_Käynnit!O260</f>
        <v>0</v>
      </c>
      <c r="AH253" s="207">
        <f>IF(AA253="SSD",((U253*Alukset_fx!$B$24)*Alukset_Käynnit_Lask!W253*(Alukset_fx!$K$49)/1000),IF(AA253="MSD",((U253*Alukset_fx!$B$24)*Alukset_Käynnit_Lask!W253*(Alukset_fx!$K$52)/1000),IF(AA253="HSD",((U253*Alukset_fx!$B$24)*Alukset_Käynnit_Lask!W253*(Alukset_fx!$K$55)/1000),0)))</f>
        <v>0</v>
      </c>
      <c r="AI253" s="207">
        <f>IF(AC253="MSD",((V253*Alukset_fx!$B$25)*Alukset_Käynnit_Lask!W253*(Alukset_fx!$L$52)/1000),IF(AC253="HSD",((V253*Alukset_fx!$B$25)*Alukset_Käynnit_Lask!W253*(Alukset_fx!$L$55)/1000),0))</f>
        <v>0</v>
      </c>
      <c r="AJ253" s="207">
        <f>X253*W253*Alukset_fx!$K$61/1000</f>
        <v>0</v>
      </c>
      <c r="AK253">
        <v>0</v>
      </c>
      <c r="AL253" s="207">
        <f>IF(AG253="Käytetty",0,IF(AC253="MSD",((V253*Alukset_fx!$O$25)*Alukset_Käynnit_Lask!O253*(Alukset_fx!$L$52)/1000),IF(AC253="HSD",((V253*Alukset_fx!$O$25)*Alukset_Käynnit_Lask!O253*(Alukset_fx!$L$55)/1000),0)))</f>
        <v>0</v>
      </c>
      <c r="AM253" s="207">
        <f>IF(AG253="Käytetty",0,Y253*O253*Alukset_fx!$K$61/1000)</f>
        <v>0</v>
      </c>
      <c r="AN253" s="213">
        <f t="shared" si="50"/>
        <v>0</v>
      </c>
    </row>
    <row r="254" spans="1:40" x14ac:dyDescent="0.25">
      <c r="A254" s="203">
        <f>Alukset_Käynnit!A261</f>
        <v>0</v>
      </c>
      <c r="B254" s="203">
        <f>Alukset_Käynnit!B261</f>
        <v>0</v>
      </c>
      <c r="C254" s="262">
        <f>Alukset_Käynnit!C261</f>
        <v>0</v>
      </c>
      <c r="D254" s="266">
        <f>Alukset_Käynnit!D261</f>
        <v>0</v>
      </c>
      <c r="E254" s="262">
        <f>Alukset_Käynnit!E261</f>
        <v>0</v>
      </c>
      <c r="F254" s="262">
        <f>Alukset_Käynnit!F261</f>
        <v>0</v>
      </c>
      <c r="G254" s="262">
        <f>Alukset_Käynnit!G261</f>
        <v>0</v>
      </c>
      <c r="H254" s="262">
        <f>Alukset_Käynnit!H261</f>
        <v>0</v>
      </c>
      <c r="I254" s="262">
        <f>Alukset_Käynnit!I261</f>
        <v>0</v>
      </c>
      <c r="J254" s="262">
        <f>Alukset_Käynnit!J261</f>
        <v>0</v>
      </c>
      <c r="K254" s="262">
        <f>Alukset_Käynnit!K261</f>
        <v>0</v>
      </c>
      <c r="L254" s="205">
        <f>Alukset_Käynnit!L261</f>
        <v>0</v>
      </c>
      <c r="N254" s="273">
        <f t="shared" si="51"/>
        <v>0</v>
      </c>
      <c r="O254" s="274">
        <f t="shared" si="52"/>
        <v>0</v>
      </c>
      <c r="Q254" s="204">
        <f t="shared" si="41"/>
        <v>0</v>
      </c>
      <c r="R254" s="202">
        <f>IF(Q254="Other dry cargo",L254*Alukset_fx!$B$71,IF(OR(Q254="Dry bulk",Q254="Bulk carrier"),L254*Alukset_fx!$B$69,IF(Q254="Tugboat",L254*Alukset_fx!$B$76,IF(OR(Q254="Tanker",Q254="Gas tanker",Q254="Chemical tanker",Q254="Oil tanker"),L254*Alukset_fx!$B$68,IF(OR(Q254="RoRo",Q254="Vehicle carrier"),L254*Alukset_fx!$B$72,IF(Q254="RoPax",L254*Alukset_fx!$B$73,IF(Q254="Container ship",L254*Alukset_fx!$B$70,IF(Q254="Barge",0,L254*Alukset_fx!$B$75))))))))</f>
        <v>0</v>
      </c>
      <c r="S254" s="210">
        <f>IF(L254=0,IF(Q254="Other dry cargo",Alukset_fx!$H$73*(Alukset_Käynnit_Lask!K254^Alukset_fx!$I$73),IF(OR(Q254="Dry Bulk",Q254="Bulk carrier"),Alukset_fx!$H$71*(Alukset_Käynnit_Lask!K254^Alukset_fx!$I$71),IF(Q254="Tugboat",Alukset_fx!$H$78*(Alukset_Käynnit_Lask!K254^Alukset_fx!$I$78),IF(OR(Q254="Tanker",Q254="Gas tanker",Q254="Chemical tanker",Q254="Oil tanker"),Alukset_fx!$H$70*(Alukset_Käynnit_Lask!K254^Alukset_fx!$I$70),IF(Q254="Container ship",Alukset_fx!$H$72*(Alukset_Käynnit_Lask!K254^Alukset_fx!$I$72),IF(Q254="Barge",0,IF(Q254="RoPax",Alukset_fx!$H$75*(Alukset_Käynnit_Lask!K254^Alukset_fx!$I$75),IF(OR(Q254="RoRo",Q254="Vehicle carrier"),Alukset_fx!$H$74*(Alukset_Käynnit_Lask!K254^Alukset_fx!$I$74),Alukset_fx!$H$77*(Alukset_Käynnit_Lask!K254^Alukset_fx!$I$77))))))))),"-")</f>
        <v>0</v>
      </c>
      <c r="T254" s="208">
        <f>IF(R254=0,IF(Q254="Other dry cargo",S254*Alukset_fx!$B$71,IF(OR(Q254="Dry bulk",Q254="Bulk carrier"),S254*Alukset_fx!$B$69,IF(Q254="Tugboat",S254*Alukset_fx!$B$76,IF(OR(Q254="Tanker",Q254="Gas tanker",Q254="Chemical tanker",Q254="Oil tanker"),S254*Alukset_fx!$B$68,IF(OR(Q254="RoRo",Q254="Vehicle carrier"),S254*Alukset_fx!$B$72,IF(Q254="RoPax",S254*Alukset_fx!$B$73,IF(Q254="Container ship",S254*Alukset_fx!$B$70,S254*Alukset_fx!$B$75))))))),"-")</f>
        <v>0</v>
      </c>
      <c r="U254" s="208">
        <f t="shared" si="42"/>
        <v>0</v>
      </c>
      <c r="V254" s="208">
        <f t="shared" si="43"/>
        <v>0</v>
      </c>
      <c r="W254" s="202">
        <f>Alukset_Käynnit!N261</f>
        <v>0</v>
      </c>
      <c r="X254" s="211">
        <f>IF(Q254="Other dry cargo", Alukset_fx!$C$52, IF(OR(Q254="Dry bulk",Q254="Bulk carrier"),Alukset_fx!$C$35,IF(OR(Q254="Tanker",Q254="Gas tanker",Q254="Oil tanker"),Alukset_fx!$C$57,IF(Q254="Chemical tanker",Alukset_fx!$C$56,IF(OR(Q254="Tugboat",Q254="Barge"),0,IF(Q254="Other vessel",Alukset_fx!$C$54,IF(Q254="Container ship",Alukset_fx!$C$37,IF(OR(Q254="RoPax",Q254="RoRo",Q254="Vehicle carrier"),Alukset_fx!$C$55,0))))))))</f>
        <v>0</v>
      </c>
      <c r="Y254" s="211">
        <f>IF(Q254="Other dry cargo", Alukset_fx!$Q$52, IF(OR(Q254="Dry bulk",Q254="Bulk carrier"),Alukset_fx!$Q$35,IF(OR(Q254="Tanker",Q254="Gas tanker",Q254="Oil tanker"),Alukset_fx!$Q$57,IF(Q254="Chemical tanker",Alukset_fx!$Q$56,IF(OR(Q254="Tugboat",Q254="Barge"),0,IF(Q254="Other vessel",Alukset_fx!$Q$54,IF(Q254="Container ship",Alukset_fx!$Q$37,IF(OR(Q254="RoPax",Q254="RoRo",Q254="Vehicle carrier"),Alukset_fx!$Q$55,0))))))))</f>
        <v>0</v>
      </c>
      <c r="Z254" t="str">
        <f t="shared" si="44"/>
        <v>MDO/MGO</v>
      </c>
      <c r="AA254" t="str">
        <f t="shared" si="45"/>
        <v>MSD</v>
      </c>
      <c r="AB254" t="str">
        <f t="shared" si="46"/>
        <v>MDO/MGO</v>
      </c>
      <c r="AC254" t="str">
        <f t="shared" si="47"/>
        <v>MSD</v>
      </c>
      <c r="AD254" t="str">
        <f t="shared" si="48"/>
        <v>MDO/MGO</v>
      </c>
      <c r="AE254" t="str">
        <f t="shared" si="49"/>
        <v>ST</v>
      </c>
      <c r="AG254">
        <f>Alukset_Käynnit!O261</f>
        <v>0</v>
      </c>
      <c r="AH254" s="207">
        <f>IF(AA254="SSD",((U254*Alukset_fx!$B$24)*Alukset_Käynnit_Lask!W254*(Alukset_fx!$K$49)/1000),IF(AA254="MSD",((U254*Alukset_fx!$B$24)*Alukset_Käynnit_Lask!W254*(Alukset_fx!$K$52)/1000),IF(AA254="HSD",((U254*Alukset_fx!$B$24)*Alukset_Käynnit_Lask!W254*(Alukset_fx!$K$55)/1000),0)))</f>
        <v>0</v>
      </c>
      <c r="AI254" s="207">
        <f>IF(AC254="MSD",((V254*Alukset_fx!$B$25)*Alukset_Käynnit_Lask!W254*(Alukset_fx!$L$52)/1000),IF(AC254="HSD",((V254*Alukset_fx!$B$25)*Alukset_Käynnit_Lask!W254*(Alukset_fx!$L$55)/1000),0))</f>
        <v>0</v>
      </c>
      <c r="AJ254" s="207">
        <f>X254*W254*Alukset_fx!$K$61/1000</f>
        <v>0</v>
      </c>
      <c r="AK254">
        <v>0</v>
      </c>
      <c r="AL254" s="207">
        <f>IF(AG254="Käytetty",0,IF(AC254="MSD",((V254*Alukset_fx!$O$25)*Alukset_Käynnit_Lask!O254*(Alukset_fx!$L$52)/1000),IF(AC254="HSD",((V254*Alukset_fx!$O$25)*Alukset_Käynnit_Lask!O254*(Alukset_fx!$L$55)/1000),0)))</f>
        <v>0</v>
      </c>
      <c r="AM254" s="207">
        <f>IF(AG254="Käytetty",0,Y254*O254*Alukset_fx!$K$61/1000)</f>
        <v>0</v>
      </c>
      <c r="AN254" s="213">
        <f t="shared" si="50"/>
        <v>0</v>
      </c>
    </row>
    <row r="255" spans="1:40" x14ac:dyDescent="0.25">
      <c r="A255" s="203">
        <f>Alukset_Käynnit!A262</f>
        <v>0</v>
      </c>
      <c r="B255" s="203">
        <f>Alukset_Käynnit!B262</f>
        <v>0</v>
      </c>
      <c r="C255" s="262">
        <f>Alukset_Käynnit!C262</f>
        <v>0</v>
      </c>
      <c r="D255" s="266">
        <f>Alukset_Käynnit!D262</f>
        <v>0</v>
      </c>
      <c r="E255" s="262">
        <f>Alukset_Käynnit!E262</f>
        <v>0</v>
      </c>
      <c r="F255" s="262">
        <f>Alukset_Käynnit!F262</f>
        <v>0</v>
      </c>
      <c r="G255" s="262">
        <f>Alukset_Käynnit!G262</f>
        <v>0</v>
      </c>
      <c r="H255" s="262">
        <f>Alukset_Käynnit!H262</f>
        <v>0</v>
      </c>
      <c r="I255" s="262">
        <f>Alukset_Käynnit!I262</f>
        <v>0</v>
      </c>
      <c r="J255" s="262">
        <f>Alukset_Käynnit!J262</f>
        <v>0</v>
      </c>
      <c r="K255" s="262">
        <f>Alukset_Käynnit!K262</f>
        <v>0</v>
      </c>
      <c r="L255" s="205">
        <f>Alukset_Käynnit!L262</f>
        <v>0</v>
      </c>
      <c r="N255" s="273">
        <f t="shared" si="51"/>
        <v>0</v>
      </c>
      <c r="O255" s="274">
        <f t="shared" si="52"/>
        <v>0</v>
      </c>
      <c r="Q255" s="204">
        <f t="shared" si="41"/>
        <v>0</v>
      </c>
      <c r="R255" s="202">
        <f>IF(Q255="Other dry cargo",L255*Alukset_fx!$B$71,IF(OR(Q255="Dry bulk",Q255="Bulk carrier"),L255*Alukset_fx!$B$69,IF(Q255="Tugboat",L255*Alukset_fx!$B$76,IF(OR(Q255="Tanker",Q255="Gas tanker",Q255="Chemical tanker",Q255="Oil tanker"),L255*Alukset_fx!$B$68,IF(OR(Q255="RoRo",Q255="Vehicle carrier"),L255*Alukset_fx!$B$72,IF(Q255="RoPax",L255*Alukset_fx!$B$73,IF(Q255="Container ship",L255*Alukset_fx!$B$70,IF(Q255="Barge",0,L255*Alukset_fx!$B$75))))))))</f>
        <v>0</v>
      </c>
      <c r="S255" s="210">
        <f>IF(L255=0,IF(Q255="Other dry cargo",Alukset_fx!$H$73*(Alukset_Käynnit_Lask!K255^Alukset_fx!$I$73),IF(OR(Q255="Dry Bulk",Q255="Bulk carrier"),Alukset_fx!$H$71*(Alukset_Käynnit_Lask!K255^Alukset_fx!$I$71),IF(Q255="Tugboat",Alukset_fx!$H$78*(Alukset_Käynnit_Lask!K255^Alukset_fx!$I$78),IF(OR(Q255="Tanker",Q255="Gas tanker",Q255="Chemical tanker",Q255="Oil tanker"),Alukset_fx!$H$70*(Alukset_Käynnit_Lask!K255^Alukset_fx!$I$70),IF(Q255="Container ship",Alukset_fx!$H$72*(Alukset_Käynnit_Lask!K255^Alukset_fx!$I$72),IF(Q255="Barge",0,IF(Q255="RoPax",Alukset_fx!$H$75*(Alukset_Käynnit_Lask!K255^Alukset_fx!$I$75),IF(OR(Q255="RoRo",Q255="Vehicle carrier"),Alukset_fx!$H$74*(Alukset_Käynnit_Lask!K255^Alukset_fx!$I$74),Alukset_fx!$H$77*(Alukset_Käynnit_Lask!K255^Alukset_fx!$I$77))))))))),"-")</f>
        <v>0</v>
      </c>
      <c r="T255" s="208">
        <f>IF(R255=0,IF(Q255="Other dry cargo",S255*Alukset_fx!$B$71,IF(OR(Q255="Dry bulk",Q255="Bulk carrier"),S255*Alukset_fx!$B$69,IF(Q255="Tugboat",S255*Alukset_fx!$B$76,IF(OR(Q255="Tanker",Q255="Gas tanker",Q255="Chemical tanker",Q255="Oil tanker"),S255*Alukset_fx!$B$68,IF(OR(Q255="RoRo",Q255="Vehicle carrier"),S255*Alukset_fx!$B$72,IF(Q255="RoPax",S255*Alukset_fx!$B$73,IF(Q255="Container ship",S255*Alukset_fx!$B$70,S255*Alukset_fx!$B$75))))))),"-")</f>
        <v>0</v>
      </c>
      <c r="U255" s="208">
        <f t="shared" si="42"/>
        <v>0</v>
      </c>
      <c r="V255" s="208">
        <f t="shared" si="43"/>
        <v>0</v>
      </c>
      <c r="W255" s="202">
        <f>Alukset_Käynnit!N262</f>
        <v>0</v>
      </c>
      <c r="X255" s="211">
        <f>IF(Q255="Other dry cargo", Alukset_fx!$C$52, IF(OR(Q255="Dry bulk",Q255="Bulk carrier"),Alukset_fx!$C$35,IF(OR(Q255="Tanker",Q255="Gas tanker",Q255="Oil tanker"),Alukset_fx!$C$57,IF(Q255="Chemical tanker",Alukset_fx!$C$56,IF(OR(Q255="Tugboat",Q255="Barge"),0,IF(Q255="Other vessel",Alukset_fx!$C$54,IF(Q255="Container ship",Alukset_fx!$C$37,IF(OR(Q255="RoPax",Q255="RoRo",Q255="Vehicle carrier"),Alukset_fx!$C$55,0))))))))</f>
        <v>0</v>
      </c>
      <c r="Y255" s="211">
        <f>IF(Q255="Other dry cargo", Alukset_fx!$Q$52, IF(OR(Q255="Dry bulk",Q255="Bulk carrier"),Alukset_fx!$Q$35,IF(OR(Q255="Tanker",Q255="Gas tanker",Q255="Oil tanker"),Alukset_fx!$Q$57,IF(Q255="Chemical tanker",Alukset_fx!$Q$56,IF(OR(Q255="Tugboat",Q255="Barge"),0,IF(Q255="Other vessel",Alukset_fx!$Q$54,IF(Q255="Container ship",Alukset_fx!$Q$37,IF(OR(Q255="RoPax",Q255="RoRo",Q255="Vehicle carrier"),Alukset_fx!$Q$55,0))))))))</f>
        <v>0</v>
      </c>
      <c r="Z255" t="str">
        <f t="shared" si="44"/>
        <v>MDO/MGO</v>
      </c>
      <c r="AA255" t="str">
        <f t="shared" si="45"/>
        <v>MSD</v>
      </c>
      <c r="AB255" t="str">
        <f t="shared" si="46"/>
        <v>MDO/MGO</v>
      </c>
      <c r="AC255" t="str">
        <f t="shared" si="47"/>
        <v>MSD</v>
      </c>
      <c r="AD255" t="str">
        <f t="shared" si="48"/>
        <v>MDO/MGO</v>
      </c>
      <c r="AE255" t="str">
        <f t="shared" si="49"/>
        <v>ST</v>
      </c>
      <c r="AG255">
        <f>Alukset_Käynnit!O262</f>
        <v>0</v>
      </c>
      <c r="AH255" s="207">
        <f>IF(AA255="SSD",((U255*Alukset_fx!$B$24)*Alukset_Käynnit_Lask!W255*(Alukset_fx!$K$49)/1000),IF(AA255="MSD",((U255*Alukset_fx!$B$24)*Alukset_Käynnit_Lask!W255*(Alukset_fx!$K$52)/1000),IF(AA255="HSD",((U255*Alukset_fx!$B$24)*Alukset_Käynnit_Lask!W255*(Alukset_fx!$K$55)/1000),0)))</f>
        <v>0</v>
      </c>
      <c r="AI255" s="207">
        <f>IF(AC255="MSD",((V255*Alukset_fx!$B$25)*Alukset_Käynnit_Lask!W255*(Alukset_fx!$L$52)/1000),IF(AC255="HSD",((V255*Alukset_fx!$B$25)*Alukset_Käynnit_Lask!W255*(Alukset_fx!$L$55)/1000),0))</f>
        <v>0</v>
      </c>
      <c r="AJ255" s="207">
        <f>X255*W255*Alukset_fx!$K$61/1000</f>
        <v>0</v>
      </c>
      <c r="AK255">
        <v>0</v>
      </c>
      <c r="AL255" s="207">
        <f>IF(AG255="Käytetty",0,IF(AC255="MSD",((V255*Alukset_fx!$O$25)*Alukset_Käynnit_Lask!O255*(Alukset_fx!$L$52)/1000),IF(AC255="HSD",((V255*Alukset_fx!$O$25)*Alukset_Käynnit_Lask!O255*(Alukset_fx!$L$55)/1000),0)))</f>
        <v>0</v>
      </c>
      <c r="AM255" s="207">
        <f>IF(AG255="Käytetty",0,Y255*O255*Alukset_fx!$K$61/1000)</f>
        <v>0</v>
      </c>
      <c r="AN255" s="213">
        <f t="shared" si="50"/>
        <v>0</v>
      </c>
    </row>
    <row r="256" spans="1:40" x14ac:dyDescent="0.25">
      <c r="A256" s="203">
        <f>Alukset_Käynnit!A263</f>
        <v>0</v>
      </c>
      <c r="B256" s="203">
        <f>Alukset_Käynnit!B263</f>
        <v>0</v>
      </c>
      <c r="C256" s="262">
        <f>Alukset_Käynnit!C263</f>
        <v>0</v>
      </c>
      <c r="D256" s="266">
        <f>Alukset_Käynnit!D263</f>
        <v>0</v>
      </c>
      <c r="E256" s="262">
        <f>Alukset_Käynnit!E263</f>
        <v>0</v>
      </c>
      <c r="F256" s="262">
        <f>Alukset_Käynnit!F263</f>
        <v>0</v>
      </c>
      <c r="G256" s="262">
        <f>Alukset_Käynnit!G263</f>
        <v>0</v>
      </c>
      <c r="H256" s="262">
        <f>Alukset_Käynnit!H263</f>
        <v>0</v>
      </c>
      <c r="I256" s="262">
        <f>Alukset_Käynnit!I263</f>
        <v>0</v>
      </c>
      <c r="J256" s="262">
        <f>Alukset_Käynnit!J263</f>
        <v>0</v>
      </c>
      <c r="K256" s="262">
        <f>Alukset_Käynnit!K263</f>
        <v>0</v>
      </c>
      <c r="L256" s="205">
        <f>Alukset_Käynnit!L263</f>
        <v>0</v>
      </c>
      <c r="N256" s="273">
        <f t="shared" si="51"/>
        <v>0</v>
      </c>
      <c r="O256" s="274">
        <f t="shared" si="52"/>
        <v>0</v>
      </c>
      <c r="Q256" s="204">
        <f t="shared" si="41"/>
        <v>0</v>
      </c>
      <c r="R256" s="202">
        <f>IF(Q256="Other dry cargo",L256*Alukset_fx!$B$71,IF(OR(Q256="Dry bulk",Q256="Bulk carrier"),L256*Alukset_fx!$B$69,IF(Q256="Tugboat",L256*Alukset_fx!$B$76,IF(OR(Q256="Tanker",Q256="Gas tanker",Q256="Chemical tanker",Q256="Oil tanker"),L256*Alukset_fx!$B$68,IF(OR(Q256="RoRo",Q256="Vehicle carrier"),L256*Alukset_fx!$B$72,IF(Q256="RoPax",L256*Alukset_fx!$B$73,IF(Q256="Container ship",L256*Alukset_fx!$B$70,IF(Q256="Barge",0,L256*Alukset_fx!$B$75))))))))</f>
        <v>0</v>
      </c>
      <c r="S256" s="210">
        <f>IF(L256=0,IF(Q256="Other dry cargo",Alukset_fx!$H$73*(Alukset_Käynnit_Lask!K256^Alukset_fx!$I$73),IF(OR(Q256="Dry Bulk",Q256="Bulk carrier"),Alukset_fx!$H$71*(Alukset_Käynnit_Lask!K256^Alukset_fx!$I$71),IF(Q256="Tugboat",Alukset_fx!$H$78*(Alukset_Käynnit_Lask!K256^Alukset_fx!$I$78),IF(OR(Q256="Tanker",Q256="Gas tanker",Q256="Chemical tanker",Q256="Oil tanker"),Alukset_fx!$H$70*(Alukset_Käynnit_Lask!K256^Alukset_fx!$I$70),IF(Q256="Container ship",Alukset_fx!$H$72*(Alukset_Käynnit_Lask!K256^Alukset_fx!$I$72),IF(Q256="Barge",0,IF(Q256="RoPax",Alukset_fx!$H$75*(Alukset_Käynnit_Lask!K256^Alukset_fx!$I$75),IF(OR(Q256="RoRo",Q256="Vehicle carrier"),Alukset_fx!$H$74*(Alukset_Käynnit_Lask!K256^Alukset_fx!$I$74),Alukset_fx!$H$77*(Alukset_Käynnit_Lask!K256^Alukset_fx!$I$77))))))))),"-")</f>
        <v>0</v>
      </c>
      <c r="T256" s="208">
        <f>IF(R256=0,IF(Q256="Other dry cargo",S256*Alukset_fx!$B$71,IF(OR(Q256="Dry bulk",Q256="Bulk carrier"),S256*Alukset_fx!$B$69,IF(Q256="Tugboat",S256*Alukset_fx!$B$76,IF(OR(Q256="Tanker",Q256="Gas tanker",Q256="Chemical tanker",Q256="Oil tanker"),S256*Alukset_fx!$B$68,IF(OR(Q256="RoRo",Q256="Vehicle carrier"),S256*Alukset_fx!$B$72,IF(Q256="RoPax",S256*Alukset_fx!$B$73,IF(Q256="Container ship",S256*Alukset_fx!$B$70,S256*Alukset_fx!$B$75))))))),"-")</f>
        <v>0</v>
      </c>
      <c r="U256" s="208">
        <f t="shared" si="42"/>
        <v>0</v>
      </c>
      <c r="V256" s="208">
        <f t="shared" si="43"/>
        <v>0</v>
      </c>
      <c r="W256" s="202">
        <f>Alukset_Käynnit!N263</f>
        <v>0</v>
      </c>
      <c r="X256" s="211">
        <f>IF(Q256="Other dry cargo", Alukset_fx!$C$52, IF(OR(Q256="Dry bulk",Q256="Bulk carrier"),Alukset_fx!$C$35,IF(OR(Q256="Tanker",Q256="Gas tanker",Q256="Oil tanker"),Alukset_fx!$C$57,IF(Q256="Chemical tanker",Alukset_fx!$C$56,IF(OR(Q256="Tugboat",Q256="Barge"),0,IF(Q256="Other vessel",Alukset_fx!$C$54,IF(Q256="Container ship",Alukset_fx!$C$37,IF(OR(Q256="RoPax",Q256="RoRo",Q256="Vehicle carrier"),Alukset_fx!$C$55,0))))))))</f>
        <v>0</v>
      </c>
      <c r="Y256" s="211">
        <f>IF(Q256="Other dry cargo", Alukset_fx!$Q$52, IF(OR(Q256="Dry bulk",Q256="Bulk carrier"),Alukset_fx!$Q$35,IF(OR(Q256="Tanker",Q256="Gas tanker",Q256="Oil tanker"),Alukset_fx!$Q$57,IF(Q256="Chemical tanker",Alukset_fx!$Q$56,IF(OR(Q256="Tugboat",Q256="Barge"),0,IF(Q256="Other vessel",Alukset_fx!$Q$54,IF(Q256="Container ship",Alukset_fx!$Q$37,IF(OR(Q256="RoPax",Q256="RoRo",Q256="Vehicle carrier"),Alukset_fx!$Q$55,0))))))))</f>
        <v>0</v>
      </c>
      <c r="Z256" t="str">
        <f t="shared" si="44"/>
        <v>MDO/MGO</v>
      </c>
      <c r="AA256" t="str">
        <f t="shared" si="45"/>
        <v>MSD</v>
      </c>
      <c r="AB256" t="str">
        <f t="shared" si="46"/>
        <v>MDO/MGO</v>
      </c>
      <c r="AC256" t="str">
        <f t="shared" si="47"/>
        <v>MSD</v>
      </c>
      <c r="AD256" t="str">
        <f t="shared" si="48"/>
        <v>MDO/MGO</v>
      </c>
      <c r="AE256" t="str">
        <f t="shared" si="49"/>
        <v>ST</v>
      </c>
      <c r="AG256">
        <f>Alukset_Käynnit!O263</f>
        <v>0</v>
      </c>
      <c r="AH256" s="207">
        <f>IF(AA256="SSD",((U256*Alukset_fx!$B$24)*Alukset_Käynnit_Lask!W256*(Alukset_fx!$K$49)/1000),IF(AA256="MSD",((U256*Alukset_fx!$B$24)*Alukset_Käynnit_Lask!W256*(Alukset_fx!$K$52)/1000),IF(AA256="HSD",((U256*Alukset_fx!$B$24)*Alukset_Käynnit_Lask!W256*(Alukset_fx!$K$55)/1000),0)))</f>
        <v>0</v>
      </c>
      <c r="AI256" s="207">
        <f>IF(AC256="MSD",((V256*Alukset_fx!$B$25)*Alukset_Käynnit_Lask!W256*(Alukset_fx!$L$52)/1000),IF(AC256="HSD",((V256*Alukset_fx!$B$25)*Alukset_Käynnit_Lask!W256*(Alukset_fx!$L$55)/1000),0))</f>
        <v>0</v>
      </c>
      <c r="AJ256" s="207">
        <f>X256*W256*Alukset_fx!$K$61/1000</f>
        <v>0</v>
      </c>
      <c r="AK256">
        <v>0</v>
      </c>
      <c r="AL256" s="207">
        <f>IF(AG256="Käytetty",0,IF(AC256="MSD",((V256*Alukset_fx!$O$25)*Alukset_Käynnit_Lask!O256*(Alukset_fx!$L$52)/1000),IF(AC256="HSD",((V256*Alukset_fx!$O$25)*Alukset_Käynnit_Lask!O256*(Alukset_fx!$L$55)/1000),0)))</f>
        <v>0</v>
      </c>
      <c r="AM256" s="207">
        <f>IF(AG256="Käytetty",0,Y256*O256*Alukset_fx!$K$61/1000)</f>
        <v>0</v>
      </c>
      <c r="AN256" s="213">
        <f t="shared" si="50"/>
        <v>0</v>
      </c>
    </row>
    <row r="257" spans="1:40" x14ac:dyDescent="0.25">
      <c r="A257" s="203">
        <f>Alukset_Käynnit!A264</f>
        <v>0</v>
      </c>
      <c r="B257" s="203">
        <f>Alukset_Käynnit!B264</f>
        <v>0</v>
      </c>
      <c r="C257" s="262">
        <f>Alukset_Käynnit!C264</f>
        <v>0</v>
      </c>
      <c r="D257" s="266">
        <f>Alukset_Käynnit!D264</f>
        <v>0</v>
      </c>
      <c r="E257" s="262">
        <f>Alukset_Käynnit!E264</f>
        <v>0</v>
      </c>
      <c r="F257" s="262">
        <f>Alukset_Käynnit!F264</f>
        <v>0</v>
      </c>
      <c r="G257" s="262">
        <f>Alukset_Käynnit!G264</f>
        <v>0</v>
      </c>
      <c r="H257" s="262">
        <f>Alukset_Käynnit!H264</f>
        <v>0</v>
      </c>
      <c r="I257" s="262">
        <f>Alukset_Käynnit!I264</f>
        <v>0</v>
      </c>
      <c r="J257" s="262">
        <f>Alukset_Käynnit!J264</f>
        <v>0</v>
      </c>
      <c r="K257" s="262">
        <f>Alukset_Käynnit!K264</f>
        <v>0</v>
      </c>
      <c r="L257" s="205">
        <f>Alukset_Käynnit!L264</f>
        <v>0</v>
      </c>
      <c r="N257" s="273">
        <f t="shared" si="51"/>
        <v>0</v>
      </c>
      <c r="O257" s="274">
        <f t="shared" si="52"/>
        <v>0</v>
      </c>
      <c r="Q257" s="204">
        <f t="shared" si="41"/>
        <v>0</v>
      </c>
      <c r="R257" s="202">
        <f>IF(Q257="Other dry cargo",L257*Alukset_fx!$B$71,IF(OR(Q257="Dry bulk",Q257="Bulk carrier"),L257*Alukset_fx!$B$69,IF(Q257="Tugboat",L257*Alukset_fx!$B$76,IF(OR(Q257="Tanker",Q257="Gas tanker",Q257="Chemical tanker",Q257="Oil tanker"),L257*Alukset_fx!$B$68,IF(OR(Q257="RoRo",Q257="Vehicle carrier"),L257*Alukset_fx!$B$72,IF(Q257="RoPax",L257*Alukset_fx!$B$73,IF(Q257="Container ship",L257*Alukset_fx!$B$70,IF(Q257="Barge",0,L257*Alukset_fx!$B$75))))))))</f>
        <v>0</v>
      </c>
      <c r="S257" s="210">
        <f>IF(L257=0,IF(Q257="Other dry cargo",Alukset_fx!$H$73*(Alukset_Käynnit_Lask!K257^Alukset_fx!$I$73),IF(OR(Q257="Dry Bulk",Q257="Bulk carrier"),Alukset_fx!$H$71*(Alukset_Käynnit_Lask!K257^Alukset_fx!$I$71),IF(Q257="Tugboat",Alukset_fx!$H$78*(Alukset_Käynnit_Lask!K257^Alukset_fx!$I$78),IF(OR(Q257="Tanker",Q257="Gas tanker",Q257="Chemical tanker",Q257="Oil tanker"),Alukset_fx!$H$70*(Alukset_Käynnit_Lask!K257^Alukset_fx!$I$70),IF(Q257="Container ship",Alukset_fx!$H$72*(Alukset_Käynnit_Lask!K257^Alukset_fx!$I$72),IF(Q257="Barge",0,IF(Q257="RoPax",Alukset_fx!$H$75*(Alukset_Käynnit_Lask!K257^Alukset_fx!$I$75),IF(OR(Q257="RoRo",Q257="Vehicle carrier"),Alukset_fx!$H$74*(Alukset_Käynnit_Lask!K257^Alukset_fx!$I$74),Alukset_fx!$H$77*(Alukset_Käynnit_Lask!K257^Alukset_fx!$I$77))))))))),"-")</f>
        <v>0</v>
      </c>
      <c r="T257" s="208">
        <f>IF(R257=0,IF(Q257="Other dry cargo",S257*Alukset_fx!$B$71,IF(OR(Q257="Dry bulk",Q257="Bulk carrier"),S257*Alukset_fx!$B$69,IF(Q257="Tugboat",S257*Alukset_fx!$B$76,IF(OR(Q257="Tanker",Q257="Gas tanker",Q257="Chemical tanker",Q257="Oil tanker"),S257*Alukset_fx!$B$68,IF(OR(Q257="RoRo",Q257="Vehicle carrier"),S257*Alukset_fx!$B$72,IF(Q257="RoPax",S257*Alukset_fx!$B$73,IF(Q257="Container ship",S257*Alukset_fx!$B$70,S257*Alukset_fx!$B$75))))))),"-")</f>
        <v>0</v>
      </c>
      <c r="U257" s="208">
        <f t="shared" si="42"/>
        <v>0</v>
      </c>
      <c r="V257" s="208">
        <f t="shared" si="43"/>
        <v>0</v>
      </c>
      <c r="W257" s="202">
        <f>Alukset_Käynnit!N264</f>
        <v>0</v>
      </c>
      <c r="X257" s="211">
        <f>IF(Q257="Other dry cargo", Alukset_fx!$C$52, IF(OR(Q257="Dry bulk",Q257="Bulk carrier"),Alukset_fx!$C$35,IF(OR(Q257="Tanker",Q257="Gas tanker",Q257="Oil tanker"),Alukset_fx!$C$57,IF(Q257="Chemical tanker",Alukset_fx!$C$56,IF(OR(Q257="Tugboat",Q257="Barge"),0,IF(Q257="Other vessel",Alukset_fx!$C$54,IF(Q257="Container ship",Alukset_fx!$C$37,IF(OR(Q257="RoPax",Q257="RoRo",Q257="Vehicle carrier"),Alukset_fx!$C$55,0))))))))</f>
        <v>0</v>
      </c>
      <c r="Y257" s="211">
        <f>IF(Q257="Other dry cargo", Alukset_fx!$Q$52, IF(OR(Q257="Dry bulk",Q257="Bulk carrier"),Alukset_fx!$Q$35,IF(OR(Q257="Tanker",Q257="Gas tanker",Q257="Oil tanker"),Alukset_fx!$Q$57,IF(Q257="Chemical tanker",Alukset_fx!$Q$56,IF(OR(Q257="Tugboat",Q257="Barge"),0,IF(Q257="Other vessel",Alukset_fx!$Q$54,IF(Q257="Container ship",Alukset_fx!$Q$37,IF(OR(Q257="RoPax",Q257="RoRo",Q257="Vehicle carrier"),Alukset_fx!$Q$55,0))))))))</f>
        <v>0</v>
      </c>
      <c r="Z257" t="str">
        <f t="shared" si="44"/>
        <v>MDO/MGO</v>
      </c>
      <c r="AA257" t="str">
        <f t="shared" si="45"/>
        <v>MSD</v>
      </c>
      <c r="AB257" t="str">
        <f t="shared" si="46"/>
        <v>MDO/MGO</v>
      </c>
      <c r="AC257" t="str">
        <f t="shared" si="47"/>
        <v>MSD</v>
      </c>
      <c r="AD257" t="str">
        <f t="shared" si="48"/>
        <v>MDO/MGO</v>
      </c>
      <c r="AE257" t="str">
        <f t="shared" si="49"/>
        <v>ST</v>
      </c>
      <c r="AG257">
        <f>Alukset_Käynnit!O264</f>
        <v>0</v>
      </c>
      <c r="AH257" s="207">
        <f>IF(AA257="SSD",((U257*Alukset_fx!$B$24)*Alukset_Käynnit_Lask!W257*(Alukset_fx!$K$49)/1000),IF(AA257="MSD",((U257*Alukset_fx!$B$24)*Alukset_Käynnit_Lask!W257*(Alukset_fx!$K$52)/1000),IF(AA257="HSD",((U257*Alukset_fx!$B$24)*Alukset_Käynnit_Lask!W257*(Alukset_fx!$K$55)/1000),0)))</f>
        <v>0</v>
      </c>
      <c r="AI257" s="207">
        <f>IF(AC257="MSD",((V257*Alukset_fx!$B$25)*Alukset_Käynnit_Lask!W257*(Alukset_fx!$L$52)/1000),IF(AC257="HSD",((V257*Alukset_fx!$B$25)*Alukset_Käynnit_Lask!W257*(Alukset_fx!$L$55)/1000),0))</f>
        <v>0</v>
      </c>
      <c r="AJ257" s="207">
        <f>X257*W257*Alukset_fx!$K$61/1000</f>
        <v>0</v>
      </c>
      <c r="AK257">
        <v>0</v>
      </c>
      <c r="AL257" s="207">
        <f>IF(AG257="Käytetty",0,IF(AC257="MSD",((V257*Alukset_fx!$O$25)*Alukset_Käynnit_Lask!O257*(Alukset_fx!$L$52)/1000),IF(AC257="HSD",((V257*Alukset_fx!$O$25)*Alukset_Käynnit_Lask!O257*(Alukset_fx!$L$55)/1000),0)))</f>
        <v>0</v>
      </c>
      <c r="AM257" s="207">
        <f>IF(AG257="Käytetty",0,Y257*O257*Alukset_fx!$K$61/1000)</f>
        <v>0</v>
      </c>
      <c r="AN257" s="213">
        <f t="shared" si="50"/>
        <v>0</v>
      </c>
    </row>
    <row r="258" spans="1:40" x14ac:dyDescent="0.25">
      <c r="A258" s="203">
        <f>Alukset_Käynnit!A265</f>
        <v>0</v>
      </c>
      <c r="B258" s="203">
        <f>Alukset_Käynnit!B265</f>
        <v>0</v>
      </c>
      <c r="C258" s="262">
        <f>Alukset_Käynnit!C265</f>
        <v>0</v>
      </c>
      <c r="D258" s="266">
        <f>Alukset_Käynnit!D265</f>
        <v>0</v>
      </c>
      <c r="E258" s="262">
        <f>Alukset_Käynnit!E265</f>
        <v>0</v>
      </c>
      <c r="F258" s="262">
        <f>Alukset_Käynnit!F265</f>
        <v>0</v>
      </c>
      <c r="G258" s="262">
        <f>Alukset_Käynnit!G265</f>
        <v>0</v>
      </c>
      <c r="H258" s="262">
        <f>Alukset_Käynnit!H265</f>
        <v>0</v>
      </c>
      <c r="I258" s="262">
        <f>Alukset_Käynnit!I265</f>
        <v>0</v>
      </c>
      <c r="J258" s="262">
        <f>Alukset_Käynnit!J265</f>
        <v>0</v>
      </c>
      <c r="K258" s="262">
        <f>Alukset_Käynnit!K265</f>
        <v>0</v>
      </c>
      <c r="L258" s="205">
        <f>Alukset_Käynnit!L265</f>
        <v>0</v>
      </c>
      <c r="N258" s="273">
        <f t="shared" si="51"/>
        <v>0</v>
      </c>
      <c r="O258" s="274">
        <f t="shared" si="52"/>
        <v>0</v>
      </c>
      <c r="Q258" s="204">
        <f t="shared" si="41"/>
        <v>0</v>
      </c>
      <c r="R258" s="202">
        <f>IF(Q258="Other dry cargo",L258*Alukset_fx!$B$71,IF(OR(Q258="Dry bulk",Q258="Bulk carrier"),L258*Alukset_fx!$B$69,IF(Q258="Tugboat",L258*Alukset_fx!$B$76,IF(OR(Q258="Tanker",Q258="Gas tanker",Q258="Chemical tanker",Q258="Oil tanker"),L258*Alukset_fx!$B$68,IF(OR(Q258="RoRo",Q258="Vehicle carrier"),L258*Alukset_fx!$B$72,IF(Q258="RoPax",L258*Alukset_fx!$B$73,IF(Q258="Container ship",L258*Alukset_fx!$B$70,IF(Q258="Barge",0,L258*Alukset_fx!$B$75))))))))</f>
        <v>0</v>
      </c>
      <c r="S258" s="210">
        <f>IF(L258=0,IF(Q258="Other dry cargo",Alukset_fx!$H$73*(Alukset_Käynnit_Lask!K258^Alukset_fx!$I$73),IF(OR(Q258="Dry Bulk",Q258="Bulk carrier"),Alukset_fx!$H$71*(Alukset_Käynnit_Lask!K258^Alukset_fx!$I$71),IF(Q258="Tugboat",Alukset_fx!$H$78*(Alukset_Käynnit_Lask!K258^Alukset_fx!$I$78),IF(OR(Q258="Tanker",Q258="Gas tanker",Q258="Chemical tanker",Q258="Oil tanker"),Alukset_fx!$H$70*(Alukset_Käynnit_Lask!K258^Alukset_fx!$I$70),IF(Q258="Container ship",Alukset_fx!$H$72*(Alukset_Käynnit_Lask!K258^Alukset_fx!$I$72),IF(Q258="Barge",0,IF(Q258="RoPax",Alukset_fx!$H$75*(Alukset_Käynnit_Lask!K258^Alukset_fx!$I$75),IF(OR(Q258="RoRo",Q258="Vehicle carrier"),Alukset_fx!$H$74*(Alukset_Käynnit_Lask!K258^Alukset_fx!$I$74),Alukset_fx!$H$77*(Alukset_Käynnit_Lask!K258^Alukset_fx!$I$77))))))))),"-")</f>
        <v>0</v>
      </c>
      <c r="T258" s="208">
        <f>IF(R258=0,IF(Q258="Other dry cargo",S258*Alukset_fx!$B$71,IF(OR(Q258="Dry bulk",Q258="Bulk carrier"),S258*Alukset_fx!$B$69,IF(Q258="Tugboat",S258*Alukset_fx!$B$76,IF(OR(Q258="Tanker",Q258="Gas tanker",Q258="Chemical tanker",Q258="Oil tanker"),S258*Alukset_fx!$B$68,IF(OR(Q258="RoRo",Q258="Vehicle carrier"),S258*Alukset_fx!$B$72,IF(Q258="RoPax",S258*Alukset_fx!$B$73,IF(Q258="Container ship",S258*Alukset_fx!$B$70,S258*Alukset_fx!$B$75))))))),"-")</f>
        <v>0</v>
      </c>
      <c r="U258" s="208">
        <f t="shared" si="42"/>
        <v>0</v>
      </c>
      <c r="V258" s="208">
        <f t="shared" si="43"/>
        <v>0</v>
      </c>
      <c r="W258" s="202">
        <f>Alukset_Käynnit!N265</f>
        <v>0</v>
      </c>
      <c r="X258" s="211">
        <f>IF(Q258="Other dry cargo", Alukset_fx!$C$52, IF(OR(Q258="Dry bulk",Q258="Bulk carrier"),Alukset_fx!$C$35,IF(OR(Q258="Tanker",Q258="Gas tanker",Q258="Oil tanker"),Alukset_fx!$C$57,IF(Q258="Chemical tanker",Alukset_fx!$C$56,IF(OR(Q258="Tugboat",Q258="Barge"),0,IF(Q258="Other vessel",Alukset_fx!$C$54,IF(Q258="Container ship",Alukset_fx!$C$37,IF(OR(Q258="RoPax",Q258="RoRo",Q258="Vehicle carrier"),Alukset_fx!$C$55,0))))))))</f>
        <v>0</v>
      </c>
      <c r="Y258" s="211">
        <f>IF(Q258="Other dry cargo", Alukset_fx!$Q$52, IF(OR(Q258="Dry bulk",Q258="Bulk carrier"),Alukset_fx!$Q$35,IF(OR(Q258="Tanker",Q258="Gas tanker",Q258="Oil tanker"),Alukset_fx!$Q$57,IF(Q258="Chemical tanker",Alukset_fx!$Q$56,IF(OR(Q258="Tugboat",Q258="Barge"),0,IF(Q258="Other vessel",Alukset_fx!$Q$54,IF(Q258="Container ship",Alukset_fx!$Q$37,IF(OR(Q258="RoPax",Q258="RoRo",Q258="Vehicle carrier"),Alukset_fx!$Q$55,0))))))))</f>
        <v>0</v>
      </c>
      <c r="Z258" t="str">
        <f t="shared" si="44"/>
        <v>MDO/MGO</v>
      </c>
      <c r="AA258" t="str">
        <f t="shared" si="45"/>
        <v>MSD</v>
      </c>
      <c r="AB258" t="str">
        <f t="shared" si="46"/>
        <v>MDO/MGO</v>
      </c>
      <c r="AC258" t="str">
        <f t="shared" si="47"/>
        <v>MSD</v>
      </c>
      <c r="AD258" t="str">
        <f t="shared" si="48"/>
        <v>MDO/MGO</v>
      </c>
      <c r="AE258" t="str">
        <f t="shared" si="49"/>
        <v>ST</v>
      </c>
      <c r="AG258">
        <f>Alukset_Käynnit!O265</f>
        <v>0</v>
      </c>
      <c r="AH258" s="207">
        <f>IF(AA258="SSD",((U258*Alukset_fx!$B$24)*Alukset_Käynnit_Lask!W258*(Alukset_fx!$K$49)/1000),IF(AA258="MSD",((U258*Alukset_fx!$B$24)*Alukset_Käynnit_Lask!W258*(Alukset_fx!$K$52)/1000),IF(AA258="HSD",((U258*Alukset_fx!$B$24)*Alukset_Käynnit_Lask!W258*(Alukset_fx!$K$55)/1000),0)))</f>
        <v>0</v>
      </c>
      <c r="AI258" s="207">
        <f>IF(AC258="MSD",((V258*Alukset_fx!$B$25)*Alukset_Käynnit_Lask!W258*(Alukset_fx!$L$52)/1000),IF(AC258="HSD",((V258*Alukset_fx!$B$25)*Alukset_Käynnit_Lask!W258*(Alukset_fx!$L$55)/1000),0))</f>
        <v>0</v>
      </c>
      <c r="AJ258" s="207">
        <f>X258*W258*Alukset_fx!$K$61/1000</f>
        <v>0</v>
      </c>
      <c r="AK258">
        <v>0</v>
      </c>
      <c r="AL258" s="207">
        <f>IF(AG258="Käytetty",0,IF(AC258="MSD",((V258*Alukset_fx!$O$25)*Alukset_Käynnit_Lask!O258*(Alukset_fx!$L$52)/1000),IF(AC258="HSD",((V258*Alukset_fx!$O$25)*Alukset_Käynnit_Lask!O258*(Alukset_fx!$L$55)/1000),0)))</f>
        <v>0</v>
      </c>
      <c r="AM258" s="207">
        <f>IF(AG258="Käytetty",0,Y258*O258*Alukset_fx!$K$61/1000)</f>
        <v>0</v>
      </c>
      <c r="AN258" s="213">
        <f t="shared" si="50"/>
        <v>0</v>
      </c>
    </row>
    <row r="259" spans="1:40" x14ac:dyDescent="0.25">
      <c r="A259" s="203">
        <f>Alukset_Käynnit!A266</f>
        <v>0</v>
      </c>
      <c r="B259" s="203">
        <f>Alukset_Käynnit!B266</f>
        <v>0</v>
      </c>
      <c r="C259" s="262">
        <f>Alukset_Käynnit!C266</f>
        <v>0</v>
      </c>
      <c r="D259" s="266">
        <f>Alukset_Käynnit!D266</f>
        <v>0</v>
      </c>
      <c r="E259" s="262">
        <f>Alukset_Käynnit!E266</f>
        <v>0</v>
      </c>
      <c r="F259" s="262">
        <f>Alukset_Käynnit!F266</f>
        <v>0</v>
      </c>
      <c r="G259" s="262">
        <f>Alukset_Käynnit!G266</f>
        <v>0</v>
      </c>
      <c r="H259" s="262">
        <f>Alukset_Käynnit!H266</f>
        <v>0</v>
      </c>
      <c r="I259" s="262">
        <f>Alukset_Käynnit!I266</f>
        <v>0</v>
      </c>
      <c r="J259" s="262">
        <f>Alukset_Käynnit!J266</f>
        <v>0</v>
      </c>
      <c r="K259" s="262">
        <f>Alukset_Käynnit!K266</f>
        <v>0</v>
      </c>
      <c r="L259" s="205">
        <f>Alukset_Käynnit!L266</f>
        <v>0</v>
      </c>
      <c r="N259" s="273">
        <f t="shared" si="51"/>
        <v>0</v>
      </c>
      <c r="O259" s="274">
        <f t="shared" si="52"/>
        <v>0</v>
      </c>
      <c r="Q259" s="204">
        <f t="shared" si="41"/>
        <v>0</v>
      </c>
      <c r="R259" s="202">
        <f>IF(Q259="Other dry cargo",L259*Alukset_fx!$B$71,IF(OR(Q259="Dry bulk",Q259="Bulk carrier"),L259*Alukset_fx!$B$69,IF(Q259="Tugboat",L259*Alukset_fx!$B$76,IF(OR(Q259="Tanker",Q259="Gas tanker",Q259="Chemical tanker",Q259="Oil tanker"),L259*Alukset_fx!$B$68,IF(OR(Q259="RoRo",Q259="Vehicle carrier"),L259*Alukset_fx!$B$72,IF(Q259="RoPax",L259*Alukset_fx!$B$73,IF(Q259="Container ship",L259*Alukset_fx!$B$70,IF(Q259="Barge",0,L259*Alukset_fx!$B$75))))))))</f>
        <v>0</v>
      </c>
      <c r="S259" s="210">
        <f>IF(L259=0,IF(Q259="Other dry cargo",Alukset_fx!$H$73*(Alukset_Käynnit_Lask!K259^Alukset_fx!$I$73),IF(OR(Q259="Dry Bulk",Q259="Bulk carrier"),Alukset_fx!$H$71*(Alukset_Käynnit_Lask!K259^Alukset_fx!$I$71),IF(Q259="Tugboat",Alukset_fx!$H$78*(Alukset_Käynnit_Lask!K259^Alukset_fx!$I$78),IF(OR(Q259="Tanker",Q259="Gas tanker",Q259="Chemical tanker",Q259="Oil tanker"),Alukset_fx!$H$70*(Alukset_Käynnit_Lask!K259^Alukset_fx!$I$70),IF(Q259="Container ship",Alukset_fx!$H$72*(Alukset_Käynnit_Lask!K259^Alukset_fx!$I$72),IF(Q259="Barge",0,IF(Q259="RoPax",Alukset_fx!$H$75*(Alukset_Käynnit_Lask!K259^Alukset_fx!$I$75),IF(OR(Q259="RoRo",Q259="Vehicle carrier"),Alukset_fx!$H$74*(Alukset_Käynnit_Lask!K259^Alukset_fx!$I$74),Alukset_fx!$H$77*(Alukset_Käynnit_Lask!K259^Alukset_fx!$I$77))))))))),"-")</f>
        <v>0</v>
      </c>
      <c r="T259" s="208">
        <f>IF(R259=0,IF(Q259="Other dry cargo",S259*Alukset_fx!$B$71,IF(OR(Q259="Dry bulk",Q259="Bulk carrier"),S259*Alukset_fx!$B$69,IF(Q259="Tugboat",S259*Alukset_fx!$B$76,IF(OR(Q259="Tanker",Q259="Gas tanker",Q259="Chemical tanker",Q259="Oil tanker"),S259*Alukset_fx!$B$68,IF(OR(Q259="RoRo",Q259="Vehicle carrier"),S259*Alukset_fx!$B$72,IF(Q259="RoPax",S259*Alukset_fx!$B$73,IF(Q259="Container ship",S259*Alukset_fx!$B$70,S259*Alukset_fx!$B$75))))))),"-")</f>
        <v>0</v>
      </c>
      <c r="U259" s="208">
        <f t="shared" si="42"/>
        <v>0</v>
      </c>
      <c r="V259" s="208">
        <f t="shared" si="43"/>
        <v>0</v>
      </c>
      <c r="W259" s="202">
        <f>Alukset_Käynnit!N266</f>
        <v>0</v>
      </c>
      <c r="X259" s="211">
        <f>IF(Q259="Other dry cargo", Alukset_fx!$C$52, IF(OR(Q259="Dry bulk",Q259="Bulk carrier"),Alukset_fx!$C$35,IF(OR(Q259="Tanker",Q259="Gas tanker",Q259="Oil tanker"),Alukset_fx!$C$57,IF(Q259="Chemical tanker",Alukset_fx!$C$56,IF(OR(Q259="Tugboat",Q259="Barge"),0,IF(Q259="Other vessel",Alukset_fx!$C$54,IF(Q259="Container ship",Alukset_fx!$C$37,IF(OR(Q259="RoPax",Q259="RoRo",Q259="Vehicle carrier"),Alukset_fx!$C$55,0))))))))</f>
        <v>0</v>
      </c>
      <c r="Y259" s="211">
        <f>IF(Q259="Other dry cargo", Alukset_fx!$Q$52, IF(OR(Q259="Dry bulk",Q259="Bulk carrier"),Alukset_fx!$Q$35,IF(OR(Q259="Tanker",Q259="Gas tanker",Q259="Oil tanker"),Alukset_fx!$Q$57,IF(Q259="Chemical tanker",Alukset_fx!$Q$56,IF(OR(Q259="Tugboat",Q259="Barge"),0,IF(Q259="Other vessel",Alukset_fx!$Q$54,IF(Q259="Container ship",Alukset_fx!$Q$37,IF(OR(Q259="RoPax",Q259="RoRo",Q259="Vehicle carrier"),Alukset_fx!$Q$55,0))))))))</f>
        <v>0</v>
      </c>
      <c r="Z259" t="str">
        <f t="shared" si="44"/>
        <v>MDO/MGO</v>
      </c>
      <c r="AA259" t="str">
        <f t="shared" si="45"/>
        <v>MSD</v>
      </c>
      <c r="AB259" t="str">
        <f t="shared" si="46"/>
        <v>MDO/MGO</v>
      </c>
      <c r="AC259" t="str">
        <f t="shared" si="47"/>
        <v>MSD</v>
      </c>
      <c r="AD259" t="str">
        <f t="shared" si="48"/>
        <v>MDO/MGO</v>
      </c>
      <c r="AE259" t="str">
        <f t="shared" si="49"/>
        <v>ST</v>
      </c>
      <c r="AG259">
        <f>Alukset_Käynnit!O266</f>
        <v>0</v>
      </c>
      <c r="AH259" s="207">
        <f>IF(AA259="SSD",((U259*Alukset_fx!$B$24)*Alukset_Käynnit_Lask!W259*(Alukset_fx!$K$49)/1000),IF(AA259="MSD",((U259*Alukset_fx!$B$24)*Alukset_Käynnit_Lask!W259*(Alukset_fx!$K$52)/1000),IF(AA259="HSD",((U259*Alukset_fx!$B$24)*Alukset_Käynnit_Lask!W259*(Alukset_fx!$K$55)/1000),0)))</f>
        <v>0</v>
      </c>
      <c r="AI259" s="207">
        <f>IF(AC259="MSD",((V259*Alukset_fx!$B$25)*Alukset_Käynnit_Lask!W259*(Alukset_fx!$L$52)/1000),IF(AC259="HSD",((V259*Alukset_fx!$B$25)*Alukset_Käynnit_Lask!W259*(Alukset_fx!$L$55)/1000),0))</f>
        <v>0</v>
      </c>
      <c r="AJ259" s="207">
        <f>X259*W259*Alukset_fx!$K$61/1000</f>
        <v>0</v>
      </c>
      <c r="AK259">
        <v>0</v>
      </c>
      <c r="AL259" s="207">
        <f>IF(AG259="Käytetty",0,IF(AC259="MSD",((V259*Alukset_fx!$O$25)*Alukset_Käynnit_Lask!O259*(Alukset_fx!$L$52)/1000),IF(AC259="HSD",((V259*Alukset_fx!$O$25)*Alukset_Käynnit_Lask!O259*(Alukset_fx!$L$55)/1000),0)))</f>
        <v>0</v>
      </c>
      <c r="AM259" s="207">
        <f>IF(AG259="Käytetty",0,Y259*O259*Alukset_fx!$K$61/1000)</f>
        <v>0</v>
      </c>
      <c r="AN259" s="213">
        <f t="shared" si="50"/>
        <v>0</v>
      </c>
    </row>
    <row r="260" spans="1:40" x14ac:dyDescent="0.25">
      <c r="A260" s="203">
        <f>Alukset_Käynnit!A267</f>
        <v>0</v>
      </c>
      <c r="B260" s="203">
        <f>Alukset_Käynnit!B267</f>
        <v>0</v>
      </c>
      <c r="C260" s="262">
        <f>Alukset_Käynnit!C267</f>
        <v>0</v>
      </c>
      <c r="D260" s="266">
        <f>Alukset_Käynnit!D267</f>
        <v>0</v>
      </c>
      <c r="E260" s="262">
        <f>Alukset_Käynnit!E267</f>
        <v>0</v>
      </c>
      <c r="F260" s="262">
        <f>Alukset_Käynnit!F267</f>
        <v>0</v>
      </c>
      <c r="G260" s="262">
        <f>Alukset_Käynnit!G267</f>
        <v>0</v>
      </c>
      <c r="H260" s="262">
        <f>Alukset_Käynnit!H267</f>
        <v>0</v>
      </c>
      <c r="I260" s="262">
        <f>Alukset_Käynnit!I267</f>
        <v>0</v>
      </c>
      <c r="J260" s="262">
        <f>Alukset_Käynnit!J267</f>
        <v>0</v>
      </c>
      <c r="K260" s="262">
        <f>Alukset_Käynnit!K267</f>
        <v>0</v>
      </c>
      <c r="L260" s="205">
        <f>Alukset_Käynnit!L267</f>
        <v>0</v>
      </c>
      <c r="N260" s="273">
        <f t="shared" si="51"/>
        <v>0</v>
      </c>
      <c r="O260" s="274">
        <f t="shared" si="52"/>
        <v>0</v>
      </c>
      <c r="Q260" s="204">
        <f t="shared" si="41"/>
        <v>0</v>
      </c>
      <c r="R260" s="202">
        <f>IF(Q260="Other dry cargo",L260*Alukset_fx!$B$71,IF(OR(Q260="Dry bulk",Q260="Bulk carrier"),L260*Alukset_fx!$B$69,IF(Q260="Tugboat",L260*Alukset_fx!$B$76,IF(OR(Q260="Tanker",Q260="Gas tanker",Q260="Chemical tanker",Q260="Oil tanker"),L260*Alukset_fx!$B$68,IF(OR(Q260="RoRo",Q260="Vehicle carrier"),L260*Alukset_fx!$B$72,IF(Q260="RoPax",L260*Alukset_fx!$B$73,IF(Q260="Container ship",L260*Alukset_fx!$B$70,IF(Q260="Barge",0,L260*Alukset_fx!$B$75))))))))</f>
        <v>0</v>
      </c>
      <c r="S260" s="210">
        <f>IF(L260=0,IF(Q260="Other dry cargo",Alukset_fx!$H$73*(Alukset_Käynnit_Lask!K260^Alukset_fx!$I$73),IF(OR(Q260="Dry Bulk",Q260="Bulk carrier"),Alukset_fx!$H$71*(Alukset_Käynnit_Lask!K260^Alukset_fx!$I$71),IF(Q260="Tugboat",Alukset_fx!$H$78*(Alukset_Käynnit_Lask!K260^Alukset_fx!$I$78),IF(OR(Q260="Tanker",Q260="Gas tanker",Q260="Chemical tanker",Q260="Oil tanker"),Alukset_fx!$H$70*(Alukset_Käynnit_Lask!K260^Alukset_fx!$I$70),IF(Q260="Container ship",Alukset_fx!$H$72*(Alukset_Käynnit_Lask!K260^Alukset_fx!$I$72),IF(Q260="Barge",0,IF(Q260="RoPax",Alukset_fx!$H$75*(Alukset_Käynnit_Lask!K260^Alukset_fx!$I$75),IF(OR(Q260="RoRo",Q260="Vehicle carrier"),Alukset_fx!$H$74*(Alukset_Käynnit_Lask!K260^Alukset_fx!$I$74),Alukset_fx!$H$77*(Alukset_Käynnit_Lask!K260^Alukset_fx!$I$77))))))))),"-")</f>
        <v>0</v>
      </c>
      <c r="T260" s="208">
        <f>IF(R260=0,IF(Q260="Other dry cargo",S260*Alukset_fx!$B$71,IF(OR(Q260="Dry bulk",Q260="Bulk carrier"),S260*Alukset_fx!$B$69,IF(Q260="Tugboat",S260*Alukset_fx!$B$76,IF(OR(Q260="Tanker",Q260="Gas tanker",Q260="Chemical tanker",Q260="Oil tanker"),S260*Alukset_fx!$B$68,IF(OR(Q260="RoRo",Q260="Vehicle carrier"),S260*Alukset_fx!$B$72,IF(Q260="RoPax",S260*Alukset_fx!$B$73,IF(Q260="Container ship",S260*Alukset_fx!$B$70,S260*Alukset_fx!$B$75))))))),"-")</f>
        <v>0</v>
      </c>
      <c r="U260" s="208">
        <f t="shared" si="42"/>
        <v>0</v>
      </c>
      <c r="V260" s="208">
        <f t="shared" si="43"/>
        <v>0</v>
      </c>
      <c r="W260" s="202">
        <f>Alukset_Käynnit!N267</f>
        <v>0</v>
      </c>
      <c r="X260" s="211">
        <f>IF(Q260="Other dry cargo", Alukset_fx!$C$52, IF(OR(Q260="Dry bulk",Q260="Bulk carrier"),Alukset_fx!$C$35,IF(OR(Q260="Tanker",Q260="Gas tanker",Q260="Oil tanker"),Alukset_fx!$C$57,IF(Q260="Chemical tanker",Alukset_fx!$C$56,IF(OR(Q260="Tugboat",Q260="Barge"),0,IF(Q260="Other vessel",Alukset_fx!$C$54,IF(Q260="Container ship",Alukset_fx!$C$37,IF(OR(Q260="RoPax",Q260="RoRo",Q260="Vehicle carrier"),Alukset_fx!$C$55,0))))))))</f>
        <v>0</v>
      </c>
      <c r="Y260" s="211">
        <f>IF(Q260="Other dry cargo", Alukset_fx!$Q$52, IF(OR(Q260="Dry bulk",Q260="Bulk carrier"),Alukset_fx!$Q$35,IF(OR(Q260="Tanker",Q260="Gas tanker",Q260="Oil tanker"),Alukset_fx!$Q$57,IF(Q260="Chemical tanker",Alukset_fx!$Q$56,IF(OR(Q260="Tugboat",Q260="Barge"),0,IF(Q260="Other vessel",Alukset_fx!$Q$54,IF(Q260="Container ship",Alukset_fx!$Q$37,IF(OR(Q260="RoPax",Q260="RoRo",Q260="Vehicle carrier"),Alukset_fx!$Q$55,0))))))))</f>
        <v>0</v>
      </c>
      <c r="Z260" t="str">
        <f t="shared" si="44"/>
        <v>MDO/MGO</v>
      </c>
      <c r="AA260" t="str">
        <f t="shared" si="45"/>
        <v>MSD</v>
      </c>
      <c r="AB260" t="str">
        <f t="shared" si="46"/>
        <v>MDO/MGO</v>
      </c>
      <c r="AC260" t="str">
        <f t="shared" si="47"/>
        <v>MSD</v>
      </c>
      <c r="AD260" t="str">
        <f t="shared" si="48"/>
        <v>MDO/MGO</v>
      </c>
      <c r="AE260" t="str">
        <f t="shared" si="49"/>
        <v>ST</v>
      </c>
      <c r="AG260">
        <f>Alukset_Käynnit!O267</f>
        <v>0</v>
      </c>
      <c r="AH260" s="207">
        <f>IF(AA260="SSD",((U260*Alukset_fx!$B$24)*Alukset_Käynnit_Lask!W260*(Alukset_fx!$K$49)/1000),IF(AA260="MSD",((U260*Alukset_fx!$B$24)*Alukset_Käynnit_Lask!W260*(Alukset_fx!$K$52)/1000),IF(AA260="HSD",((U260*Alukset_fx!$B$24)*Alukset_Käynnit_Lask!W260*(Alukset_fx!$K$55)/1000),0)))</f>
        <v>0</v>
      </c>
      <c r="AI260" s="207">
        <f>IF(AC260="MSD",((V260*Alukset_fx!$B$25)*Alukset_Käynnit_Lask!W260*(Alukset_fx!$L$52)/1000),IF(AC260="HSD",((V260*Alukset_fx!$B$25)*Alukset_Käynnit_Lask!W260*(Alukset_fx!$L$55)/1000),0))</f>
        <v>0</v>
      </c>
      <c r="AJ260" s="207">
        <f>X260*W260*Alukset_fx!$K$61/1000</f>
        <v>0</v>
      </c>
      <c r="AK260">
        <v>0</v>
      </c>
      <c r="AL260" s="207">
        <f>IF(AG260="Käytetty",0,IF(AC260="MSD",((V260*Alukset_fx!$O$25)*Alukset_Käynnit_Lask!O260*(Alukset_fx!$L$52)/1000),IF(AC260="HSD",((V260*Alukset_fx!$O$25)*Alukset_Käynnit_Lask!O260*(Alukset_fx!$L$55)/1000),0)))</f>
        <v>0</v>
      </c>
      <c r="AM260" s="207">
        <f>IF(AG260="Käytetty",0,Y260*O260*Alukset_fx!$K$61/1000)</f>
        <v>0</v>
      </c>
      <c r="AN260" s="213">
        <f t="shared" si="50"/>
        <v>0</v>
      </c>
    </row>
    <row r="261" spans="1:40" x14ac:dyDescent="0.25">
      <c r="A261" s="203">
        <f>Alukset_Käynnit!A268</f>
        <v>0</v>
      </c>
      <c r="B261" s="203">
        <f>Alukset_Käynnit!B268</f>
        <v>0</v>
      </c>
      <c r="C261" s="262">
        <f>Alukset_Käynnit!C268</f>
        <v>0</v>
      </c>
      <c r="D261" s="266">
        <f>Alukset_Käynnit!D268</f>
        <v>0</v>
      </c>
      <c r="E261" s="262">
        <f>Alukset_Käynnit!E268</f>
        <v>0</v>
      </c>
      <c r="F261" s="262">
        <f>Alukset_Käynnit!F268</f>
        <v>0</v>
      </c>
      <c r="G261" s="262">
        <f>Alukset_Käynnit!G268</f>
        <v>0</v>
      </c>
      <c r="H261" s="262">
        <f>Alukset_Käynnit!H268</f>
        <v>0</v>
      </c>
      <c r="I261" s="262">
        <f>Alukset_Käynnit!I268</f>
        <v>0</v>
      </c>
      <c r="J261" s="262">
        <f>Alukset_Käynnit!J268</f>
        <v>0</v>
      </c>
      <c r="K261" s="262">
        <f>Alukset_Käynnit!K268</f>
        <v>0</v>
      </c>
      <c r="L261" s="205">
        <f>Alukset_Käynnit!L268</f>
        <v>0</v>
      </c>
      <c r="N261" s="273">
        <f t="shared" si="51"/>
        <v>0</v>
      </c>
      <c r="O261" s="274">
        <f t="shared" si="52"/>
        <v>0</v>
      </c>
      <c r="Q261" s="204">
        <f t="shared" si="41"/>
        <v>0</v>
      </c>
      <c r="R261" s="202">
        <f>IF(Q261="Other dry cargo",L261*Alukset_fx!$B$71,IF(OR(Q261="Dry bulk",Q261="Bulk carrier"),L261*Alukset_fx!$B$69,IF(Q261="Tugboat",L261*Alukset_fx!$B$76,IF(OR(Q261="Tanker",Q261="Gas tanker",Q261="Chemical tanker",Q261="Oil tanker"),L261*Alukset_fx!$B$68,IF(OR(Q261="RoRo",Q261="Vehicle carrier"),L261*Alukset_fx!$B$72,IF(Q261="RoPax",L261*Alukset_fx!$B$73,IF(Q261="Container ship",L261*Alukset_fx!$B$70,IF(Q261="Barge",0,L261*Alukset_fx!$B$75))))))))</f>
        <v>0</v>
      </c>
      <c r="S261" s="210">
        <f>IF(L261=0,IF(Q261="Other dry cargo",Alukset_fx!$H$73*(Alukset_Käynnit_Lask!K261^Alukset_fx!$I$73),IF(OR(Q261="Dry Bulk",Q261="Bulk carrier"),Alukset_fx!$H$71*(Alukset_Käynnit_Lask!K261^Alukset_fx!$I$71),IF(Q261="Tugboat",Alukset_fx!$H$78*(Alukset_Käynnit_Lask!K261^Alukset_fx!$I$78),IF(OR(Q261="Tanker",Q261="Gas tanker",Q261="Chemical tanker",Q261="Oil tanker"),Alukset_fx!$H$70*(Alukset_Käynnit_Lask!K261^Alukset_fx!$I$70),IF(Q261="Container ship",Alukset_fx!$H$72*(Alukset_Käynnit_Lask!K261^Alukset_fx!$I$72),IF(Q261="Barge",0,IF(Q261="RoPax",Alukset_fx!$H$75*(Alukset_Käynnit_Lask!K261^Alukset_fx!$I$75),IF(OR(Q261="RoRo",Q261="Vehicle carrier"),Alukset_fx!$H$74*(Alukset_Käynnit_Lask!K261^Alukset_fx!$I$74),Alukset_fx!$H$77*(Alukset_Käynnit_Lask!K261^Alukset_fx!$I$77))))))))),"-")</f>
        <v>0</v>
      </c>
      <c r="T261" s="208">
        <f>IF(R261=0,IF(Q261="Other dry cargo",S261*Alukset_fx!$B$71,IF(OR(Q261="Dry bulk",Q261="Bulk carrier"),S261*Alukset_fx!$B$69,IF(Q261="Tugboat",S261*Alukset_fx!$B$76,IF(OR(Q261="Tanker",Q261="Gas tanker",Q261="Chemical tanker",Q261="Oil tanker"),S261*Alukset_fx!$B$68,IF(OR(Q261="RoRo",Q261="Vehicle carrier"),S261*Alukset_fx!$B$72,IF(Q261="RoPax",S261*Alukset_fx!$B$73,IF(Q261="Container ship",S261*Alukset_fx!$B$70,S261*Alukset_fx!$B$75))))))),"-")</f>
        <v>0</v>
      </c>
      <c r="U261" s="208">
        <f t="shared" si="42"/>
        <v>0</v>
      </c>
      <c r="V261" s="208">
        <f t="shared" si="43"/>
        <v>0</v>
      </c>
      <c r="W261" s="202">
        <f>Alukset_Käynnit!N268</f>
        <v>0</v>
      </c>
      <c r="X261" s="211">
        <f>IF(Q261="Other dry cargo", Alukset_fx!$C$52, IF(OR(Q261="Dry bulk",Q261="Bulk carrier"),Alukset_fx!$C$35,IF(OR(Q261="Tanker",Q261="Gas tanker",Q261="Oil tanker"),Alukset_fx!$C$57,IF(Q261="Chemical tanker",Alukset_fx!$C$56,IF(OR(Q261="Tugboat",Q261="Barge"),0,IF(Q261="Other vessel",Alukset_fx!$C$54,IF(Q261="Container ship",Alukset_fx!$C$37,IF(OR(Q261="RoPax",Q261="RoRo",Q261="Vehicle carrier"),Alukset_fx!$C$55,0))))))))</f>
        <v>0</v>
      </c>
      <c r="Y261" s="211">
        <f>IF(Q261="Other dry cargo", Alukset_fx!$Q$52, IF(OR(Q261="Dry bulk",Q261="Bulk carrier"),Alukset_fx!$Q$35,IF(OR(Q261="Tanker",Q261="Gas tanker",Q261="Oil tanker"),Alukset_fx!$Q$57,IF(Q261="Chemical tanker",Alukset_fx!$Q$56,IF(OR(Q261="Tugboat",Q261="Barge"),0,IF(Q261="Other vessel",Alukset_fx!$Q$54,IF(Q261="Container ship",Alukset_fx!$Q$37,IF(OR(Q261="RoPax",Q261="RoRo",Q261="Vehicle carrier"),Alukset_fx!$Q$55,0))))))))</f>
        <v>0</v>
      </c>
      <c r="Z261" t="str">
        <f t="shared" si="44"/>
        <v>MDO/MGO</v>
      </c>
      <c r="AA261" t="str">
        <f t="shared" si="45"/>
        <v>MSD</v>
      </c>
      <c r="AB261" t="str">
        <f t="shared" si="46"/>
        <v>MDO/MGO</v>
      </c>
      <c r="AC261" t="str">
        <f t="shared" si="47"/>
        <v>MSD</v>
      </c>
      <c r="AD261" t="str">
        <f t="shared" si="48"/>
        <v>MDO/MGO</v>
      </c>
      <c r="AE261" t="str">
        <f t="shared" si="49"/>
        <v>ST</v>
      </c>
      <c r="AG261">
        <f>Alukset_Käynnit!O268</f>
        <v>0</v>
      </c>
      <c r="AH261" s="207">
        <f>IF(AA261="SSD",((U261*Alukset_fx!$B$24)*Alukset_Käynnit_Lask!W261*(Alukset_fx!$K$49)/1000),IF(AA261="MSD",((U261*Alukset_fx!$B$24)*Alukset_Käynnit_Lask!W261*(Alukset_fx!$K$52)/1000),IF(AA261="HSD",((U261*Alukset_fx!$B$24)*Alukset_Käynnit_Lask!W261*(Alukset_fx!$K$55)/1000),0)))</f>
        <v>0</v>
      </c>
      <c r="AI261" s="207">
        <f>IF(AC261="MSD",((V261*Alukset_fx!$B$25)*Alukset_Käynnit_Lask!W261*(Alukset_fx!$L$52)/1000),IF(AC261="HSD",((V261*Alukset_fx!$B$25)*Alukset_Käynnit_Lask!W261*(Alukset_fx!$L$55)/1000),0))</f>
        <v>0</v>
      </c>
      <c r="AJ261" s="207">
        <f>X261*W261*Alukset_fx!$K$61/1000</f>
        <v>0</v>
      </c>
      <c r="AK261">
        <v>0</v>
      </c>
      <c r="AL261" s="207">
        <f>IF(AG261="Käytetty",0,IF(AC261="MSD",((V261*Alukset_fx!$O$25)*Alukset_Käynnit_Lask!O261*(Alukset_fx!$L$52)/1000),IF(AC261="HSD",((V261*Alukset_fx!$O$25)*Alukset_Käynnit_Lask!O261*(Alukset_fx!$L$55)/1000),0)))</f>
        <v>0</v>
      </c>
      <c r="AM261" s="207">
        <f>IF(AG261="Käytetty",0,Y261*O261*Alukset_fx!$K$61/1000)</f>
        <v>0</v>
      </c>
      <c r="AN261" s="213">
        <f t="shared" si="50"/>
        <v>0</v>
      </c>
    </row>
    <row r="262" spans="1:40" x14ac:dyDescent="0.25">
      <c r="A262" s="203">
        <f>Alukset_Käynnit!A269</f>
        <v>0</v>
      </c>
      <c r="B262" s="203">
        <f>Alukset_Käynnit!B269</f>
        <v>0</v>
      </c>
      <c r="C262" s="262">
        <f>Alukset_Käynnit!C269</f>
        <v>0</v>
      </c>
      <c r="D262" s="266">
        <f>Alukset_Käynnit!D269</f>
        <v>0</v>
      </c>
      <c r="E262" s="262">
        <f>Alukset_Käynnit!E269</f>
        <v>0</v>
      </c>
      <c r="F262" s="262">
        <f>Alukset_Käynnit!F269</f>
        <v>0</v>
      </c>
      <c r="G262" s="262">
        <f>Alukset_Käynnit!G269</f>
        <v>0</v>
      </c>
      <c r="H262" s="262">
        <f>Alukset_Käynnit!H269</f>
        <v>0</v>
      </c>
      <c r="I262" s="262">
        <f>Alukset_Käynnit!I269</f>
        <v>0</v>
      </c>
      <c r="J262" s="262">
        <f>Alukset_Käynnit!J269</f>
        <v>0</v>
      </c>
      <c r="K262" s="262">
        <f>Alukset_Käynnit!K269</f>
        <v>0</v>
      </c>
      <c r="L262" s="205">
        <f>Alukset_Käynnit!L269</f>
        <v>0</v>
      </c>
      <c r="N262" s="273">
        <f t="shared" si="51"/>
        <v>0</v>
      </c>
      <c r="O262" s="274">
        <f t="shared" si="52"/>
        <v>0</v>
      </c>
      <c r="Q262" s="204">
        <f t="shared" si="41"/>
        <v>0</v>
      </c>
      <c r="R262" s="202">
        <f>IF(Q262="Other dry cargo",L262*Alukset_fx!$B$71,IF(OR(Q262="Dry bulk",Q262="Bulk carrier"),L262*Alukset_fx!$B$69,IF(Q262="Tugboat",L262*Alukset_fx!$B$76,IF(OR(Q262="Tanker",Q262="Gas tanker",Q262="Chemical tanker",Q262="Oil tanker"),L262*Alukset_fx!$B$68,IF(OR(Q262="RoRo",Q262="Vehicle carrier"),L262*Alukset_fx!$B$72,IF(Q262="RoPax",L262*Alukset_fx!$B$73,IF(Q262="Container ship",L262*Alukset_fx!$B$70,IF(Q262="Barge",0,L262*Alukset_fx!$B$75))))))))</f>
        <v>0</v>
      </c>
      <c r="S262" s="210">
        <f>IF(L262=0,IF(Q262="Other dry cargo",Alukset_fx!$H$73*(Alukset_Käynnit_Lask!K262^Alukset_fx!$I$73),IF(OR(Q262="Dry Bulk",Q262="Bulk carrier"),Alukset_fx!$H$71*(Alukset_Käynnit_Lask!K262^Alukset_fx!$I$71),IF(Q262="Tugboat",Alukset_fx!$H$78*(Alukset_Käynnit_Lask!K262^Alukset_fx!$I$78),IF(OR(Q262="Tanker",Q262="Gas tanker",Q262="Chemical tanker",Q262="Oil tanker"),Alukset_fx!$H$70*(Alukset_Käynnit_Lask!K262^Alukset_fx!$I$70),IF(Q262="Container ship",Alukset_fx!$H$72*(Alukset_Käynnit_Lask!K262^Alukset_fx!$I$72),IF(Q262="Barge",0,IF(Q262="RoPax",Alukset_fx!$H$75*(Alukset_Käynnit_Lask!K262^Alukset_fx!$I$75),IF(OR(Q262="RoRo",Q262="Vehicle carrier"),Alukset_fx!$H$74*(Alukset_Käynnit_Lask!K262^Alukset_fx!$I$74),Alukset_fx!$H$77*(Alukset_Käynnit_Lask!K262^Alukset_fx!$I$77))))))))),"-")</f>
        <v>0</v>
      </c>
      <c r="T262" s="208">
        <f>IF(R262=0,IF(Q262="Other dry cargo",S262*Alukset_fx!$B$71,IF(OR(Q262="Dry bulk",Q262="Bulk carrier"),S262*Alukset_fx!$B$69,IF(Q262="Tugboat",S262*Alukset_fx!$B$76,IF(OR(Q262="Tanker",Q262="Gas tanker",Q262="Chemical tanker",Q262="Oil tanker"),S262*Alukset_fx!$B$68,IF(OR(Q262="RoRo",Q262="Vehicle carrier"),S262*Alukset_fx!$B$72,IF(Q262="RoPax",S262*Alukset_fx!$B$73,IF(Q262="Container ship",S262*Alukset_fx!$B$70,S262*Alukset_fx!$B$75))))))),"-")</f>
        <v>0</v>
      </c>
      <c r="U262" s="208">
        <f t="shared" si="42"/>
        <v>0</v>
      </c>
      <c r="V262" s="208">
        <f t="shared" si="43"/>
        <v>0</v>
      </c>
      <c r="W262" s="202">
        <f>Alukset_Käynnit!N269</f>
        <v>0</v>
      </c>
      <c r="X262" s="211">
        <f>IF(Q262="Other dry cargo", Alukset_fx!$C$52, IF(OR(Q262="Dry bulk",Q262="Bulk carrier"),Alukset_fx!$C$35,IF(OR(Q262="Tanker",Q262="Gas tanker",Q262="Oil tanker"),Alukset_fx!$C$57,IF(Q262="Chemical tanker",Alukset_fx!$C$56,IF(OR(Q262="Tugboat",Q262="Barge"),0,IF(Q262="Other vessel",Alukset_fx!$C$54,IF(Q262="Container ship",Alukset_fx!$C$37,IF(OR(Q262="RoPax",Q262="RoRo",Q262="Vehicle carrier"),Alukset_fx!$C$55,0))))))))</f>
        <v>0</v>
      </c>
      <c r="Y262" s="211">
        <f>IF(Q262="Other dry cargo", Alukset_fx!$Q$52, IF(OR(Q262="Dry bulk",Q262="Bulk carrier"),Alukset_fx!$Q$35,IF(OR(Q262="Tanker",Q262="Gas tanker",Q262="Oil tanker"),Alukset_fx!$Q$57,IF(Q262="Chemical tanker",Alukset_fx!$Q$56,IF(OR(Q262="Tugboat",Q262="Barge"),0,IF(Q262="Other vessel",Alukset_fx!$Q$54,IF(Q262="Container ship",Alukset_fx!$Q$37,IF(OR(Q262="RoPax",Q262="RoRo",Q262="Vehicle carrier"),Alukset_fx!$Q$55,0))))))))</f>
        <v>0</v>
      </c>
      <c r="Z262" t="str">
        <f t="shared" si="44"/>
        <v>MDO/MGO</v>
      </c>
      <c r="AA262" t="str">
        <f t="shared" si="45"/>
        <v>MSD</v>
      </c>
      <c r="AB262" t="str">
        <f t="shared" si="46"/>
        <v>MDO/MGO</v>
      </c>
      <c r="AC262" t="str">
        <f t="shared" si="47"/>
        <v>MSD</v>
      </c>
      <c r="AD262" t="str">
        <f t="shared" si="48"/>
        <v>MDO/MGO</v>
      </c>
      <c r="AE262" t="str">
        <f t="shared" si="49"/>
        <v>ST</v>
      </c>
      <c r="AG262">
        <f>Alukset_Käynnit!O269</f>
        <v>0</v>
      </c>
      <c r="AH262" s="207">
        <f>IF(AA262="SSD",((U262*Alukset_fx!$B$24)*Alukset_Käynnit_Lask!W262*(Alukset_fx!$K$49)/1000),IF(AA262="MSD",((U262*Alukset_fx!$B$24)*Alukset_Käynnit_Lask!W262*(Alukset_fx!$K$52)/1000),IF(AA262="HSD",((U262*Alukset_fx!$B$24)*Alukset_Käynnit_Lask!W262*(Alukset_fx!$K$55)/1000),0)))</f>
        <v>0</v>
      </c>
      <c r="AI262" s="207">
        <f>IF(AC262="MSD",((V262*Alukset_fx!$B$25)*Alukset_Käynnit_Lask!W262*(Alukset_fx!$L$52)/1000),IF(AC262="HSD",((V262*Alukset_fx!$B$25)*Alukset_Käynnit_Lask!W262*(Alukset_fx!$L$55)/1000),0))</f>
        <v>0</v>
      </c>
      <c r="AJ262" s="207">
        <f>X262*W262*Alukset_fx!$K$61/1000</f>
        <v>0</v>
      </c>
      <c r="AK262">
        <v>0</v>
      </c>
      <c r="AL262" s="207">
        <f>IF(AG262="Käytetty",0,IF(AC262="MSD",((V262*Alukset_fx!$O$25)*Alukset_Käynnit_Lask!O262*(Alukset_fx!$L$52)/1000),IF(AC262="HSD",((V262*Alukset_fx!$O$25)*Alukset_Käynnit_Lask!O262*(Alukset_fx!$L$55)/1000),0)))</f>
        <v>0</v>
      </c>
      <c r="AM262" s="207">
        <f>IF(AG262="Käytetty",0,Y262*O262*Alukset_fx!$K$61/1000)</f>
        <v>0</v>
      </c>
      <c r="AN262" s="213">
        <f t="shared" si="50"/>
        <v>0</v>
      </c>
    </row>
    <row r="263" spans="1:40" x14ac:dyDescent="0.25">
      <c r="A263" s="203">
        <f>Alukset_Käynnit!A270</f>
        <v>0</v>
      </c>
      <c r="B263" s="203">
        <f>Alukset_Käynnit!B270</f>
        <v>0</v>
      </c>
      <c r="C263" s="262">
        <f>Alukset_Käynnit!C270</f>
        <v>0</v>
      </c>
      <c r="D263" s="266">
        <f>Alukset_Käynnit!D270</f>
        <v>0</v>
      </c>
      <c r="E263" s="262">
        <f>Alukset_Käynnit!E270</f>
        <v>0</v>
      </c>
      <c r="F263" s="262">
        <f>Alukset_Käynnit!F270</f>
        <v>0</v>
      </c>
      <c r="G263" s="262">
        <f>Alukset_Käynnit!G270</f>
        <v>0</v>
      </c>
      <c r="H263" s="262">
        <f>Alukset_Käynnit!H270</f>
        <v>0</v>
      </c>
      <c r="I263" s="262">
        <f>Alukset_Käynnit!I270</f>
        <v>0</v>
      </c>
      <c r="J263" s="262">
        <f>Alukset_Käynnit!J270</f>
        <v>0</v>
      </c>
      <c r="K263" s="262">
        <f>Alukset_Käynnit!K270</f>
        <v>0</v>
      </c>
      <c r="L263" s="205">
        <f>Alukset_Käynnit!L270</f>
        <v>0</v>
      </c>
      <c r="N263" s="273">
        <f t="shared" si="51"/>
        <v>0</v>
      </c>
      <c r="O263" s="274">
        <f t="shared" si="52"/>
        <v>0</v>
      </c>
      <c r="Q263" s="204">
        <f t="shared" si="41"/>
        <v>0</v>
      </c>
      <c r="R263" s="202">
        <f>IF(Q263="Other dry cargo",L263*Alukset_fx!$B$71,IF(OR(Q263="Dry bulk",Q263="Bulk carrier"),L263*Alukset_fx!$B$69,IF(Q263="Tugboat",L263*Alukset_fx!$B$76,IF(OR(Q263="Tanker",Q263="Gas tanker",Q263="Chemical tanker",Q263="Oil tanker"),L263*Alukset_fx!$B$68,IF(OR(Q263="RoRo",Q263="Vehicle carrier"),L263*Alukset_fx!$B$72,IF(Q263="RoPax",L263*Alukset_fx!$B$73,IF(Q263="Container ship",L263*Alukset_fx!$B$70,IF(Q263="Barge",0,L263*Alukset_fx!$B$75))))))))</f>
        <v>0</v>
      </c>
      <c r="S263" s="210">
        <f>IF(L263=0,IF(Q263="Other dry cargo",Alukset_fx!$H$73*(Alukset_Käynnit_Lask!K263^Alukset_fx!$I$73),IF(OR(Q263="Dry Bulk",Q263="Bulk carrier"),Alukset_fx!$H$71*(Alukset_Käynnit_Lask!K263^Alukset_fx!$I$71),IF(Q263="Tugboat",Alukset_fx!$H$78*(Alukset_Käynnit_Lask!K263^Alukset_fx!$I$78),IF(OR(Q263="Tanker",Q263="Gas tanker",Q263="Chemical tanker",Q263="Oil tanker"),Alukset_fx!$H$70*(Alukset_Käynnit_Lask!K263^Alukset_fx!$I$70),IF(Q263="Container ship",Alukset_fx!$H$72*(Alukset_Käynnit_Lask!K263^Alukset_fx!$I$72),IF(Q263="Barge",0,IF(Q263="RoPax",Alukset_fx!$H$75*(Alukset_Käynnit_Lask!K263^Alukset_fx!$I$75),IF(OR(Q263="RoRo",Q263="Vehicle carrier"),Alukset_fx!$H$74*(Alukset_Käynnit_Lask!K263^Alukset_fx!$I$74),Alukset_fx!$H$77*(Alukset_Käynnit_Lask!K263^Alukset_fx!$I$77))))))))),"-")</f>
        <v>0</v>
      </c>
      <c r="T263" s="208">
        <f>IF(R263=0,IF(Q263="Other dry cargo",S263*Alukset_fx!$B$71,IF(OR(Q263="Dry bulk",Q263="Bulk carrier"),S263*Alukset_fx!$B$69,IF(Q263="Tugboat",S263*Alukset_fx!$B$76,IF(OR(Q263="Tanker",Q263="Gas tanker",Q263="Chemical tanker",Q263="Oil tanker"),S263*Alukset_fx!$B$68,IF(OR(Q263="RoRo",Q263="Vehicle carrier"),S263*Alukset_fx!$B$72,IF(Q263="RoPax",S263*Alukset_fx!$B$73,IF(Q263="Container ship",S263*Alukset_fx!$B$70,S263*Alukset_fx!$B$75))))))),"-")</f>
        <v>0</v>
      </c>
      <c r="U263" s="208">
        <f t="shared" si="42"/>
        <v>0</v>
      </c>
      <c r="V263" s="208">
        <f t="shared" si="43"/>
        <v>0</v>
      </c>
      <c r="W263" s="202">
        <f>Alukset_Käynnit!N270</f>
        <v>0</v>
      </c>
      <c r="X263" s="211">
        <f>IF(Q263="Other dry cargo", Alukset_fx!$C$52, IF(OR(Q263="Dry bulk",Q263="Bulk carrier"),Alukset_fx!$C$35,IF(OR(Q263="Tanker",Q263="Gas tanker",Q263="Oil tanker"),Alukset_fx!$C$57,IF(Q263="Chemical tanker",Alukset_fx!$C$56,IF(OR(Q263="Tugboat",Q263="Barge"),0,IF(Q263="Other vessel",Alukset_fx!$C$54,IF(Q263="Container ship",Alukset_fx!$C$37,IF(OR(Q263="RoPax",Q263="RoRo",Q263="Vehicle carrier"),Alukset_fx!$C$55,0))))))))</f>
        <v>0</v>
      </c>
      <c r="Y263" s="211">
        <f>IF(Q263="Other dry cargo", Alukset_fx!$Q$52, IF(OR(Q263="Dry bulk",Q263="Bulk carrier"),Alukset_fx!$Q$35,IF(OR(Q263="Tanker",Q263="Gas tanker",Q263="Oil tanker"),Alukset_fx!$Q$57,IF(Q263="Chemical tanker",Alukset_fx!$Q$56,IF(OR(Q263="Tugboat",Q263="Barge"),0,IF(Q263="Other vessel",Alukset_fx!$Q$54,IF(Q263="Container ship",Alukset_fx!$Q$37,IF(OR(Q263="RoPax",Q263="RoRo",Q263="Vehicle carrier"),Alukset_fx!$Q$55,0))))))))</f>
        <v>0</v>
      </c>
      <c r="Z263" t="str">
        <f t="shared" si="44"/>
        <v>MDO/MGO</v>
      </c>
      <c r="AA263" t="str">
        <f t="shared" si="45"/>
        <v>MSD</v>
      </c>
      <c r="AB263" t="str">
        <f t="shared" si="46"/>
        <v>MDO/MGO</v>
      </c>
      <c r="AC263" t="str">
        <f t="shared" si="47"/>
        <v>MSD</v>
      </c>
      <c r="AD263" t="str">
        <f t="shared" si="48"/>
        <v>MDO/MGO</v>
      </c>
      <c r="AE263" t="str">
        <f t="shared" si="49"/>
        <v>ST</v>
      </c>
      <c r="AG263">
        <f>Alukset_Käynnit!O270</f>
        <v>0</v>
      </c>
      <c r="AH263" s="207">
        <f>IF(AA263="SSD",((U263*Alukset_fx!$B$24)*Alukset_Käynnit_Lask!W263*(Alukset_fx!$K$49)/1000),IF(AA263="MSD",((U263*Alukset_fx!$B$24)*Alukset_Käynnit_Lask!W263*(Alukset_fx!$K$52)/1000),IF(AA263="HSD",((U263*Alukset_fx!$B$24)*Alukset_Käynnit_Lask!W263*(Alukset_fx!$K$55)/1000),0)))</f>
        <v>0</v>
      </c>
      <c r="AI263" s="207">
        <f>IF(AC263="MSD",((V263*Alukset_fx!$B$25)*Alukset_Käynnit_Lask!W263*(Alukset_fx!$L$52)/1000),IF(AC263="HSD",((V263*Alukset_fx!$B$25)*Alukset_Käynnit_Lask!W263*(Alukset_fx!$L$55)/1000),0))</f>
        <v>0</v>
      </c>
      <c r="AJ263" s="207">
        <f>X263*W263*Alukset_fx!$K$61/1000</f>
        <v>0</v>
      </c>
      <c r="AK263">
        <v>0</v>
      </c>
      <c r="AL263" s="207">
        <f>IF(AG263="Käytetty",0,IF(AC263="MSD",((V263*Alukset_fx!$O$25)*Alukset_Käynnit_Lask!O263*(Alukset_fx!$L$52)/1000),IF(AC263="HSD",((V263*Alukset_fx!$O$25)*Alukset_Käynnit_Lask!O263*(Alukset_fx!$L$55)/1000),0)))</f>
        <v>0</v>
      </c>
      <c r="AM263" s="207">
        <f>IF(AG263="Käytetty",0,Y263*O263*Alukset_fx!$K$61/1000)</f>
        <v>0</v>
      </c>
      <c r="AN263" s="213">
        <f t="shared" si="50"/>
        <v>0</v>
      </c>
    </row>
    <row r="264" spans="1:40" x14ac:dyDescent="0.25">
      <c r="A264" s="203">
        <f>Alukset_Käynnit!A271</f>
        <v>0</v>
      </c>
      <c r="B264" s="203">
        <f>Alukset_Käynnit!B271</f>
        <v>0</v>
      </c>
      <c r="C264" s="262">
        <f>Alukset_Käynnit!C271</f>
        <v>0</v>
      </c>
      <c r="D264" s="266">
        <f>Alukset_Käynnit!D271</f>
        <v>0</v>
      </c>
      <c r="E264" s="262">
        <f>Alukset_Käynnit!E271</f>
        <v>0</v>
      </c>
      <c r="F264" s="262">
        <f>Alukset_Käynnit!F271</f>
        <v>0</v>
      </c>
      <c r="G264" s="262">
        <f>Alukset_Käynnit!G271</f>
        <v>0</v>
      </c>
      <c r="H264" s="262">
        <f>Alukset_Käynnit!H271</f>
        <v>0</v>
      </c>
      <c r="I264" s="262">
        <f>Alukset_Käynnit!I271</f>
        <v>0</v>
      </c>
      <c r="J264" s="262">
        <f>Alukset_Käynnit!J271</f>
        <v>0</v>
      </c>
      <c r="K264" s="262">
        <f>Alukset_Käynnit!K271</f>
        <v>0</v>
      </c>
      <c r="L264" s="205">
        <f>Alukset_Käynnit!L271</f>
        <v>0</v>
      </c>
      <c r="N264" s="273">
        <f t="shared" si="51"/>
        <v>0</v>
      </c>
      <c r="O264" s="274">
        <f t="shared" si="52"/>
        <v>0</v>
      </c>
      <c r="Q264" s="204">
        <f t="shared" si="41"/>
        <v>0</v>
      </c>
      <c r="R264" s="202">
        <f>IF(Q264="Other dry cargo",L264*Alukset_fx!$B$71,IF(OR(Q264="Dry bulk",Q264="Bulk carrier"),L264*Alukset_fx!$B$69,IF(Q264="Tugboat",L264*Alukset_fx!$B$76,IF(OR(Q264="Tanker",Q264="Gas tanker",Q264="Chemical tanker",Q264="Oil tanker"),L264*Alukset_fx!$B$68,IF(OR(Q264="RoRo",Q264="Vehicle carrier"),L264*Alukset_fx!$B$72,IF(Q264="RoPax",L264*Alukset_fx!$B$73,IF(Q264="Container ship",L264*Alukset_fx!$B$70,IF(Q264="Barge",0,L264*Alukset_fx!$B$75))))))))</f>
        <v>0</v>
      </c>
      <c r="S264" s="210">
        <f>IF(L264=0,IF(Q264="Other dry cargo",Alukset_fx!$H$73*(Alukset_Käynnit_Lask!K264^Alukset_fx!$I$73),IF(OR(Q264="Dry Bulk",Q264="Bulk carrier"),Alukset_fx!$H$71*(Alukset_Käynnit_Lask!K264^Alukset_fx!$I$71),IF(Q264="Tugboat",Alukset_fx!$H$78*(Alukset_Käynnit_Lask!K264^Alukset_fx!$I$78),IF(OR(Q264="Tanker",Q264="Gas tanker",Q264="Chemical tanker",Q264="Oil tanker"),Alukset_fx!$H$70*(Alukset_Käynnit_Lask!K264^Alukset_fx!$I$70),IF(Q264="Container ship",Alukset_fx!$H$72*(Alukset_Käynnit_Lask!K264^Alukset_fx!$I$72),IF(Q264="Barge",0,IF(Q264="RoPax",Alukset_fx!$H$75*(Alukset_Käynnit_Lask!K264^Alukset_fx!$I$75),IF(OR(Q264="RoRo",Q264="Vehicle carrier"),Alukset_fx!$H$74*(Alukset_Käynnit_Lask!K264^Alukset_fx!$I$74),Alukset_fx!$H$77*(Alukset_Käynnit_Lask!K264^Alukset_fx!$I$77))))))))),"-")</f>
        <v>0</v>
      </c>
      <c r="T264" s="208">
        <f>IF(R264=0,IF(Q264="Other dry cargo",S264*Alukset_fx!$B$71,IF(OR(Q264="Dry bulk",Q264="Bulk carrier"),S264*Alukset_fx!$B$69,IF(Q264="Tugboat",S264*Alukset_fx!$B$76,IF(OR(Q264="Tanker",Q264="Gas tanker",Q264="Chemical tanker",Q264="Oil tanker"),S264*Alukset_fx!$B$68,IF(OR(Q264="RoRo",Q264="Vehicle carrier"),S264*Alukset_fx!$B$72,IF(Q264="RoPax",S264*Alukset_fx!$B$73,IF(Q264="Container ship",S264*Alukset_fx!$B$70,S264*Alukset_fx!$B$75))))))),"-")</f>
        <v>0</v>
      </c>
      <c r="U264" s="208">
        <f t="shared" si="42"/>
        <v>0</v>
      </c>
      <c r="V264" s="208">
        <f t="shared" si="43"/>
        <v>0</v>
      </c>
      <c r="W264" s="202">
        <f>Alukset_Käynnit!N271</f>
        <v>0</v>
      </c>
      <c r="X264" s="211">
        <f>IF(Q264="Other dry cargo", Alukset_fx!$C$52, IF(OR(Q264="Dry bulk",Q264="Bulk carrier"),Alukset_fx!$C$35,IF(OR(Q264="Tanker",Q264="Gas tanker",Q264="Oil tanker"),Alukset_fx!$C$57,IF(Q264="Chemical tanker",Alukset_fx!$C$56,IF(OR(Q264="Tugboat",Q264="Barge"),0,IF(Q264="Other vessel",Alukset_fx!$C$54,IF(Q264="Container ship",Alukset_fx!$C$37,IF(OR(Q264="RoPax",Q264="RoRo",Q264="Vehicle carrier"),Alukset_fx!$C$55,0))))))))</f>
        <v>0</v>
      </c>
      <c r="Y264" s="211">
        <f>IF(Q264="Other dry cargo", Alukset_fx!$Q$52, IF(OR(Q264="Dry bulk",Q264="Bulk carrier"),Alukset_fx!$Q$35,IF(OR(Q264="Tanker",Q264="Gas tanker",Q264="Oil tanker"),Alukset_fx!$Q$57,IF(Q264="Chemical tanker",Alukset_fx!$Q$56,IF(OR(Q264="Tugboat",Q264="Barge"),0,IF(Q264="Other vessel",Alukset_fx!$Q$54,IF(Q264="Container ship",Alukset_fx!$Q$37,IF(OR(Q264="RoPax",Q264="RoRo",Q264="Vehicle carrier"),Alukset_fx!$Q$55,0))))))))</f>
        <v>0</v>
      </c>
      <c r="Z264" t="str">
        <f t="shared" si="44"/>
        <v>MDO/MGO</v>
      </c>
      <c r="AA264" t="str">
        <f t="shared" si="45"/>
        <v>MSD</v>
      </c>
      <c r="AB264" t="str">
        <f t="shared" si="46"/>
        <v>MDO/MGO</v>
      </c>
      <c r="AC264" t="str">
        <f t="shared" si="47"/>
        <v>MSD</v>
      </c>
      <c r="AD264" t="str">
        <f t="shared" si="48"/>
        <v>MDO/MGO</v>
      </c>
      <c r="AE264" t="str">
        <f t="shared" si="49"/>
        <v>ST</v>
      </c>
      <c r="AG264">
        <f>Alukset_Käynnit!O271</f>
        <v>0</v>
      </c>
      <c r="AH264" s="207">
        <f>IF(AA264="SSD",((U264*Alukset_fx!$B$24)*Alukset_Käynnit_Lask!W264*(Alukset_fx!$K$49)/1000),IF(AA264="MSD",((U264*Alukset_fx!$B$24)*Alukset_Käynnit_Lask!W264*(Alukset_fx!$K$52)/1000),IF(AA264="HSD",((U264*Alukset_fx!$B$24)*Alukset_Käynnit_Lask!W264*(Alukset_fx!$K$55)/1000),0)))</f>
        <v>0</v>
      </c>
      <c r="AI264" s="207">
        <f>IF(AC264="MSD",((V264*Alukset_fx!$B$25)*Alukset_Käynnit_Lask!W264*(Alukset_fx!$L$52)/1000),IF(AC264="HSD",((V264*Alukset_fx!$B$25)*Alukset_Käynnit_Lask!W264*(Alukset_fx!$L$55)/1000),0))</f>
        <v>0</v>
      </c>
      <c r="AJ264" s="207">
        <f>X264*W264*Alukset_fx!$K$61/1000</f>
        <v>0</v>
      </c>
      <c r="AK264">
        <v>0</v>
      </c>
      <c r="AL264" s="207">
        <f>IF(AG264="Käytetty",0,IF(AC264="MSD",((V264*Alukset_fx!$O$25)*Alukset_Käynnit_Lask!O264*(Alukset_fx!$L$52)/1000),IF(AC264="HSD",((V264*Alukset_fx!$O$25)*Alukset_Käynnit_Lask!O264*(Alukset_fx!$L$55)/1000),0)))</f>
        <v>0</v>
      </c>
      <c r="AM264" s="207">
        <f>IF(AG264="Käytetty",0,Y264*O264*Alukset_fx!$K$61/1000)</f>
        <v>0</v>
      </c>
      <c r="AN264" s="213">
        <f t="shared" si="50"/>
        <v>0</v>
      </c>
    </row>
    <row r="265" spans="1:40" x14ac:dyDescent="0.25">
      <c r="A265" s="203">
        <f>Alukset_Käynnit!A272</f>
        <v>0</v>
      </c>
      <c r="B265" s="203">
        <f>Alukset_Käynnit!B272</f>
        <v>0</v>
      </c>
      <c r="C265" s="262">
        <f>Alukset_Käynnit!C272</f>
        <v>0</v>
      </c>
      <c r="D265" s="266">
        <f>Alukset_Käynnit!D272</f>
        <v>0</v>
      </c>
      <c r="E265" s="262">
        <f>Alukset_Käynnit!E272</f>
        <v>0</v>
      </c>
      <c r="F265" s="262">
        <f>Alukset_Käynnit!F272</f>
        <v>0</v>
      </c>
      <c r="G265" s="262">
        <f>Alukset_Käynnit!G272</f>
        <v>0</v>
      </c>
      <c r="H265" s="262">
        <f>Alukset_Käynnit!H272</f>
        <v>0</v>
      </c>
      <c r="I265" s="262">
        <f>Alukset_Käynnit!I272</f>
        <v>0</v>
      </c>
      <c r="J265" s="262">
        <f>Alukset_Käynnit!J272</f>
        <v>0</v>
      </c>
      <c r="K265" s="262">
        <f>Alukset_Käynnit!K272</f>
        <v>0</v>
      </c>
      <c r="L265" s="205">
        <f>Alukset_Käynnit!L272</f>
        <v>0</v>
      </c>
      <c r="N265" s="273">
        <f t="shared" si="51"/>
        <v>0</v>
      </c>
      <c r="O265" s="274">
        <f t="shared" si="52"/>
        <v>0</v>
      </c>
      <c r="Q265" s="204">
        <f t="shared" si="41"/>
        <v>0</v>
      </c>
      <c r="R265" s="202">
        <f>IF(Q265="Other dry cargo",L265*Alukset_fx!$B$71,IF(OR(Q265="Dry bulk",Q265="Bulk carrier"),L265*Alukset_fx!$B$69,IF(Q265="Tugboat",L265*Alukset_fx!$B$76,IF(OR(Q265="Tanker",Q265="Gas tanker",Q265="Chemical tanker",Q265="Oil tanker"),L265*Alukset_fx!$B$68,IF(OR(Q265="RoRo",Q265="Vehicle carrier"),L265*Alukset_fx!$B$72,IF(Q265="RoPax",L265*Alukset_fx!$B$73,IF(Q265="Container ship",L265*Alukset_fx!$B$70,IF(Q265="Barge",0,L265*Alukset_fx!$B$75))))))))</f>
        <v>0</v>
      </c>
      <c r="S265" s="210">
        <f>IF(L265=0,IF(Q265="Other dry cargo",Alukset_fx!$H$73*(Alukset_Käynnit_Lask!K265^Alukset_fx!$I$73),IF(OR(Q265="Dry Bulk",Q265="Bulk carrier"),Alukset_fx!$H$71*(Alukset_Käynnit_Lask!K265^Alukset_fx!$I$71),IF(Q265="Tugboat",Alukset_fx!$H$78*(Alukset_Käynnit_Lask!K265^Alukset_fx!$I$78),IF(OR(Q265="Tanker",Q265="Gas tanker",Q265="Chemical tanker",Q265="Oil tanker"),Alukset_fx!$H$70*(Alukset_Käynnit_Lask!K265^Alukset_fx!$I$70),IF(Q265="Container ship",Alukset_fx!$H$72*(Alukset_Käynnit_Lask!K265^Alukset_fx!$I$72),IF(Q265="Barge",0,IF(Q265="RoPax",Alukset_fx!$H$75*(Alukset_Käynnit_Lask!K265^Alukset_fx!$I$75),IF(OR(Q265="RoRo",Q265="Vehicle carrier"),Alukset_fx!$H$74*(Alukset_Käynnit_Lask!K265^Alukset_fx!$I$74),Alukset_fx!$H$77*(Alukset_Käynnit_Lask!K265^Alukset_fx!$I$77))))))))),"-")</f>
        <v>0</v>
      </c>
      <c r="T265" s="208">
        <f>IF(R265=0,IF(Q265="Other dry cargo",S265*Alukset_fx!$B$71,IF(OR(Q265="Dry bulk",Q265="Bulk carrier"),S265*Alukset_fx!$B$69,IF(Q265="Tugboat",S265*Alukset_fx!$B$76,IF(OR(Q265="Tanker",Q265="Gas tanker",Q265="Chemical tanker",Q265="Oil tanker"),S265*Alukset_fx!$B$68,IF(OR(Q265="RoRo",Q265="Vehicle carrier"),S265*Alukset_fx!$B$72,IF(Q265="RoPax",S265*Alukset_fx!$B$73,IF(Q265="Container ship",S265*Alukset_fx!$B$70,S265*Alukset_fx!$B$75))))))),"-")</f>
        <v>0</v>
      </c>
      <c r="U265" s="208">
        <f t="shared" si="42"/>
        <v>0</v>
      </c>
      <c r="V265" s="208">
        <f t="shared" si="43"/>
        <v>0</v>
      </c>
      <c r="W265" s="202">
        <f>Alukset_Käynnit!N272</f>
        <v>0</v>
      </c>
      <c r="X265" s="211">
        <f>IF(Q265="Other dry cargo", Alukset_fx!$C$52, IF(OR(Q265="Dry bulk",Q265="Bulk carrier"),Alukset_fx!$C$35,IF(OR(Q265="Tanker",Q265="Gas tanker",Q265="Oil tanker"),Alukset_fx!$C$57,IF(Q265="Chemical tanker",Alukset_fx!$C$56,IF(OR(Q265="Tugboat",Q265="Barge"),0,IF(Q265="Other vessel",Alukset_fx!$C$54,IF(Q265="Container ship",Alukset_fx!$C$37,IF(OR(Q265="RoPax",Q265="RoRo",Q265="Vehicle carrier"),Alukset_fx!$C$55,0))))))))</f>
        <v>0</v>
      </c>
      <c r="Y265" s="211">
        <f>IF(Q265="Other dry cargo", Alukset_fx!$Q$52, IF(OR(Q265="Dry bulk",Q265="Bulk carrier"),Alukset_fx!$Q$35,IF(OR(Q265="Tanker",Q265="Gas tanker",Q265="Oil tanker"),Alukset_fx!$Q$57,IF(Q265="Chemical tanker",Alukset_fx!$Q$56,IF(OR(Q265="Tugboat",Q265="Barge"),0,IF(Q265="Other vessel",Alukset_fx!$Q$54,IF(Q265="Container ship",Alukset_fx!$Q$37,IF(OR(Q265="RoPax",Q265="RoRo",Q265="Vehicle carrier"),Alukset_fx!$Q$55,0))))))))</f>
        <v>0</v>
      </c>
      <c r="Z265" t="str">
        <f t="shared" si="44"/>
        <v>MDO/MGO</v>
      </c>
      <c r="AA265" t="str">
        <f t="shared" si="45"/>
        <v>MSD</v>
      </c>
      <c r="AB265" t="str">
        <f t="shared" si="46"/>
        <v>MDO/MGO</v>
      </c>
      <c r="AC265" t="str">
        <f t="shared" si="47"/>
        <v>MSD</v>
      </c>
      <c r="AD265" t="str">
        <f t="shared" si="48"/>
        <v>MDO/MGO</v>
      </c>
      <c r="AE265" t="str">
        <f t="shared" si="49"/>
        <v>ST</v>
      </c>
      <c r="AG265">
        <f>Alukset_Käynnit!O272</f>
        <v>0</v>
      </c>
      <c r="AH265" s="207">
        <f>IF(AA265="SSD",((U265*Alukset_fx!$B$24)*Alukset_Käynnit_Lask!W265*(Alukset_fx!$K$49)/1000),IF(AA265="MSD",((U265*Alukset_fx!$B$24)*Alukset_Käynnit_Lask!W265*(Alukset_fx!$K$52)/1000),IF(AA265="HSD",((U265*Alukset_fx!$B$24)*Alukset_Käynnit_Lask!W265*(Alukset_fx!$K$55)/1000),0)))</f>
        <v>0</v>
      </c>
      <c r="AI265" s="207">
        <f>IF(AC265="MSD",((V265*Alukset_fx!$B$25)*Alukset_Käynnit_Lask!W265*(Alukset_fx!$L$52)/1000),IF(AC265="HSD",((V265*Alukset_fx!$B$25)*Alukset_Käynnit_Lask!W265*(Alukset_fx!$L$55)/1000),0))</f>
        <v>0</v>
      </c>
      <c r="AJ265" s="207">
        <f>X265*W265*Alukset_fx!$K$61/1000</f>
        <v>0</v>
      </c>
      <c r="AK265">
        <v>0</v>
      </c>
      <c r="AL265" s="207">
        <f>IF(AG265="Käytetty",0,IF(AC265="MSD",((V265*Alukset_fx!$O$25)*Alukset_Käynnit_Lask!O265*(Alukset_fx!$L$52)/1000),IF(AC265="HSD",((V265*Alukset_fx!$O$25)*Alukset_Käynnit_Lask!O265*(Alukset_fx!$L$55)/1000),0)))</f>
        <v>0</v>
      </c>
      <c r="AM265" s="207">
        <f>IF(AG265="Käytetty",0,Y265*O265*Alukset_fx!$K$61/1000)</f>
        <v>0</v>
      </c>
      <c r="AN265" s="213">
        <f t="shared" si="50"/>
        <v>0</v>
      </c>
    </row>
    <row r="266" spans="1:40" x14ac:dyDescent="0.25">
      <c r="A266" s="203">
        <f>Alukset_Käynnit!A273</f>
        <v>0</v>
      </c>
      <c r="B266" s="203">
        <f>Alukset_Käynnit!B273</f>
        <v>0</v>
      </c>
      <c r="C266" s="262">
        <f>Alukset_Käynnit!C273</f>
        <v>0</v>
      </c>
      <c r="D266" s="266">
        <f>Alukset_Käynnit!D273</f>
        <v>0</v>
      </c>
      <c r="E266" s="262">
        <f>Alukset_Käynnit!E273</f>
        <v>0</v>
      </c>
      <c r="F266" s="262">
        <f>Alukset_Käynnit!F273</f>
        <v>0</v>
      </c>
      <c r="G266" s="262">
        <f>Alukset_Käynnit!G273</f>
        <v>0</v>
      </c>
      <c r="H266" s="262">
        <f>Alukset_Käynnit!H273</f>
        <v>0</v>
      </c>
      <c r="I266" s="262">
        <f>Alukset_Käynnit!I273</f>
        <v>0</v>
      </c>
      <c r="J266" s="262">
        <f>Alukset_Käynnit!J273</f>
        <v>0</v>
      </c>
      <c r="K266" s="262">
        <f>Alukset_Käynnit!K273</f>
        <v>0</v>
      </c>
      <c r="L266" s="205">
        <f>Alukset_Käynnit!L273</f>
        <v>0</v>
      </c>
      <c r="N266" s="273">
        <f t="shared" si="51"/>
        <v>0</v>
      </c>
      <c r="O266" s="274">
        <f t="shared" si="52"/>
        <v>0</v>
      </c>
      <c r="Q266" s="204">
        <f t="shared" si="41"/>
        <v>0</v>
      </c>
      <c r="R266" s="202">
        <f>IF(Q266="Other dry cargo",L266*Alukset_fx!$B$71,IF(OR(Q266="Dry bulk",Q266="Bulk carrier"),L266*Alukset_fx!$B$69,IF(Q266="Tugboat",L266*Alukset_fx!$B$76,IF(OR(Q266="Tanker",Q266="Gas tanker",Q266="Chemical tanker",Q266="Oil tanker"),L266*Alukset_fx!$B$68,IF(OR(Q266="RoRo",Q266="Vehicle carrier"),L266*Alukset_fx!$B$72,IF(Q266="RoPax",L266*Alukset_fx!$B$73,IF(Q266="Container ship",L266*Alukset_fx!$B$70,IF(Q266="Barge",0,L266*Alukset_fx!$B$75))))))))</f>
        <v>0</v>
      </c>
      <c r="S266" s="210">
        <f>IF(L266=0,IF(Q266="Other dry cargo",Alukset_fx!$H$73*(Alukset_Käynnit_Lask!K266^Alukset_fx!$I$73),IF(OR(Q266="Dry Bulk",Q266="Bulk carrier"),Alukset_fx!$H$71*(Alukset_Käynnit_Lask!K266^Alukset_fx!$I$71),IF(Q266="Tugboat",Alukset_fx!$H$78*(Alukset_Käynnit_Lask!K266^Alukset_fx!$I$78),IF(OR(Q266="Tanker",Q266="Gas tanker",Q266="Chemical tanker",Q266="Oil tanker"),Alukset_fx!$H$70*(Alukset_Käynnit_Lask!K266^Alukset_fx!$I$70),IF(Q266="Container ship",Alukset_fx!$H$72*(Alukset_Käynnit_Lask!K266^Alukset_fx!$I$72),IF(Q266="Barge",0,IF(Q266="RoPax",Alukset_fx!$H$75*(Alukset_Käynnit_Lask!K266^Alukset_fx!$I$75),IF(OR(Q266="RoRo",Q266="Vehicle carrier"),Alukset_fx!$H$74*(Alukset_Käynnit_Lask!K266^Alukset_fx!$I$74),Alukset_fx!$H$77*(Alukset_Käynnit_Lask!K266^Alukset_fx!$I$77))))))))),"-")</f>
        <v>0</v>
      </c>
      <c r="T266" s="208">
        <f>IF(R266=0,IF(Q266="Other dry cargo",S266*Alukset_fx!$B$71,IF(OR(Q266="Dry bulk",Q266="Bulk carrier"),S266*Alukset_fx!$B$69,IF(Q266="Tugboat",S266*Alukset_fx!$B$76,IF(OR(Q266="Tanker",Q266="Gas tanker",Q266="Chemical tanker",Q266="Oil tanker"),S266*Alukset_fx!$B$68,IF(OR(Q266="RoRo",Q266="Vehicle carrier"),S266*Alukset_fx!$B$72,IF(Q266="RoPax",S266*Alukset_fx!$B$73,IF(Q266="Container ship",S266*Alukset_fx!$B$70,S266*Alukset_fx!$B$75))))))),"-")</f>
        <v>0</v>
      </c>
      <c r="U266" s="208">
        <f t="shared" si="42"/>
        <v>0</v>
      </c>
      <c r="V266" s="208">
        <f t="shared" si="43"/>
        <v>0</v>
      </c>
      <c r="W266" s="202">
        <f>Alukset_Käynnit!N273</f>
        <v>0</v>
      </c>
      <c r="X266" s="211">
        <f>IF(Q266="Other dry cargo", Alukset_fx!$C$52, IF(OR(Q266="Dry bulk",Q266="Bulk carrier"),Alukset_fx!$C$35,IF(OR(Q266="Tanker",Q266="Gas tanker",Q266="Oil tanker"),Alukset_fx!$C$57,IF(Q266="Chemical tanker",Alukset_fx!$C$56,IF(OR(Q266="Tugboat",Q266="Barge"),0,IF(Q266="Other vessel",Alukset_fx!$C$54,IF(Q266="Container ship",Alukset_fx!$C$37,IF(OR(Q266="RoPax",Q266="RoRo",Q266="Vehicle carrier"),Alukset_fx!$C$55,0))))))))</f>
        <v>0</v>
      </c>
      <c r="Y266" s="211">
        <f>IF(Q266="Other dry cargo", Alukset_fx!$Q$52, IF(OR(Q266="Dry bulk",Q266="Bulk carrier"),Alukset_fx!$Q$35,IF(OR(Q266="Tanker",Q266="Gas tanker",Q266="Oil tanker"),Alukset_fx!$Q$57,IF(Q266="Chemical tanker",Alukset_fx!$Q$56,IF(OR(Q266="Tugboat",Q266="Barge"),0,IF(Q266="Other vessel",Alukset_fx!$Q$54,IF(Q266="Container ship",Alukset_fx!$Q$37,IF(OR(Q266="RoPax",Q266="RoRo",Q266="Vehicle carrier"),Alukset_fx!$Q$55,0))))))))</f>
        <v>0</v>
      </c>
      <c r="Z266" t="str">
        <f t="shared" si="44"/>
        <v>MDO/MGO</v>
      </c>
      <c r="AA266" t="str">
        <f t="shared" si="45"/>
        <v>MSD</v>
      </c>
      <c r="AB266" t="str">
        <f t="shared" si="46"/>
        <v>MDO/MGO</v>
      </c>
      <c r="AC266" t="str">
        <f t="shared" si="47"/>
        <v>MSD</v>
      </c>
      <c r="AD266" t="str">
        <f t="shared" si="48"/>
        <v>MDO/MGO</v>
      </c>
      <c r="AE266" t="str">
        <f t="shared" si="49"/>
        <v>ST</v>
      </c>
      <c r="AG266">
        <f>Alukset_Käynnit!O273</f>
        <v>0</v>
      </c>
      <c r="AH266" s="207">
        <f>IF(AA266="SSD",((U266*Alukset_fx!$B$24)*Alukset_Käynnit_Lask!W266*(Alukset_fx!$K$49)/1000),IF(AA266="MSD",((U266*Alukset_fx!$B$24)*Alukset_Käynnit_Lask!W266*(Alukset_fx!$K$52)/1000),IF(AA266="HSD",((U266*Alukset_fx!$B$24)*Alukset_Käynnit_Lask!W266*(Alukset_fx!$K$55)/1000),0)))</f>
        <v>0</v>
      </c>
      <c r="AI266" s="207">
        <f>IF(AC266="MSD",((V266*Alukset_fx!$B$25)*Alukset_Käynnit_Lask!W266*(Alukset_fx!$L$52)/1000),IF(AC266="HSD",((V266*Alukset_fx!$B$25)*Alukset_Käynnit_Lask!W266*(Alukset_fx!$L$55)/1000),0))</f>
        <v>0</v>
      </c>
      <c r="AJ266" s="207">
        <f>X266*W266*Alukset_fx!$K$61/1000</f>
        <v>0</v>
      </c>
      <c r="AK266">
        <v>0</v>
      </c>
      <c r="AL266" s="207">
        <f>IF(AG266="Käytetty",0,IF(AC266="MSD",((V266*Alukset_fx!$O$25)*Alukset_Käynnit_Lask!O266*(Alukset_fx!$L$52)/1000),IF(AC266="HSD",((V266*Alukset_fx!$O$25)*Alukset_Käynnit_Lask!O266*(Alukset_fx!$L$55)/1000),0)))</f>
        <v>0</v>
      </c>
      <c r="AM266" s="207">
        <f>IF(AG266="Käytetty",0,Y266*O266*Alukset_fx!$K$61/1000)</f>
        <v>0</v>
      </c>
      <c r="AN266" s="213">
        <f t="shared" si="50"/>
        <v>0</v>
      </c>
    </row>
    <row r="267" spans="1:40" x14ac:dyDescent="0.25">
      <c r="A267" s="203">
        <f>Alukset_Käynnit!A274</f>
        <v>0</v>
      </c>
      <c r="B267" s="203">
        <f>Alukset_Käynnit!B274</f>
        <v>0</v>
      </c>
      <c r="C267" s="262">
        <f>Alukset_Käynnit!C274</f>
        <v>0</v>
      </c>
      <c r="D267" s="266">
        <f>Alukset_Käynnit!D274</f>
        <v>0</v>
      </c>
      <c r="E267" s="262">
        <f>Alukset_Käynnit!E274</f>
        <v>0</v>
      </c>
      <c r="F267" s="262">
        <f>Alukset_Käynnit!F274</f>
        <v>0</v>
      </c>
      <c r="G267" s="262">
        <f>Alukset_Käynnit!G274</f>
        <v>0</v>
      </c>
      <c r="H267" s="262">
        <f>Alukset_Käynnit!H274</f>
        <v>0</v>
      </c>
      <c r="I267" s="262">
        <f>Alukset_Käynnit!I274</f>
        <v>0</v>
      </c>
      <c r="J267" s="262">
        <f>Alukset_Käynnit!J274</f>
        <v>0</v>
      </c>
      <c r="K267" s="262">
        <f>Alukset_Käynnit!K274</f>
        <v>0</v>
      </c>
      <c r="L267" s="205">
        <f>Alukset_Käynnit!L274</f>
        <v>0</v>
      </c>
      <c r="N267" s="273">
        <f t="shared" si="51"/>
        <v>0</v>
      </c>
      <c r="O267" s="274">
        <f t="shared" si="52"/>
        <v>0</v>
      </c>
      <c r="Q267" s="204">
        <f t="shared" si="41"/>
        <v>0</v>
      </c>
      <c r="R267" s="202">
        <f>IF(Q267="Other dry cargo",L267*Alukset_fx!$B$71,IF(OR(Q267="Dry bulk",Q267="Bulk carrier"),L267*Alukset_fx!$B$69,IF(Q267="Tugboat",L267*Alukset_fx!$B$76,IF(OR(Q267="Tanker",Q267="Gas tanker",Q267="Chemical tanker",Q267="Oil tanker"),L267*Alukset_fx!$B$68,IF(OR(Q267="RoRo",Q267="Vehicle carrier"),L267*Alukset_fx!$B$72,IF(Q267="RoPax",L267*Alukset_fx!$B$73,IF(Q267="Container ship",L267*Alukset_fx!$B$70,IF(Q267="Barge",0,L267*Alukset_fx!$B$75))))))))</f>
        <v>0</v>
      </c>
      <c r="S267" s="210">
        <f>IF(L267=0,IF(Q267="Other dry cargo",Alukset_fx!$H$73*(Alukset_Käynnit_Lask!K267^Alukset_fx!$I$73),IF(OR(Q267="Dry Bulk",Q267="Bulk carrier"),Alukset_fx!$H$71*(Alukset_Käynnit_Lask!K267^Alukset_fx!$I$71),IF(Q267="Tugboat",Alukset_fx!$H$78*(Alukset_Käynnit_Lask!K267^Alukset_fx!$I$78),IF(OR(Q267="Tanker",Q267="Gas tanker",Q267="Chemical tanker",Q267="Oil tanker"),Alukset_fx!$H$70*(Alukset_Käynnit_Lask!K267^Alukset_fx!$I$70),IF(Q267="Container ship",Alukset_fx!$H$72*(Alukset_Käynnit_Lask!K267^Alukset_fx!$I$72),IF(Q267="Barge",0,IF(Q267="RoPax",Alukset_fx!$H$75*(Alukset_Käynnit_Lask!K267^Alukset_fx!$I$75),IF(OR(Q267="RoRo",Q267="Vehicle carrier"),Alukset_fx!$H$74*(Alukset_Käynnit_Lask!K267^Alukset_fx!$I$74),Alukset_fx!$H$77*(Alukset_Käynnit_Lask!K267^Alukset_fx!$I$77))))))))),"-")</f>
        <v>0</v>
      </c>
      <c r="T267" s="208">
        <f>IF(R267=0,IF(Q267="Other dry cargo",S267*Alukset_fx!$B$71,IF(OR(Q267="Dry bulk",Q267="Bulk carrier"),S267*Alukset_fx!$B$69,IF(Q267="Tugboat",S267*Alukset_fx!$B$76,IF(OR(Q267="Tanker",Q267="Gas tanker",Q267="Chemical tanker",Q267="Oil tanker"),S267*Alukset_fx!$B$68,IF(OR(Q267="RoRo",Q267="Vehicle carrier"),S267*Alukset_fx!$B$72,IF(Q267="RoPax",S267*Alukset_fx!$B$73,IF(Q267="Container ship",S267*Alukset_fx!$B$70,S267*Alukset_fx!$B$75))))))),"-")</f>
        <v>0</v>
      </c>
      <c r="U267" s="208">
        <f t="shared" si="42"/>
        <v>0</v>
      </c>
      <c r="V267" s="208">
        <f t="shared" si="43"/>
        <v>0</v>
      </c>
      <c r="W267" s="202">
        <f>Alukset_Käynnit!N274</f>
        <v>0</v>
      </c>
      <c r="X267" s="211">
        <f>IF(Q267="Other dry cargo", Alukset_fx!$C$52, IF(OR(Q267="Dry bulk",Q267="Bulk carrier"),Alukset_fx!$C$35,IF(OR(Q267="Tanker",Q267="Gas tanker",Q267="Oil tanker"),Alukset_fx!$C$57,IF(Q267="Chemical tanker",Alukset_fx!$C$56,IF(OR(Q267="Tugboat",Q267="Barge"),0,IF(Q267="Other vessel",Alukset_fx!$C$54,IF(Q267="Container ship",Alukset_fx!$C$37,IF(OR(Q267="RoPax",Q267="RoRo",Q267="Vehicle carrier"),Alukset_fx!$C$55,0))))))))</f>
        <v>0</v>
      </c>
      <c r="Y267" s="211">
        <f>IF(Q267="Other dry cargo", Alukset_fx!$Q$52, IF(OR(Q267="Dry bulk",Q267="Bulk carrier"),Alukset_fx!$Q$35,IF(OR(Q267="Tanker",Q267="Gas tanker",Q267="Oil tanker"),Alukset_fx!$Q$57,IF(Q267="Chemical tanker",Alukset_fx!$Q$56,IF(OR(Q267="Tugboat",Q267="Barge"),0,IF(Q267="Other vessel",Alukset_fx!$Q$54,IF(Q267="Container ship",Alukset_fx!$Q$37,IF(OR(Q267="RoPax",Q267="RoRo",Q267="Vehicle carrier"),Alukset_fx!$Q$55,0))))))))</f>
        <v>0</v>
      </c>
      <c r="Z267" t="str">
        <f t="shared" si="44"/>
        <v>MDO/MGO</v>
      </c>
      <c r="AA267" t="str">
        <f t="shared" si="45"/>
        <v>MSD</v>
      </c>
      <c r="AB267" t="str">
        <f t="shared" si="46"/>
        <v>MDO/MGO</v>
      </c>
      <c r="AC267" t="str">
        <f t="shared" si="47"/>
        <v>MSD</v>
      </c>
      <c r="AD267" t="str">
        <f t="shared" si="48"/>
        <v>MDO/MGO</v>
      </c>
      <c r="AE267" t="str">
        <f t="shared" si="49"/>
        <v>ST</v>
      </c>
      <c r="AG267">
        <f>Alukset_Käynnit!O274</f>
        <v>0</v>
      </c>
      <c r="AH267" s="207">
        <f>IF(AA267="SSD",((U267*Alukset_fx!$B$24)*Alukset_Käynnit_Lask!W267*(Alukset_fx!$K$49)/1000),IF(AA267="MSD",((U267*Alukset_fx!$B$24)*Alukset_Käynnit_Lask!W267*(Alukset_fx!$K$52)/1000),IF(AA267="HSD",((U267*Alukset_fx!$B$24)*Alukset_Käynnit_Lask!W267*(Alukset_fx!$K$55)/1000),0)))</f>
        <v>0</v>
      </c>
      <c r="AI267" s="207">
        <f>IF(AC267="MSD",((V267*Alukset_fx!$B$25)*Alukset_Käynnit_Lask!W267*(Alukset_fx!$L$52)/1000),IF(AC267="HSD",((V267*Alukset_fx!$B$25)*Alukset_Käynnit_Lask!W267*(Alukset_fx!$L$55)/1000),0))</f>
        <v>0</v>
      </c>
      <c r="AJ267" s="207">
        <f>X267*W267*Alukset_fx!$K$61/1000</f>
        <v>0</v>
      </c>
      <c r="AK267">
        <v>0</v>
      </c>
      <c r="AL267" s="207">
        <f>IF(AG267="Käytetty",0,IF(AC267="MSD",((V267*Alukset_fx!$O$25)*Alukset_Käynnit_Lask!O267*(Alukset_fx!$L$52)/1000),IF(AC267="HSD",((V267*Alukset_fx!$O$25)*Alukset_Käynnit_Lask!O267*(Alukset_fx!$L$55)/1000),0)))</f>
        <v>0</v>
      </c>
      <c r="AM267" s="207">
        <f>IF(AG267="Käytetty",0,Y267*O267*Alukset_fx!$K$61/1000)</f>
        <v>0</v>
      </c>
      <c r="AN267" s="213">
        <f t="shared" si="50"/>
        <v>0</v>
      </c>
    </row>
    <row r="268" spans="1:40" x14ac:dyDescent="0.25">
      <c r="A268" s="203">
        <f>Alukset_Käynnit!A275</f>
        <v>0</v>
      </c>
      <c r="B268" s="203">
        <f>Alukset_Käynnit!B275</f>
        <v>0</v>
      </c>
      <c r="C268" s="262">
        <f>Alukset_Käynnit!C275</f>
        <v>0</v>
      </c>
      <c r="D268" s="266">
        <f>Alukset_Käynnit!D275</f>
        <v>0</v>
      </c>
      <c r="E268" s="262">
        <f>Alukset_Käynnit!E275</f>
        <v>0</v>
      </c>
      <c r="F268" s="262">
        <f>Alukset_Käynnit!F275</f>
        <v>0</v>
      </c>
      <c r="G268" s="262">
        <f>Alukset_Käynnit!G275</f>
        <v>0</v>
      </c>
      <c r="H268" s="262">
        <f>Alukset_Käynnit!H275</f>
        <v>0</v>
      </c>
      <c r="I268" s="262">
        <f>Alukset_Käynnit!I275</f>
        <v>0</v>
      </c>
      <c r="J268" s="262">
        <f>Alukset_Käynnit!J275</f>
        <v>0</v>
      </c>
      <c r="K268" s="262">
        <f>Alukset_Käynnit!K275</f>
        <v>0</v>
      </c>
      <c r="L268" s="205">
        <f>Alukset_Käynnit!L275</f>
        <v>0</v>
      </c>
      <c r="N268" s="273">
        <f t="shared" si="51"/>
        <v>0</v>
      </c>
      <c r="O268" s="274">
        <f t="shared" si="52"/>
        <v>0</v>
      </c>
      <c r="Q268" s="204">
        <f t="shared" si="41"/>
        <v>0</v>
      </c>
      <c r="R268" s="202">
        <f>IF(Q268="Other dry cargo",L268*Alukset_fx!$B$71,IF(OR(Q268="Dry bulk",Q268="Bulk carrier"),L268*Alukset_fx!$B$69,IF(Q268="Tugboat",L268*Alukset_fx!$B$76,IF(OR(Q268="Tanker",Q268="Gas tanker",Q268="Chemical tanker",Q268="Oil tanker"),L268*Alukset_fx!$B$68,IF(OR(Q268="RoRo",Q268="Vehicle carrier"),L268*Alukset_fx!$B$72,IF(Q268="RoPax",L268*Alukset_fx!$B$73,IF(Q268="Container ship",L268*Alukset_fx!$B$70,IF(Q268="Barge",0,L268*Alukset_fx!$B$75))))))))</f>
        <v>0</v>
      </c>
      <c r="S268" s="210">
        <f>IF(L268=0,IF(Q268="Other dry cargo",Alukset_fx!$H$73*(Alukset_Käynnit_Lask!K268^Alukset_fx!$I$73),IF(OR(Q268="Dry Bulk",Q268="Bulk carrier"),Alukset_fx!$H$71*(Alukset_Käynnit_Lask!K268^Alukset_fx!$I$71),IF(Q268="Tugboat",Alukset_fx!$H$78*(Alukset_Käynnit_Lask!K268^Alukset_fx!$I$78),IF(OR(Q268="Tanker",Q268="Gas tanker",Q268="Chemical tanker",Q268="Oil tanker"),Alukset_fx!$H$70*(Alukset_Käynnit_Lask!K268^Alukset_fx!$I$70),IF(Q268="Container ship",Alukset_fx!$H$72*(Alukset_Käynnit_Lask!K268^Alukset_fx!$I$72),IF(Q268="Barge",0,IF(Q268="RoPax",Alukset_fx!$H$75*(Alukset_Käynnit_Lask!K268^Alukset_fx!$I$75),IF(OR(Q268="RoRo",Q268="Vehicle carrier"),Alukset_fx!$H$74*(Alukset_Käynnit_Lask!K268^Alukset_fx!$I$74),Alukset_fx!$H$77*(Alukset_Käynnit_Lask!K268^Alukset_fx!$I$77))))))))),"-")</f>
        <v>0</v>
      </c>
      <c r="T268" s="208">
        <f>IF(R268=0,IF(Q268="Other dry cargo",S268*Alukset_fx!$B$71,IF(OR(Q268="Dry bulk",Q268="Bulk carrier"),S268*Alukset_fx!$B$69,IF(Q268="Tugboat",S268*Alukset_fx!$B$76,IF(OR(Q268="Tanker",Q268="Gas tanker",Q268="Chemical tanker",Q268="Oil tanker"),S268*Alukset_fx!$B$68,IF(OR(Q268="RoRo",Q268="Vehicle carrier"),S268*Alukset_fx!$B$72,IF(Q268="RoPax",S268*Alukset_fx!$B$73,IF(Q268="Container ship",S268*Alukset_fx!$B$70,S268*Alukset_fx!$B$75))))))),"-")</f>
        <v>0</v>
      </c>
      <c r="U268" s="208">
        <f t="shared" si="42"/>
        <v>0</v>
      </c>
      <c r="V268" s="208">
        <f t="shared" si="43"/>
        <v>0</v>
      </c>
      <c r="W268" s="202">
        <f>Alukset_Käynnit!N275</f>
        <v>0</v>
      </c>
      <c r="X268" s="211">
        <f>IF(Q268="Other dry cargo", Alukset_fx!$C$52, IF(OR(Q268="Dry bulk",Q268="Bulk carrier"),Alukset_fx!$C$35,IF(OR(Q268="Tanker",Q268="Gas tanker",Q268="Oil tanker"),Alukset_fx!$C$57,IF(Q268="Chemical tanker",Alukset_fx!$C$56,IF(OR(Q268="Tugboat",Q268="Barge"),0,IF(Q268="Other vessel",Alukset_fx!$C$54,IF(Q268="Container ship",Alukset_fx!$C$37,IF(OR(Q268="RoPax",Q268="RoRo",Q268="Vehicle carrier"),Alukset_fx!$C$55,0))))))))</f>
        <v>0</v>
      </c>
      <c r="Y268" s="211">
        <f>IF(Q268="Other dry cargo", Alukset_fx!$Q$52, IF(OR(Q268="Dry bulk",Q268="Bulk carrier"),Alukset_fx!$Q$35,IF(OR(Q268="Tanker",Q268="Gas tanker",Q268="Oil tanker"),Alukset_fx!$Q$57,IF(Q268="Chemical tanker",Alukset_fx!$Q$56,IF(OR(Q268="Tugboat",Q268="Barge"),0,IF(Q268="Other vessel",Alukset_fx!$Q$54,IF(Q268="Container ship",Alukset_fx!$Q$37,IF(OR(Q268="RoPax",Q268="RoRo",Q268="Vehicle carrier"),Alukset_fx!$Q$55,0))))))))</f>
        <v>0</v>
      </c>
      <c r="Z268" t="str">
        <f t="shared" si="44"/>
        <v>MDO/MGO</v>
      </c>
      <c r="AA268" t="str">
        <f t="shared" si="45"/>
        <v>MSD</v>
      </c>
      <c r="AB268" t="str">
        <f t="shared" si="46"/>
        <v>MDO/MGO</v>
      </c>
      <c r="AC268" t="str">
        <f t="shared" si="47"/>
        <v>MSD</v>
      </c>
      <c r="AD268" t="str">
        <f t="shared" si="48"/>
        <v>MDO/MGO</v>
      </c>
      <c r="AE268" t="str">
        <f t="shared" si="49"/>
        <v>ST</v>
      </c>
      <c r="AG268">
        <f>Alukset_Käynnit!O275</f>
        <v>0</v>
      </c>
      <c r="AH268" s="207">
        <f>IF(AA268="SSD",((U268*Alukset_fx!$B$24)*Alukset_Käynnit_Lask!W268*(Alukset_fx!$K$49)/1000),IF(AA268="MSD",((U268*Alukset_fx!$B$24)*Alukset_Käynnit_Lask!W268*(Alukset_fx!$K$52)/1000),IF(AA268="HSD",((U268*Alukset_fx!$B$24)*Alukset_Käynnit_Lask!W268*(Alukset_fx!$K$55)/1000),0)))</f>
        <v>0</v>
      </c>
      <c r="AI268" s="207">
        <f>IF(AC268="MSD",((V268*Alukset_fx!$B$25)*Alukset_Käynnit_Lask!W268*(Alukset_fx!$L$52)/1000),IF(AC268="HSD",((V268*Alukset_fx!$B$25)*Alukset_Käynnit_Lask!W268*(Alukset_fx!$L$55)/1000),0))</f>
        <v>0</v>
      </c>
      <c r="AJ268" s="207">
        <f>X268*W268*Alukset_fx!$K$61/1000</f>
        <v>0</v>
      </c>
      <c r="AK268">
        <v>0</v>
      </c>
      <c r="AL268" s="207">
        <f>IF(AG268="Käytetty",0,IF(AC268="MSD",((V268*Alukset_fx!$O$25)*Alukset_Käynnit_Lask!O268*(Alukset_fx!$L$52)/1000),IF(AC268="HSD",((V268*Alukset_fx!$O$25)*Alukset_Käynnit_Lask!O268*(Alukset_fx!$L$55)/1000),0)))</f>
        <v>0</v>
      </c>
      <c r="AM268" s="207">
        <f>IF(AG268="Käytetty",0,Y268*O268*Alukset_fx!$K$61/1000)</f>
        <v>0</v>
      </c>
      <c r="AN268" s="213">
        <f t="shared" si="50"/>
        <v>0</v>
      </c>
    </row>
    <row r="269" spans="1:40" x14ac:dyDescent="0.25">
      <c r="A269" s="203">
        <f>Alukset_Käynnit!A276</f>
        <v>0</v>
      </c>
      <c r="B269" s="203">
        <f>Alukset_Käynnit!B276</f>
        <v>0</v>
      </c>
      <c r="C269" s="262">
        <f>Alukset_Käynnit!C276</f>
        <v>0</v>
      </c>
      <c r="D269" s="266">
        <f>Alukset_Käynnit!D276</f>
        <v>0</v>
      </c>
      <c r="E269" s="262">
        <f>Alukset_Käynnit!E276</f>
        <v>0</v>
      </c>
      <c r="F269" s="262">
        <f>Alukset_Käynnit!F276</f>
        <v>0</v>
      </c>
      <c r="G269" s="262">
        <f>Alukset_Käynnit!G276</f>
        <v>0</v>
      </c>
      <c r="H269" s="262">
        <f>Alukset_Käynnit!H276</f>
        <v>0</v>
      </c>
      <c r="I269" s="262">
        <f>Alukset_Käynnit!I276</f>
        <v>0</v>
      </c>
      <c r="J269" s="262">
        <f>Alukset_Käynnit!J276</f>
        <v>0</v>
      </c>
      <c r="K269" s="262">
        <f>Alukset_Käynnit!K276</f>
        <v>0</v>
      </c>
      <c r="L269" s="205">
        <f>Alukset_Käynnit!L276</f>
        <v>0</v>
      </c>
      <c r="N269" s="273">
        <f t="shared" si="51"/>
        <v>0</v>
      </c>
      <c r="O269" s="274">
        <f t="shared" si="52"/>
        <v>0</v>
      </c>
      <c r="Q269" s="204">
        <f t="shared" si="41"/>
        <v>0</v>
      </c>
      <c r="R269" s="202">
        <f>IF(Q269="Other dry cargo",L269*Alukset_fx!$B$71,IF(OR(Q269="Dry bulk",Q269="Bulk carrier"),L269*Alukset_fx!$B$69,IF(Q269="Tugboat",L269*Alukset_fx!$B$76,IF(OR(Q269="Tanker",Q269="Gas tanker",Q269="Chemical tanker",Q269="Oil tanker"),L269*Alukset_fx!$B$68,IF(OR(Q269="RoRo",Q269="Vehicle carrier"),L269*Alukset_fx!$B$72,IF(Q269="RoPax",L269*Alukset_fx!$B$73,IF(Q269="Container ship",L269*Alukset_fx!$B$70,IF(Q269="Barge",0,L269*Alukset_fx!$B$75))))))))</f>
        <v>0</v>
      </c>
      <c r="S269" s="210">
        <f>IF(L269=0,IF(Q269="Other dry cargo",Alukset_fx!$H$73*(Alukset_Käynnit_Lask!K269^Alukset_fx!$I$73),IF(OR(Q269="Dry Bulk",Q269="Bulk carrier"),Alukset_fx!$H$71*(Alukset_Käynnit_Lask!K269^Alukset_fx!$I$71),IF(Q269="Tugboat",Alukset_fx!$H$78*(Alukset_Käynnit_Lask!K269^Alukset_fx!$I$78),IF(OR(Q269="Tanker",Q269="Gas tanker",Q269="Chemical tanker",Q269="Oil tanker"),Alukset_fx!$H$70*(Alukset_Käynnit_Lask!K269^Alukset_fx!$I$70),IF(Q269="Container ship",Alukset_fx!$H$72*(Alukset_Käynnit_Lask!K269^Alukset_fx!$I$72),IF(Q269="Barge",0,IF(Q269="RoPax",Alukset_fx!$H$75*(Alukset_Käynnit_Lask!K269^Alukset_fx!$I$75),IF(OR(Q269="RoRo",Q269="Vehicle carrier"),Alukset_fx!$H$74*(Alukset_Käynnit_Lask!K269^Alukset_fx!$I$74),Alukset_fx!$H$77*(Alukset_Käynnit_Lask!K269^Alukset_fx!$I$77))))))))),"-")</f>
        <v>0</v>
      </c>
      <c r="T269" s="208">
        <f>IF(R269=0,IF(Q269="Other dry cargo",S269*Alukset_fx!$B$71,IF(OR(Q269="Dry bulk",Q269="Bulk carrier"),S269*Alukset_fx!$B$69,IF(Q269="Tugboat",S269*Alukset_fx!$B$76,IF(OR(Q269="Tanker",Q269="Gas tanker",Q269="Chemical tanker",Q269="Oil tanker"),S269*Alukset_fx!$B$68,IF(OR(Q269="RoRo",Q269="Vehicle carrier"),S269*Alukset_fx!$B$72,IF(Q269="RoPax",S269*Alukset_fx!$B$73,IF(Q269="Container ship",S269*Alukset_fx!$B$70,S269*Alukset_fx!$B$75))))))),"-")</f>
        <v>0</v>
      </c>
      <c r="U269" s="208">
        <f t="shared" si="42"/>
        <v>0</v>
      </c>
      <c r="V269" s="208">
        <f t="shared" si="43"/>
        <v>0</v>
      </c>
      <c r="W269" s="202">
        <f>Alukset_Käynnit!N276</f>
        <v>0</v>
      </c>
      <c r="X269" s="211">
        <f>IF(Q269="Other dry cargo", Alukset_fx!$C$52, IF(OR(Q269="Dry bulk",Q269="Bulk carrier"),Alukset_fx!$C$35,IF(OR(Q269="Tanker",Q269="Gas tanker",Q269="Oil tanker"),Alukset_fx!$C$57,IF(Q269="Chemical tanker",Alukset_fx!$C$56,IF(OR(Q269="Tugboat",Q269="Barge"),0,IF(Q269="Other vessel",Alukset_fx!$C$54,IF(Q269="Container ship",Alukset_fx!$C$37,IF(OR(Q269="RoPax",Q269="RoRo",Q269="Vehicle carrier"),Alukset_fx!$C$55,0))))))))</f>
        <v>0</v>
      </c>
      <c r="Y269" s="211">
        <f>IF(Q269="Other dry cargo", Alukset_fx!$Q$52, IF(OR(Q269="Dry bulk",Q269="Bulk carrier"),Alukset_fx!$Q$35,IF(OR(Q269="Tanker",Q269="Gas tanker",Q269="Oil tanker"),Alukset_fx!$Q$57,IF(Q269="Chemical tanker",Alukset_fx!$Q$56,IF(OR(Q269="Tugboat",Q269="Barge"),0,IF(Q269="Other vessel",Alukset_fx!$Q$54,IF(Q269="Container ship",Alukset_fx!$Q$37,IF(OR(Q269="RoPax",Q269="RoRo",Q269="Vehicle carrier"),Alukset_fx!$Q$55,0))))))))</f>
        <v>0</v>
      </c>
      <c r="Z269" t="str">
        <f t="shared" si="44"/>
        <v>MDO/MGO</v>
      </c>
      <c r="AA269" t="str">
        <f t="shared" si="45"/>
        <v>MSD</v>
      </c>
      <c r="AB269" t="str">
        <f t="shared" si="46"/>
        <v>MDO/MGO</v>
      </c>
      <c r="AC269" t="str">
        <f t="shared" si="47"/>
        <v>MSD</v>
      </c>
      <c r="AD269" t="str">
        <f t="shared" si="48"/>
        <v>MDO/MGO</v>
      </c>
      <c r="AE269" t="str">
        <f t="shared" si="49"/>
        <v>ST</v>
      </c>
      <c r="AG269">
        <f>Alukset_Käynnit!O276</f>
        <v>0</v>
      </c>
      <c r="AH269" s="207">
        <f>IF(AA269="SSD",((U269*Alukset_fx!$B$24)*Alukset_Käynnit_Lask!W269*(Alukset_fx!$K$49)/1000),IF(AA269="MSD",((U269*Alukset_fx!$B$24)*Alukset_Käynnit_Lask!W269*(Alukset_fx!$K$52)/1000),IF(AA269="HSD",((U269*Alukset_fx!$B$24)*Alukset_Käynnit_Lask!W269*(Alukset_fx!$K$55)/1000),0)))</f>
        <v>0</v>
      </c>
      <c r="AI269" s="207">
        <f>IF(AC269="MSD",((V269*Alukset_fx!$B$25)*Alukset_Käynnit_Lask!W269*(Alukset_fx!$L$52)/1000),IF(AC269="HSD",((V269*Alukset_fx!$B$25)*Alukset_Käynnit_Lask!W269*(Alukset_fx!$L$55)/1000),0))</f>
        <v>0</v>
      </c>
      <c r="AJ269" s="207">
        <f>X269*W269*Alukset_fx!$K$61/1000</f>
        <v>0</v>
      </c>
      <c r="AK269">
        <v>0</v>
      </c>
      <c r="AL269" s="207">
        <f>IF(AG269="Käytetty",0,IF(AC269="MSD",((V269*Alukset_fx!$O$25)*Alukset_Käynnit_Lask!O269*(Alukset_fx!$L$52)/1000),IF(AC269="HSD",((V269*Alukset_fx!$O$25)*Alukset_Käynnit_Lask!O269*(Alukset_fx!$L$55)/1000),0)))</f>
        <v>0</v>
      </c>
      <c r="AM269" s="207">
        <f>IF(AG269="Käytetty",0,Y269*O269*Alukset_fx!$K$61/1000)</f>
        <v>0</v>
      </c>
      <c r="AN269" s="213">
        <f t="shared" si="50"/>
        <v>0</v>
      </c>
    </row>
    <row r="270" spans="1:40" x14ac:dyDescent="0.25">
      <c r="A270" s="203">
        <f>Alukset_Käynnit!A277</f>
        <v>0</v>
      </c>
      <c r="B270" s="203">
        <f>Alukset_Käynnit!B277</f>
        <v>0</v>
      </c>
      <c r="C270" s="262">
        <f>Alukset_Käynnit!C277</f>
        <v>0</v>
      </c>
      <c r="D270" s="266">
        <f>Alukset_Käynnit!D277</f>
        <v>0</v>
      </c>
      <c r="E270" s="262">
        <f>Alukset_Käynnit!E277</f>
        <v>0</v>
      </c>
      <c r="F270" s="262">
        <f>Alukset_Käynnit!F277</f>
        <v>0</v>
      </c>
      <c r="G270" s="262">
        <f>Alukset_Käynnit!G277</f>
        <v>0</v>
      </c>
      <c r="H270" s="262">
        <f>Alukset_Käynnit!H277</f>
        <v>0</v>
      </c>
      <c r="I270" s="262">
        <f>Alukset_Käynnit!I277</f>
        <v>0</v>
      </c>
      <c r="J270" s="262">
        <f>Alukset_Käynnit!J277</f>
        <v>0</v>
      </c>
      <c r="K270" s="262">
        <f>Alukset_Käynnit!K277</f>
        <v>0</v>
      </c>
      <c r="L270" s="205">
        <f>Alukset_Käynnit!L277</f>
        <v>0</v>
      </c>
      <c r="N270" s="273">
        <f t="shared" si="51"/>
        <v>0</v>
      </c>
      <c r="O270" s="274">
        <f t="shared" si="52"/>
        <v>0</v>
      </c>
      <c r="Q270" s="204">
        <f t="shared" ref="Q270:Q333" si="53">IF(H270="Muu kuivalasti","Other dry cargo",IF(H270="Muu kuivalastialus","Other dry cargo",IF(H270="Hinaaja","Tugboat",IF(H270="Proomu","Barge",IF(H270="Pusku-Proomu","Barge",IF(H270="Säiliöalus","Tanker",IF(H270="Ro-Ro-Matkustaja-Alus","RoPax",IF(H270="Irtolastialus","Bulk carrier",IF(H270="Kaasusäiliöalus","Gas tanker",IF(H270="Kemikaalisäiliöalus","Chemical tanker",IF(H270="Muu Alus","Other Vessel",IF(H270="Ro-Ro-Lastialus","RoRo",IF(H270="Öljysäiliöalus","Oil tanker",IF(H270="Ajoneuvojenkuljetusalus","Vehicle carrier",IF(H270="Kuiva Bulk","Dry bulk",IF(H270="Konttialus","Container ship",H270))))))))))))))))</f>
        <v>0</v>
      </c>
      <c r="R270" s="202">
        <f>IF(Q270="Other dry cargo",L270*Alukset_fx!$B$71,IF(OR(Q270="Dry bulk",Q270="Bulk carrier"),L270*Alukset_fx!$B$69,IF(Q270="Tugboat",L270*Alukset_fx!$B$76,IF(OR(Q270="Tanker",Q270="Gas tanker",Q270="Chemical tanker",Q270="Oil tanker"),L270*Alukset_fx!$B$68,IF(OR(Q270="RoRo",Q270="Vehicle carrier"),L270*Alukset_fx!$B$72,IF(Q270="RoPax",L270*Alukset_fx!$B$73,IF(Q270="Container ship",L270*Alukset_fx!$B$70,IF(Q270="Barge",0,L270*Alukset_fx!$B$75))))))))</f>
        <v>0</v>
      </c>
      <c r="S270" s="210">
        <f>IF(L270=0,IF(Q270="Other dry cargo",Alukset_fx!$H$73*(Alukset_Käynnit_Lask!K270^Alukset_fx!$I$73),IF(OR(Q270="Dry Bulk",Q270="Bulk carrier"),Alukset_fx!$H$71*(Alukset_Käynnit_Lask!K270^Alukset_fx!$I$71),IF(Q270="Tugboat",Alukset_fx!$H$78*(Alukset_Käynnit_Lask!K270^Alukset_fx!$I$78),IF(OR(Q270="Tanker",Q270="Gas tanker",Q270="Chemical tanker",Q270="Oil tanker"),Alukset_fx!$H$70*(Alukset_Käynnit_Lask!K270^Alukset_fx!$I$70),IF(Q270="Container ship",Alukset_fx!$H$72*(Alukset_Käynnit_Lask!K270^Alukset_fx!$I$72),IF(Q270="Barge",0,IF(Q270="RoPax",Alukset_fx!$H$75*(Alukset_Käynnit_Lask!K270^Alukset_fx!$I$75),IF(OR(Q270="RoRo",Q270="Vehicle carrier"),Alukset_fx!$H$74*(Alukset_Käynnit_Lask!K270^Alukset_fx!$I$74),Alukset_fx!$H$77*(Alukset_Käynnit_Lask!K270^Alukset_fx!$I$77))))))))),"-")</f>
        <v>0</v>
      </c>
      <c r="T270" s="208">
        <f>IF(R270=0,IF(Q270="Other dry cargo",S270*Alukset_fx!$B$71,IF(OR(Q270="Dry bulk",Q270="Bulk carrier"),S270*Alukset_fx!$B$69,IF(Q270="Tugboat",S270*Alukset_fx!$B$76,IF(OR(Q270="Tanker",Q270="Gas tanker",Q270="Chemical tanker",Q270="Oil tanker"),S270*Alukset_fx!$B$68,IF(OR(Q270="RoRo",Q270="Vehicle carrier"),S270*Alukset_fx!$B$72,IF(Q270="RoPax",S270*Alukset_fx!$B$73,IF(Q270="Container ship",S270*Alukset_fx!$B$70,S270*Alukset_fx!$B$75))))))),"-")</f>
        <v>0</v>
      </c>
      <c r="U270" s="208">
        <f t="shared" ref="U270:U333" si="54">IF(L270=0,S270,L270)</f>
        <v>0</v>
      </c>
      <c r="V270" s="208">
        <f t="shared" ref="V270:V333" si="55">IF(R270=0,T270,R270)</f>
        <v>0</v>
      </c>
      <c r="W270" s="202">
        <f>Alukset_Käynnit!N277</f>
        <v>0</v>
      </c>
      <c r="X270" s="211">
        <f>IF(Q270="Other dry cargo", Alukset_fx!$C$52, IF(OR(Q270="Dry bulk",Q270="Bulk carrier"),Alukset_fx!$C$35,IF(OR(Q270="Tanker",Q270="Gas tanker",Q270="Oil tanker"),Alukset_fx!$C$57,IF(Q270="Chemical tanker",Alukset_fx!$C$56,IF(OR(Q270="Tugboat",Q270="Barge"),0,IF(Q270="Other vessel",Alukset_fx!$C$54,IF(Q270="Container ship",Alukset_fx!$C$37,IF(OR(Q270="RoPax",Q270="RoRo",Q270="Vehicle carrier"),Alukset_fx!$C$55,0))))))))</f>
        <v>0</v>
      </c>
      <c r="Y270" s="211">
        <f>IF(Q270="Other dry cargo", Alukset_fx!$Q$52, IF(OR(Q270="Dry bulk",Q270="Bulk carrier"),Alukset_fx!$Q$35,IF(OR(Q270="Tanker",Q270="Gas tanker",Q270="Oil tanker"),Alukset_fx!$Q$57,IF(Q270="Chemical tanker",Alukset_fx!$Q$56,IF(OR(Q270="Tugboat",Q270="Barge"),0,IF(Q270="Other vessel",Alukset_fx!$Q$54,IF(Q270="Container ship",Alukset_fx!$Q$37,IF(OR(Q270="RoPax",Q270="RoRo",Q270="Vehicle carrier"),Alukset_fx!$Q$55,0))))))))</f>
        <v>0</v>
      </c>
      <c r="Z270" t="str">
        <f t="shared" ref="Z270:Z333" si="56">IF(Q270="Barge","-","MDO/MGO")</f>
        <v>MDO/MGO</v>
      </c>
      <c r="AA270" t="str">
        <f t="shared" ref="AA270:AA333" si="57">IF(Q270="Container ship","SSD",IF(Q270="Tugboat","HSD",IF(Q270="Barge","-","MSD")))</f>
        <v>MSD</v>
      </c>
      <c r="AB270" t="str">
        <f t="shared" ref="AB270:AB333" si="58">IF(Q270="Barge","-","MDO/MGO")</f>
        <v>MDO/MGO</v>
      </c>
      <c r="AC270" t="str">
        <f t="shared" ref="AC270:AC333" si="59">IF(Q270="Barge","-","MSD")</f>
        <v>MSD</v>
      </c>
      <c r="AD270" t="str">
        <f t="shared" ref="AD270:AD333" si="60">IF(OR(Q270="Tugboat",Q270="Barge"),"-","MDO/MGO")</f>
        <v>MDO/MGO</v>
      </c>
      <c r="AE270" t="str">
        <f t="shared" ref="AE270:AE333" si="61">IF(OR(Q270="Barge",Q270="Tugboat"),"-","ST")</f>
        <v>ST</v>
      </c>
      <c r="AG270">
        <f>Alukset_Käynnit!O277</f>
        <v>0</v>
      </c>
      <c r="AH270" s="207">
        <f>IF(AA270="SSD",((U270*Alukset_fx!$B$24)*Alukset_Käynnit_Lask!W270*(Alukset_fx!$K$49)/1000),IF(AA270="MSD",((U270*Alukset_fx!$B$24)*Alukset_Käynnit_Lask!W270*(Alukset_fx!$K$52)/1000),IF(AA270="HSD",((U270*Alukset_fx!$B$24)*Alukset_Käynnit_Lask!W270*(Alukset_fx!$K$55)/1000),0)))</f>
        <v>0</v>
      </c>
      <c r="AI270" s="207">
        <f>IF(AC270="MSD",((V270*Alukset_fx!$B$25)*Alukset_Käynnit_Lask!W270*(Alukset_fx!$L$52)/1000),IF(AC270="HSD",((V270*Alukset_fx!$B$25)*Alukset_Käynnit_Lask!W270*(Alukset_fx!$L$55)/1000),0))</f>
        <v>0</v>
      </c>
      <c r="AJ270" s="207">
        <f>X270*W270*Alukset_fx!$K$61/1000</f>
        <v>0</v>
      </c>
      <c r="AK270">
        <v>0</v>
      </c>
      <c r="AL270" s="207">
        <f>IF(AG270="Käytetty",0,IF(AC270="MSD",((V270*Alukset_fx!$O$25)*Alukset_Käynnit_Lask!O270*(Alukset_fx!$L$52)/1000),IF(AC270="HSD",((V270*Alukset_fx!$O$25)*Alukset_Käynnit_Lask!O270*(Alukset_fx!$L$55)/1000),0)))</f>
        <v>0</v>
      </c>
      <c r="AM270" s="207">
        <f>IF(AG270="Käytetty",0,Y270*O270*Alukset_fx!$K$61/1000)</f>
        <v>0</v>
      </c>
      <c r="AN270" s="213">
        <f t="shared" ref="AN270:AN333" si="62">SUM(AH270:AM270)/1000</f>
        <v>0</v>
      </c>
    </row>
    <row r="271" spans="1:40" x14ac:dyDescent="0.25">
      <c r="A271" s="203">
        <f>Alukset_Käynnit!A278</f>
        <v>0</v>
      </c>
      <c r="B271" s="203">
        <f>Alukset_Käynnit!B278</f>
        <v>0</v>
      </c>
      <c r="C271" s="262">
        <f>Alukset_Käynnit!C278</f>
        <v>0</v>
      </c>
      <c r="D271" s="266">
        <f>Alukset_Käynnit!D278</f>
        <v>0</v>
      </c>
      <c r="E271" s="262">
        <f>Alukset_Käynnit!E278</f>
        <v>0</v>
      </c>
      <c r="F271" s="262">
        <f>Alukset_Käynnit!F278</f>
        <v>0</v>
      </c>
      <c r="G271" s="262">
        <f>Alukset_Käynnit!G278</f>
        <v>0</v>
      </c>
      <c r="H271" s="262">
        <f>Alukset_Käynnit!H278</f>
        <v>0</v>
      </c>
      <c r="I271" s="262">
        <f>Alukset_Käynnit!I278</f>
        <v>0</v>
      </c>
      <c r="J271" s="262">
        <f>Alukset_Käynnit!J278</f>
        <v>0</v>
      </c>
      <c r="K271" s="262">
        <f>Alukset_Käynnit!K278</f>
        <v>0</v>
      </c>
      <c r="L271" s="205">
        <f>Alukset_Käynnit!L278</f>
        <v>0</v>
      </c>
      <c r="N271" s="273">
        <f t="shared" si="51"/>
        <v>0</v>
      </c>
      <c r="O271" s="274">
        <f t="shared" si="52"/>
        <v>0</v>
      </c>
      <c r="Q271" s="204">
        <f t="shared" si="53"/>
        <v>0</v>
      </c>
      <c r="R271" s="202">
        <f>IF(Q271="Other dry cargo",L271*Alukset_fx!$B$71,IF(OR(Q271="Dry bulk",Q271="Bulk carrier"),L271*Alukset_fx!$B$69,IF(Q271="Tugboat",L271*Alukset_fx!$B$76,IF(OR(Q271="Tanker",Q271="Gas tanker",Q271="Chemical tanker",Q271="Oil tanker"),L271*Alukset_fx!$B$68,IF(OR(Q271="RoRo",Q271="Vehicle carrier"),L271*Alukset_fx!$B$72,IF(Q271="RoPax",L271*Alukset_fx!$B$73,IF(Q271="Container ship",L271*Alukset_fx!$B$70,IF(Q271="Barge",0,L271*Alukset_fx!$B$75))))))))</f>
        <v>0</v>
      </c>
      <c r="S271" s="210">
        <f>IF(L271=0,IF(Q271="Other dry cargo",Alukset_fx!$H$73*(Alukset_Käynnit_Lask!K271^Alukset_fx!$I$73),IF(OR(Q271="Dry Bulk",Q271="Bulk carrier"),Alukset_fx!$H$71*(Alukset_Käynnit_Lask!K271^Alukset_fx!$I$71),IF(Q271="Tugboat",Alukset_fx!$H$78*(Alukset_Käynnit_Lask!K271^Alukset_fx!$I$78),IF(OR(Q271="Tanker",Q271="Gas tanker",Q271="Chemical tanker",Q271="Oil tanker"),Alukset_fx!$H$70*(Alukset_Käynnit_Lask!K271^Alukset_fx!$I$70),IF(Q271="Container ship",Alukset_fx!$H$72*(Alukset_Käynnit_Lask!K271^Alukset_fx!$I$72),IF(Q271="Barge",0,IF(Q271="RoPax",Alukset_fx!$H$75*(Alukset_Käynnit_Lask!K271^Alukset_fx!$I$75),IF(OR(Q271="RoRo",Q271="Vehicle carrier"),Alukset_fx!$H$74*(Alukset_Käynnit_Lask!K271^Alukset_fx!$I$74),Alukset_fx!$H$77*(Alukset_Käynnit_Lask!K271^Alukset_fx!$I$77))))))))),"-")</f>
        <v>0</v>
      </c>
      <c r="T271" s="208">
        <f>IF(R271=0,IF(Q271="Other dry cargo",S271*Alukset_fx!$B$71,IF(OR(Q271="Dry bulk",Q271="Bulk carrier"),S271*Alukset_fx!$B$69,IF(Q271="Tugboat",S271*Alukset_fx!$B$76,IF(OR(Q271="Tanker",Q271="Gas tanker",Q271="Chemical tanker",Q271="Oil tanker"),S271*Alukset_fx!$B$68,IF(OR(Q271="RoRo",Q271="Vehicle carrier"),S271*Alukset_fx!$B$72,IF(Q271="RoPax",S271*Alukset_fx!$B$73,IF(Q271="Container ship",S271*Alukset_fx!$B$70,S271*Alukset_fx!$B$75))))))),"-")</f>
        <v>0</v>
      </c>
      <c r="U271" s="208">
        <f t="shared" si="54"/>
        <v>0</v>
      </c>
      <c r="V271" s="208">
        <f t="shared" si="55"/>
        <v>0</v>
      </c>
      <c r="W271" s="202">
        <f>Alukset_Käynnit!N278</f>
        <v>0</v>
      </c>
      <c r="X271" s="211">
        <f>IF(Q271="Other dry cargo", Alukset_fx!$C$52, IF(OR(Q271="Dry bulk",Q271="Bulk carrier"),Alukset_fx!$C$35,IF(OR(Q271="Tanker",Q271="Gas tanker",Q271="Oil tanker"),Alukset_fx!$C$57,IF(Q271="Chemical tanker",Alukset_fx!$C$56,IF(OR(Q271="Tugboat",Q271="Barge"),0,IF(Q271="Other vessel",Alukset_fx!$C$54,IF(Q271="Container ship",Alukset_fx!$C$37,IF(OR(Q271="RoPax",Q271="RoRo",Q271="Vehicle carrier"),Alukset_fx!$C$55,0))))))))</f>
        <v>0</v>
      </c>
      <c r="Y271" s="211">
        <f>IF(Q271="Other dry cargo", Alukset_fx!$Q$52, IF(OR(Q271="Dry bulk",Q271="Bulk carrier"),Alukset_fx!$Q$35,IF(OR(Q271="Tanker",Q271="Gas tanker",Q271="Oil tanker"),Alukset_fx!$Q$57,IF(Q271="Chemical tanker",Alukset_fx!$Q$56,IF(OR(Q271="Tugboat",Q271="Barge"),0,IF(Q271="Other vessel",Alukset_fx!$Q$54,IF(Q271="Container ship",Alukset_fx!$Q$37,IF(OR(Q271="RoPax",Q271="RoRo",Q271="Vehicle carrier"),Alukset_fx!$Q$55,0))))))))</f>
        <v>0</v>
      </c>
      <c r="Z271" t="str">
        <f t="shared" si="56"/>
        <v>MDO/MGO</v>
      </c>
      <c r="AA271" t="str">
        <f t="shared" si="57"/>
        <v>MSD</v>
      </c>
      <c r="AB271" t="str">
        <f t="shared" si="58"/>
        <v>MDO/MGO</v>
      </c>
      <c r="AC271" t="str">
        <f t="shared" si="59"/>
        <v>MSD</v>
      </c>
      <c r="AD271" t="str">
        <f t="shared" si="60"/>
        <v>MDO/MGO</v>
      </c>
      <c r="AE271" t="str">
        <f t="shared" si="61"/>
        <v>ST</v>
      </c>
      <c r="AG271">
        <f>Alukset_Käynnit!O278</f>
        <v>0</v>
      </c>
      <c r="AH271" s="207">
        <f>IF(AA271="SSD",((U271*Alukset_fx!$B$24)*Alukset_Käynnit_Lask!W271*(Alukset_fx!$K$49)/1000),IF(AA271="MSD",((U271*Alukset_fx!$B$24)*Alukset_Käynnit_Lask!W271*(Alukset_fx!$K$52)/1000),IF(AA271="HSD",((U271*Alukset_fx!$B$24)*Alukset_Käynnit_Lask!W271*(Alukset_fx!$K$55)/1000),0)))</f>
        <v>0</v>
      </c>
      <c r="AI271" s="207">
        <f>IF(AC271="MSD",((V271*Alukset_fx!$B$25)*Alukset_Käynnit_Lask!W271*(Alukset_fx!$L$52)/1000),IF(AC271="HSD",((V271*Alukset_fx!$B$25)*Alukset_Käynnit_Lask!W271*(Alukset_fx!$L$55)/1000),0))</f>
        <v>0</v>
      </c>
      <c r="AJ271" s="207">
        <f>X271*W271*Alukset_fx!$K$61/1000</f>
        <v>0</v>
      </c>
      <c r="AK271">
        <v>0</v>
      </c>
      <c r="AL271" s="207">
        <f>IF(AG271="Käytetty",0,IF(AC271="MSD",((V271*Alukset_fx!$O$25)*Alukset_Käynnit_Lask!O271*(Alukset_fx!$L$52)/1000),IF(AC271="HSD",((V271*Alukset_fx!$O$25)*Alukset_Käynnit_Lask!O271*(Alukset_fx!$L$55)/1000),0)))</f>
        <v>0</v>
      </c>
      <c r="AM271" s="207">
        <f>IF(AG271="Käytetty",0,Y271*O271*Alukset_fx!$K$61/1000)</f>
        <v>0</v>
      </c>
      <c r="AN271" s="213">
        <f t="shared" si="62"/>
        <v>0</v>
      </c>
    </row>
    <row r="272" spans="1:40" x14ac:dyDescent="0.25">
      <c r="A272" s="203">
        <f>Alukset_Käynnit!A279</f>
        <v>0</v>
      </c>
      <c r="B272" s="203">
        <f>Alukset_Käynnit!B279</f>
        <v>0</v>
      </c>
      <c r="C272" s="262">
        <f>Alukset_Käynnit!C279</f>
        <v>0</v>
      </c>
      <c r="D272" s="266">
        <f>Alukset_Käynnit!D279</f>
        <v>0</v>
      </c>
      <c r="E272" s="262">
        <f>Alukset_Käynnit!E279</f>
        <v>0</v>
      </c>
      <c r="F272" s="262">
        <f>Alukset_Käynnit!F279</f>
        <v>0</v>
      </c>
      <c r="G272" s="262">
        <f>Alukset_Käynnit!G279</f>
        <v>0</v>
      </c>
      <c r="H272" s="262">
        <f>Alukset_Käynnit!H279</f>
        <v>0</v>
      </c>
      <c r="I272" s="262">
        <f>Alukset_Käynnit!I279</f>
        <v>0</v>
      </c>
      <c r="J272" s="262">
        <f>Alukset_Käynnit!J279</f>
        <v>0</v>
      </c>
      <c r="K272" s="262">
        <f>Alukset_Käynnit!K279</f>
        <v>0</v>
      </c>
      <c r="L272" s="205">
        <f>Alukset_Käynnit!L279</f>
        <v>0</v>
      </c>
      <c r="N272" s="273">
        <f t="shared" si="51"/>
        <v>0</v>
      </c>
      <c r="O272" s="274">
        <f t="shared" si="52"/>
        <v>0</v>
      </c>
      <c r="Q272" s="204">
        <f t="shared" si="53"/>
        <v>0</v>
      </c>
      <c r="R272" s="202">
        <f>IF(Q272="Other dry cargo",L272*Alukset_fx!$B$71,IF(OR(Q272="Dry bulk",Q272="Bulk carrier"),L272*Alukset_fx!$B$69,IF(Q272="Tugboat",L272*Alukset_fx!$B$76,IF(OR(Q272="Tanker",Q272="Gas tanker",Q272="Chemical tanker",Q272="Oil tanker"),L272*Alukset_fx!$B$68,IF(OR(Q272="RoRo",Q272="Vehicle carrier"),L272*Alukset_fx!$B$72,IF(Q272="RoPax",L272*Alukset_fx!$B$73,IF(Q272="Container ship",L272*Alukset_fx!$B$70,IF(Q272="Barge",0,L272*Alukset_fx!$B$75))))))))</f>
        <v>0</v>
      </c>
      <c r="S272" s="210">
        <f>IF(L272=0,IF(Q272="Other dry cargo",Alukset_fx!$H$73*(Alukset_Käynnit_Lask!K272^Alukset_fx!$I$73),IF(OR(Q272="Dry Bulk",Q272="Bulk carrier"),Alukset_fx!$H$71*(Alukset_Käynnit_Lask!K272^Alukset_fx!$I$71),IF(Q272="Tugboat",Alukset_fx!$H$78*(Alukset_Käynnit_Lask!K272^Alukset_fx!$I$78),IF(OR(Q272="Tanker",Q272="Gas tanker",Q272="Chemical tanker",Q272="Oil tanker"),Alukset_fx!$H$70*(Alukset_Käynnit_Lask!K272^Alukset_fx!$I$70),IF(Q272="Container ship",Alukset_fx!$H$72*(Alukset_Käynnit_Lask!K272^Alukset_fx!$I$72),IF(Q272="Barge",0,IF(Q272="RoPax",Alukset_fx!$H$75*(Alukset_Käynnit_Lask!K272^Alukset_fx!$I$75),IF(OR(Q272="RoRo",Q272="Vehicle carrier"),Alukset_fx!$H$74*(Alukset_Käynnit_Lask!K272^Alukset_fx!$I$74),Alukset_fx!$H$77*(Alukset_Käynnit_Lask!K272^Alukset_fx!$I$77))))))))),"-")</f>
        <v>0</v>
      </c>
      <c r="T272" s="208">
        <f>IF(R272=0,IF(Q272="Other dry cargo",S272*Alukset_fx!$B$71,IF(OR(Q272="Dry bulk",Q272="Bulk carrier"),S272*Alukset_fx!$B$69,IF(Q272="Tugboat",S272*Alukset_fx!$B$76,IF(OR(Q272="Tanker",Q272="Gas tanker",Q272="Chemical tanker",Q272="Oil tanker"),S272*Alukset_fx!$B$68,IF(OR(Q272="RoRo",Q272="Vehicle carrier"),S272*Alukset_fx!$B$72,IF(Q272="RoPax",S272*Alukset_fx!$B$73,IF(Q272="Container ship",S272*Alukset_fx!$B$70,S272*Alukset_fx!$B$75))))))),"-")</f>
        <v>0</v>
      </c>
      <c r="U272" s="208">
        <f t="shared" si="54"/>
        <v>0</v>
      </c>
      <c r="V272" s="208">
        <f t="shared" si="55"/>
        <v>0</v>
      </c>
      <c r="W272" s="202">
        <f>Alukset_Käynnit!N279</f>
        <v>0</v>
      </c>
      <c r="X272" s="211">
        <f>IF(Q272="Other dry cargo", Alukset_fx!$C$52, IF(OR(Q272="Dry bulk",Q272="Bulk carrier"),Alukset_fx!$C$35,IF(OR(Q272="Tanker",Q272="Gas tanker",Q272="Oil tanker"),Alukset_fx!$C$57,IF(Q272="Chemical tanker",Alukset_fx!$C$56,IF(OR(Q272="Tugboat",Q272="Barge"),0,IF(Q272="Other vessel",Alukset_fx!$C$54,IF(Q272="Container ship",Alukset_fx!$C$37,IF(OR(Q272="RoPax",Q272="RoRo",Q272="Vehicle carrier"),Alukset_fx!$C$55,0))))))))</f>
        <v>0</v>
      </c>
      <c r="Y272" s="211">
        <f>IF(Q272="Other dry cargo", Alukset_fx!$Q$52, IF(OR(Q272="Dry bulk",Q272="Bulk carrier"),Alukset_fx!$Q$35,IF(OR(Q272="Tanker",Q272="Gas tanker",Q272="Oil tanker"),Alukset_fx!$Q$57,IF(Q272="Chemical tanker",Alukset_fx!$Q$56,IF(OR(Q272="Tugboat",Q272="Barge"),0,IF(Q272="Other vessel",Alukset_fx!$Q$54,IF(Q272="Container ship",Alukset_fx!$Q$37,IF(OR(Q272="RoPax",Q272="RoRo",Q272="Vehicle carrier"),Alukset_fx!$Q$55,0))))))))</f>
        <v>0</v>
      </c>
      <c r="Z272" t="str">
        <f t="shared" si="56"/>
        <v>MDO/MGO</v>
      </c>
      <c r="AA272" t="str">
        <f t="shared" si="57"/>
        <v>MSD</v>
      </c>
      <c r="AB272" t="str">
        <f t="shared" si="58"/>
        <v>MDO/MGO</v>
      </c>
      <c r="AC272" t="str">
        <f t="shared" si="59"/>
        <v>MSD</v>
      </c>
      <c r="AD272" t="str">
        <f t="shared" si="60"/>
        <v>MDO/MGO</v>
      </c>
      <c r="AE272" t="str">
        <f t="shared" si="61"/>
        <v>ST</v>
      </c>
      <c r="AG272">
        <f>Alukset_Käynnit!O279</f>
        <v>0</v>
      </c>
      <c r="AH272" s="207">
        <f>IF(AA272="SSD",((U272*Alukset_fx!$B$24)*Alukset_Käynnit_Lask!W272*(Alukset_fx!$K$49)/1000),IF(AA272="MSD",((U272*Alukset_fx!$B$24)*Alukset_Käynnit_Lask!W272*(Alukset_fx!$K$52)/1000),IF(AA272="HSD",((U272*Alukset_fx!$B$24)*Alukset_Käynnit_Lask!W272*(Alukset_fx!$K$55)/1000),0)))</f>
        <v>0</v>
      </c>
      <c r="AI272" s="207">
        <f>IF(AC272="MSD",((V272*Alukset_fx!$B$25)*Alukset_Käynnit_Lask!W272*(Alukset_fx!$L$52)/1000),IF(AC272="HSD",((V272*Alukset_fx!$B$25)*Alukset_Käynnit_Lask!W272*(Alukset_fx!$L$55)/1000),0))</f>
        <v>0</v>
      </c>
      <c r="AJ272" s="207">
        <f>X272*W272*Alukset_fx!$K$61/1000</f>
        <v>0</v>
      </c>
      <c r="AK272">
        <v>0</v>
      </c>
      <c r="AL272" s="207">
        <f>IF(AG272="Käytetty",0,IF(AC272="MSD",((V272*Alukset_fx!$O$25)*Alukset_Käynnit_Lask!O272*(Alukset_fx!$L$52)/1000),IF(AC272="HSD",((V272*Alukset_fx!$O$25)*Alukset_Käynnit_Lask!O272*(Alukset_fx!$L$55)/1000),0)))</f>
        <v>0</v>
      </c>
      <c r="AM272" s="207">
        <f>IF(AG272="Käytetty",0,Y272*O272*Alukset_fx!$K$61/1000)</f>
        <v>0</v>
      </c>
      <c r="AN272" s="213">
        <f t="shared" si="62"/>
        <v>0</v>
      </c>
    </row>
    <row r="273" spans="1:40" x14ac:dyDescent="0.25">
      <c r="A273" s="203">
        <f>Alukset_Käynnit!A280</f>
        <v>0</v>
      </c>
      <c r="B273" s="203">
        <f>Alukset_Käynnit!B280</f>
        <v>0</v>
      </c>
      <c r="C273" s="262">
        <f>Alukset_Käynnit!C280</f>
        <v>0</v>
      </c>
      <c r="D273" s="266">
        <f>Alukset_Käynnit!D280</f>
        <v>0</v>
      </c>
      <c r="E273" s="262">
        <f>Alukset_Käynnit!E280</f>
        <v>0</v>
      </c>
      <c r="F273" s="262">
        <f>Alukset_Käynnit!F280</f>
        <v>0</v>
      </c>
      <c r="G273" s="262">
        <f>Alukset_Käynnit!G280</f>
        <v>0</v>
      </c>
      <c r="H273" s="262">
        <f>Alukset_Käynnit!H280</f>
        <v>0</v>
      </c>
      <c r="I273" s="262">
        <f>Alukset_Käynnit!I280</f>
        <v>0</v>
      </c>
      <c r="J273" s="262">
        <f>Alukset_Käynnit!J280</f>
        <v>0</v>
      </c>
      <c r="K273" s="262">
        <f>Alukset_Käynnit!K280</f>
        <v>0</v>
      </c>
      <c r="L273" s="205">
        <f>Alukset_Käynnit!L280</f>
        <v>0</v>
      </c>
      <c r="N273" s="273">
        <f t="shared" si="51"/>
        <v>0</v>
      </c>
      <c r="O273" s="274">
        <f t="shared" si="52"/>
        <v>0</v>
      </c>
      <c r="Q273" s="204">
        <f t="shared" si="53"/>
        <v>0</v>
      </c>
      <c r="R273" s="202">
        <f>IF(Q273="Other dry cargo",L273*Alukset_fx!$B$71,IF(OR(Q273="Dry bulk",Q273="Bulk carrier"),L273*Alukset_fx!$B$69,IF(Q273="Tugboat",L273*Alukset_fx!$B$76,IF(OR(Q273="Tanker",Q273="Gas tanker",Q273="Chemical tanker",Q273="Oil tanker"),L273*Alukset_fx!$B$68,IF(OR(Q273="RoRo",Q273="Vehicle carrier"),L273*Alukset_fx!$B$72,IF(Q273="RoPax",L273*Alukset_fx!$B$73,IF(Q273="Container ship",L273*Alukset_fx!$B$70,IF(Q273="Barge",0,L273*Alukset_fx!$B$75))))))))</f>
        <v>0</v>
      </c>
      <c r="S273" s="210">
        <f>IF(L273=0,IF(Q273="Other dry cargo",Alukset_fx!$H$73*(Alukset_Käynnit_Lask!K273^Alukset_fx!$I$73),IF(OR(Q273="Dry Bulk",Q273="Bulk carrier"),Alukset_fx!$H$71*(Alukset_Käynnit_Lask!K273^Alukset_fx!$I$71),IF(Q273="Tugboat",Alukset_fx!$H$78*(Alukset_Käynnit_Lask!K273^Alukset_fx!$I$78),IF(OR(Q273="Tanker",Q273="Gas tanker",Q273="Chemical tanker",Q273="Oil tanker"),Alukset_fx!$H$70*(Alukset_Käynnit_Lask!K273^Alukset_fx!$I$70),IF(Q273="Container ship",Alukset_fx!$H$72*(Alukset_Käynnit_Lask!K273^Alukset_fx!$I$72),IF(Q273="Barge",0,IF(Q273="RoPax",Alukset_fx!$H$75*(Alukset_Käynnit_Lask!K273^Alukset_fx!$I$75),IF(OR(Q273="RoRo",Q273="Vehicle carrier"),Alukset_fx!$H$74*(Alukset_Käynnit_Lask!K273^Alukset_fx!$I$74),Alukset_fx!$H$77*(Alukset_Käynnit_Lask!K273^Alukset_fx!$I$77))))))))),"-")</f>
        <v>0</v>
      </c>
      <c r="T273" s="208">
        <f>IF(R273=0,IF(Q273="Other dry cargo",S273*Alukset_fx!$B$71,IF(OR(Q273="Dry bulk",Q273="Bulk carrier"),S273*Alukset_fx!$B$69,IF(Q273="Tugboat",S273*Alukset_fx!$B$76,IF(OR(Q273="Tanker",Q273="Gas tanker",Q273="Chemical tanker",Q273="Oil tanker"),S273*Alukset_fx!$B$68,IF(OR(Q273="RoRo",Q273="Vehicle carrier"),S273*Alukset_fx!$B$72,IF(Q273="RoPax",S273*Alukset_fx!$B$73,IF(Q273="Container ship",S273*Alukset_fx!$B$70,S273*Alukset_fx!$B$75))))))),"-")</f>
        <v>0</v>
      </c>
      <c r="U273" s="208">
        <f t="shared" si="54"/>
        <v>0</v>
      </c>
      <c r="V273" s="208">
        <f t="shared" si="55"/>
        <v>0</v>
      </c>
      <c r="W273" s="202">
        <f>Alukset_Käynnit!N280</f>
        <v>0</v>
      </c>
      <c r="X273" s="211">
        <f>IF(Q273="Other dry cargo", Alukset_fx!$C$52, IF(OR(Q273="Dry bulk",Q273="Bulk carrier"),Alukset_fx!$C$35,IF(OR(Q273="Tanker",Q273="Gas tanker",Q273="Oil tanker"),Alukset_fx!$C$57,IF(Q273="Chemical tanker",Alukset_fx!$C$56,IF(OR(Q273="Tugboat",Q273="Barge"),0,IF(Q273="Other vessel",Alukset_fx!$C$54,IF(Q273="Container ship",Alukset_fx!$C$37,IF(OR(Q273="RoPax",Q273="RoRo",Q273="Vehicle carrier"),Alukset_fx!$C$55,0))))))))</f>
        <v>0</v>
      </c>
      <c r="Y273" s="211">
        <f>IF(Q273="Other dry cargo", Alukset_fx!$Q$52, IF(OR(Q273="Dry bulk",Q273="Bulk carrier"),Alukset_fx!$Q$35,IF(OR(Q273="Tanker",Q273="Gas tanker",Q273="Oil tanker"),Alukset_fx!$Q$57,IF(Q273="Chemical tanker",Alukset_fx!$Q$56,IF(OR(Q273="Tugboat",Q273="Barge"),0,IF(Q273="Other vessel",Alukset_fx!$Q$54,IF(Q273="Container ship",Alukset_fx!$Q$37,IF(OR(Q273="RoPax",Q273="RoRo",Q273="Vehicle carrier"),Alukset_fx!$Q$55,0))))))))</f>
        <v>0</v>
      </c>
      <c r="Z273" t="str">
        <f t="shared" si="56"/>
        <v>MDO/MGO</v>
      </c>
      <c r="AA273" t="str">
        <f t="shared" si="57"/>
        <v>MSD</v>
      </c>
      <c r="AB273" t="str">
        <f t="shared" si="58"/>
        <v>MDO/MGO</v>
      </c>
      <c r="AC273" t="str">
        <f t="shared" si="59"/>
        <v>MSD</v>
      </c>
      <c r="AD273" t="str">
        <f t="shared" si="60"/>
        <v>MDO/MGO</v>
      </c>
      <c r="AE273" t="str">
        <f t="shared" si="61"/>
        <v>ST</v>
      </c>
      <c r="AG273">
        <f>Alukset_Käynnit!O280</f>
        <v>0</v>
      </c>
      <c r="AH273" s="207">
        <f>IF(AA273="SSD",((U273*Alukset_fx!$B$24)*Alukset_Käynnit_Lask!W273*(Alukset_fx!$K$49)/1000),IF(AA273="MSD",((U273*Alukset_fx!$B$24)*Alukset_Käynnit_Lask!W273*(Alukset_fx!$K$52)/1000),IF(AA273="HSD",((U273*Alukset_fx!$B$24)*Alukset_Käynnit_Lask!W273*(Alukset_fx!$K$55)/1000),0)))</f>
        <v>0</v>
      </c>
      <c r="AI273" s="207">
        <f>IF(AC273="MSD",((V273*Alukset_fx!$B$25)*Alukset_Käynnit_Lask!W273*(Alukset_fx!$L$52)/1000),IF(AC273="HSD",((V273*Alukset_fx!$B$25)*Alukset_Käynnit_Lask!W273*(Alukset_fx!$L$55)/1000),0))</f>
        <v>0</v>
      </c>
      <c r="AJ273" s="207">
        <f>X273*W273*Alukset_fx!$K$61/1000</f>
        <v>0</v>
      </c>
      <c r="AK273">
        <v>0</v>
      </c>
      <c r="AL273" s="207">
        <f>IF(AG273="Käytetty",0,IF(AC273="MSD",((V273*Alukset_fx!$O$25)*Alukset_Käynnit_Lask!O273*(Alukset_fx!$L$52)/1000),IF(AC273="HSD",((V273*Alukset_fx!$O$25)*Alukset_Käynnit_Lask!O273*(Alukset_fx!$L$55)/1000),0)))</f>
        <v>0</v>
      </c>
      <c r="AM273" s="207">
        <f>IF(AG273="Käytetty",0,Y273*O273*Alukset_fx!$K$61/1000)</f>
        <v>0</v>
      </c>
      <c r="AN273" s="213">
        <f t="shared" si="62"/>
        <v>0</v>
      </c>
    </row>
    <row r="274" spans="1:40" x14ac:dyDescent="0.25">
      <c r="A274" s="203">
        <f>Alukset_Käynnit!A281</f>
        <v>0</v>
      </c>
      <c r="B274" s="203">
        <f>Alukset_Käynnit!B281</f>
        <v>0</v>
      </c>
      <c r="C274" s="262">
        <f>Alukset_Käynnit!C281</f>
        <v>0</v>
      </c>
      <c r="D274" s="266">
        <f>Alukset_Käynnit!D281</f>
        <v>0</v>
      </c>
      <c r="E274" s="262">
        <f>Alukset_Käynnit!E281</f>
        <v>0</v>
      </c>
      <c r="F274" s="262">
        <f>Alukset_Käynnit!F281</f>
        <v>0</v>
      </c>
      <c r="G274" s="262">
        <f>Alukset_Käynnit!G281</f>
        <v>0</v>
      </c>
      <c r="H274" s="262">
        <f>Alukset_Käynnit!H281</f>
        <v>0</v>
      </c>
      <c r="I274" s="262">
        <f>Alukset_Käynnit!I281</f>
        <v>0</v>
      </c>
      <c r="J274" s="262">
        <f>Alukset_Käynnit!J281</f>
        <v>0</v>
      </c>
      <c r="K274" s="262">
        <f>Alukset_Käynnit!K281</f>
        <v>0</v>
      </c>
      <c r="L274" s="205">
        <f>Alukset_Käynnit!L281</f>
        <v>0</v>
      </c>
      <c r="N274" s="273">
        <f t="shared" si="51"/>
        <v>0</v>
      </c>
      <c r="O274" s="274">
        <f t="shared" si="52"/>
        <v>0</v>
      </c>
      <c r="Q274" s="204">
        <f t="shared" si="53"/>
        <v>0</v>
      </c>
      <c r="R274" s="202">
        <f>IF(Q274="Other dry cargo",L274*Alukset_fx!$B$71,IF(OR(Q274="Dry bulk",Q274="Bulk carrier"),L274*Alukset_fx!$B$69,IF(Q274="Tugboat",L274*Alukset_fx!$B$76,IF(OR(Q274="Tanker",Q274="Gas tanker",Q274="Chemical tanker",Q274="Oil tanker"),L274*Alukset_fx!$B$68,IF(OR(Q274="RoRo",Q274="Vehicle carrier"),L274*Alukset_fx!$B$72,IF(Q274="RoPax",L274*Alukset_fx!$B$73,IF(Q274="Container ship",L274*Alukset_fx!$B$70,IF(Q274="Barge",0,L274*Alukset_fx!$B$75))))))))</f>
        <v>0</v>
      </c>
      <c r="S274" s="210">
        <f>IF(L274=0,IF(Q274="Other dry cargo",Alukset_fx!$H$73*(Alukset_Käynnit_Lask!K274^Alukset_fx!$I$73),IF(OR(Q274="Dry Bulk",Q274="Bulk carrier"),Alukset_fx!$H$71*(Alukset_Käynnit_Lask!K274^Alukset_fx!$I$71),IF(Q274="Tugboat",Alukset_fx!$H$78*(Alukset_Käynnit_Lask!K274^Alukset_fx!$I$78),IF(OR(Q274="Tanker",Q274="Gas tanker",Q274="Chemical tanker",Q274="Oil tanker"),Alukset_fx!$H$70*(Alukset_Käynnit_Lask!K274^Alukset_fx!$I$70),IF(Q274="Container ship",Alukset_fx!$H$72*(Alukset_Käynnit_Lask!K274^Alukset_fx!$I$72),IF(Q274="Barge",0,IF(Q274="RoPax",Alukset_fx!$H$75*(Alukset_Käynnit_Lask!K274^Alukset_fx!$I$75),IF(OR(Q274="RoRo",Q274="Vehicle carrier"),Alukset_fx!$H$74*(Alukset_Käynnit_Lask!K274^Alukset_fx!$I$74),Alukset_fx!$H$77*(Alukset_Käynnit_Lask!K274^Alukset_fx!$I$77))))))))),"-")</f>
        <v>0</v>
      </c>
      <c r="T274" s="208">
        <f>IF(R274=0,IF(Q274="Other dry cargo",S274*Alukset_fx!$B$71,IF(OR(Q274="Dry bulk",Q274="Bulk carrier"),S274*Alukset_fx!$B$69,IF(Q274="Tugboat",S274*Alukset_fx!$B$76,IF(OR(Q274="Tanker",Q274="Gas tanker",Q274="Chemical tanker",Q274="Oil tanker"),S274*Alukset_fx!$B$68,IF(OR(Q274="RoRo",Q274="Vehicle carrier"),S274*Alukset_fx!$B$72,IF(Q274="RoPax",S274*Alukset_fx!$B$73,IF(Q274="Container ship",S274*Alukset_fx!$B$70,S274*Alukset_fx!$B$75))))))),"-")</f>
        <v>0</v>
      </c>
      <c r="U274" s="208">
        <f t="shared" si="54"/>
        <v>0</v>
      </c>
      <c r="V274" s="208">
        <f t="shared" si="55"/>
        <v>0</v>
      </c>
      <c r="W274" s="202">
        <f>Alukset_Käynnit!N281</f>
        <v>0</v>
      </c>
      <c r="X274" s="211">
        <f>IF(Q274="Other dry cargo", Alukset_fx!$C$52, IF(OR(Q274="Dry bulk",Q274="Bulk carrier"),Alukset_fx!$C$35,IF(OR(Q274="Tanker",Q274="Gas tanker",Q274="Oil tanker"),Alukset_fx!$C$57,IF(Q274="Chemical tanker",Alukset_fx!$C$56,IF(OR(Q274="Tugboat",Q274="Barge"),0,IF(Q274="Other vessel",Alukset_fx!$C$54,IF(Q274="Container ship",Alukset_fx!$C$37,IF(OR(Q274="RoPax",Q274="RoRo",Q274="Vehicle carrier"),Alukset_fx!$C$55,0))))))))</f>
        <v>0</v>
      </c>
      <c r="Y274" s="211">
        <f>IF(Q274="Other dry cargo", Alukset_fx!$Q$52, IF(OR(Q274="Dry bulk",Q274="Bulk carrier"),Alukset_fx!$Q$35,IF(OR(Q274="Tanker",Q274="Gas tanker",Q274="Oil tanker"),Alukset_fx!$Q$57,IF(Q274="Chemical tanker",Alukset_fx!$Q$56,IF(OR(Q274="Tugboat",Q274="Barge"),0,IF(Q274="Other vessel",Alukset_fx!$Q$54,IF(Q274="Container ship",Alukset_fx!$Q$37,IF(OR(Q274="RoPax",Q274="RoRo",Q274="Vehicle carrier"),Alukset_fx!$Q$55,0))))))))</f>
        <v>0</v>
      </c>
      <c r="Z274" t="str">
        <f t="shared" si="56"/>
        <v>MDO/MGO</v>
      </c>
      <c r="AA274" t="str">
        <f t="shared" si="57"/>
        <v>MSD</v>
      </c>
      <c r="AB274" t="str">
        <f t="shared" si="58"/>
        <v>MDO/MGO</v>
      </c>
      <c r="AC274" t="str">
        <f t="shared" si="59"/>
        <v>MSD</v>
      </c>
      <c r="AD274" t="str">
        <f t="shared" si="60"/>
        <v>MDO/MGO</v>
      </c>
      <c r="AE274" t="str">
        <f t="shared" si="61"/>
        <v>ST</v>
      </c>
      <c r="AG274">
        <f>Alukset_Käynnit!O281</f>
        <v>0</v>
      </c>
      <c r="AH274" s="207">
        <f>IF(AA274="SSD",((U274*Alukset_fx!$B$24)*Alukset_Käynnit_Lask!W274*(Alukset_fx!$K$49)/1000),IF(AA274="MSD",((U274*Alukset_fx!$B$24)*Alukset_Käynnit_Lask!W274*(Alukset_fx!$K$52)/1000),IF(AA274="HSD",((U274*Alukset_fx!$B$24)*Alukset_Käynnit_Lask!W274*(Alukset_fx!$K$55)/1000),0)))</f>
        <v>0</v>
      </c>
      <c r="AI274" s="207">
        <f>IF(AC274="MSD",((V274*Alukset_fx!$B$25)*Alukset_Käynnit_Lask!W274*(Alukset_fx!$L$52)/1000),IF(AC274="HSD",((V274*Alukset_fx!$B$25)*Alukset_Käynnit_Lask!W274*(Alukset_fx!$L$55)/1000),0))</f>
        <v>0</v>
      </c>
      <c r="AJ274" s="207">
        <f>X274*W274*Alukset_fx!$K$61/1000</f>
        <v>0</v>
      </c>
      <c r="AK274">
        <v>0</v>
      </c>
      <c r="AL274" s="207">
        <f>IF(AG274="Käytetty",0,IF(AC274="MSD",((V274*Alukset_fx!$O$25)*Alukset_Käynnit_Lask!O274*(Alukset_fx!$L$52)/1000),IF(AC274="HSD",((V274*Alukset_fx!$O$25)*Alukset_Käynnit_Lask!O274*(Alukset_fx!$L$55)/1000),0)))</f>
        <v>0</v>
      </c>
      <c r="AM274" s="207">
        <f>IF(AG274="Käytetty",0,Y274*O274*Alukset_fx!$K$61/1000)</f>
        <v>0</v>
      </c>
      <c r="AN274" s="213">
        <f t="shared" si="62"/>
        <v>0</v>
      </c>
    </row>
    <row r="275" spans="1:40" x14ac:dyDescent="0.25">
      <c r="A275" s="203">
        <f>Alukset_Käynnit!A282</f>
        <v>0</v>
      </c>
      <c r="B275" s="203">
        <f>Alukset_Käynnit!B282</f>
        <v>0</v>
      </c>
      <c r="C275" s="262">
        <f>Alukset_Käynnit!C282</f>
        <v>0</v>
      </c>
      <c r="D275" s="266">
        <f>Alukset_Käynnit!D282</f>
        <v>0</v>
      </c>
      <c r="E275" s="262">
        <f>Alukset_Käynnit!E282</f>
        <v>0</v>
      </c>
      <c r="F275" s="262">
        <f>Alukset_Käynnit!F282</f>
        <v>0</v>
      </c>
      <c r="G275" s="262">
        <f>Alukset_Käynnit!G282</f>
        <v>0</v>
      </c>
      <c r="H275" s="262">
        <f>Alukset_Käynnit!H282</f>
        <v>0</v>
      </c>
      <c r="I275" s="262">
        <f>Alukset_Käynnit!I282</f>
        <v>0</v>
      </c>
      <c r="J275" s="262">
        <f>Alukset_Käynnit!J282</f>
        <v>0</v>
      </c>
      <c r="K275" s="262">
        <f>Alukset_Käynnit!K282</f>
        <v>0</v>
      </c>
      <c r="L275" s="205">
        <f>Alukset_Käynnit!L282</f>
        <v>0</v>
      </c>
      <c r="N275" s="273">
        <f t="shared" si="51"/>
        <v>0</v>
      </c>
      <c r="O275" s="274">
        <f t="shared" si="52"/>
        <v>0</v>
      </c>
      <c r="Q275" s="204">
        <f t="shared" si="53"/>
        <v>0</v>
      </c>
      <c r="R275" s="202">
        <f>IF(Q275="Other dry cargo",L275*Alukset_fx!$B$71,IF(OR(Q275="Dry bulk",Q275="Bulk carrier"),L275*Alukset_fx!$B$69,IF(Q275="Tugboat",L275*Alukset_fx!$B$76,IF(OR(Q275="Tanker",Q275="Gas tanker",Q275="Chemical tanker",Q275="Oil tanker"),L275*Alukset_fx!$B$68,IF(OR(Q275="RoRo",Q275="Vehicle carrier"),L275*Alukset_fx!$B$72,IF(Q275="RoPax",L275*Alukset_fx!$B$73,IF(Q275="Container ship",L275*Alukset_fx!$B$70,IF(Q275="Barge",0,L275*Alukset_fx!$B$75))))))))</f>
        <v>0</v>
      </c>
      <c r="S275" s="210">
        <f>IF(L275=0,IF(Q275="Other dry cargo",Alukset_fx!$H$73*(Alukset_Käynnit_Lask!K275^Alukset_fx!$I$73),IF(OR(Q275="Dry Bulk",Q275="Bulk carrier"),Alukset_fx!$H$71*(Alukset_Käynnit_Lask!K275^Alukset_fx!$I$71),IF(Q275="Tugboat",Alukset_fx!$H$78*(Alukset_Käynnit_Lask!K275^Alukset_fx!$I$78),IF(OR(Q275="Tanker",Q275="Gas tanker",Q275="Chemical tanker",Q275="Oil tanker"),Alukset_fx!$H$70*(Alukset_Käynnit_Lask!K275^Alukset_fx!$I$70),IF(Q275="Container ship",Alukset_fx!$H$72*(Alukset_Käynnit_Lask!K275^Alukset_fx!$I$72),IF(Q275="Barge",0,IF(Q275="RoPax",Alukset_fx!$H$75*(Alukset_Käynnit_Lask!K275^Alukset_fx!$I$75),IF(OR(Q275="RoRo",Q275="Vehicle carrier"),Alukset_fx!$H$74*(Alukset_Käynnit_Lask!K275^Alukset_fx!$I$74),Alukset_fx!$H$77*(Alukset_Käynnit_Lask!K275^Alukset_fx!$I$77))))))))),"-")</f>
        <v>0</v>
      </c>
      <c r="T275" s="208">
        <f>IF(R275=0,IF(Q275="Other dry cargo",S275*Alukset_fx!$B$71,IF(OR(Q275="Dry bulk",Q275="Bulk carrier"),S275*Alukset_fx!$B$69,IF(Q275="Tugboat",S275*Alukset_fx!$B$76,IF(OR(Q275="Tanker",Q275="Gas tanker",Q275="Chemical tanker",Q275="Oil tanker"),S275*Alukset_fx!$B$68,IF(OR(Q275="RoRo",Q275="Vehicle carrier"),S275*Alukset_fx!$B$72,IF(Q275="RoPax",S275*Alukset_fx!$B$73,IF(Q275="Container ship",S275*Alukset_fx!$B$70,S275*Alukset_fx!$B$75))))))),"-")</f>
        <v>0</v>
      </c>
      <c r="U275" s="208">
        <f t="shared" si="54"/>
        <v>0</v>
      </c>
      <c r="V275" s="208">
        <f t="shared" si="55"/>
        <v>0</v>
      </c>
      <c r="W275" s="202">
        <f>Alukset_Käynnit!N282</f>
        <v>0</v>
      </c>
      <c r="X275" s="211">
        <f>IF(Q275="Other dry cargo", Alukset_fx!$C$52, IF(OR(Q275="Dry bulk",Q275="Bulk carrier"),Alukset_fx!$C$35,IF(OR(Q275="Tanker",Q275="Gas tanker",Q275="Oil tanker"),Alukset_fx!$C$57,IF(Q275="Chemical tanker",Alukset_fx!$C$56,IF(OR(Q275="Tugboat",Q275="Barge"),0,IF(Q275="Other vessel",Alukset_fx!$C$54,IF(Q275="Container ship",Alukset_fx!$C$37,IF(OR(Q275="RoPax",Q275="RoRo",Q275="Vehicle carrier"),Alukset_fx!$C$55,0))))))))</f>
        <v>0</v>
      </c>
      <c r="Y275" s="211">
        <f>IF(Q275="Other dry cargo", Alukset_fx!$Q$52, IF(OR(Q275="Dry bulk",Q275="Bulk carrier"),Alukset_fx!$Q$35,IF(OR(Q275="Tanker",Q275="Gas tanker",Q275="Oil tanker"),Alukset_fx!$Q$57,IF(Q275="Chemical tanker",Alukset_fx!$Q$56,IF(OR(Q275="Tugboat",Q275="Barge"),0,IF(Q275="Other vessel",Alukset_fx!$Q$54,IF(Q275="Container ship",Alukset_fx!$Q$37,IF(OR(Q275="RoPax",Q275="RoRo",Q275="Vehicle carrier"),Alukset_fx!$Q$55,0))))))))</f>
        <v>0</v>
      </c>
      <c r="Z275" t="str">
        <f t="shared" si="56"/>
        <v>MDO/MGO</v>
      </c>
      <c r="AA275" t="str">
        <f t="shared" si="57"/>
        <v>MSD</v>
      </c>
      <c r="AB275" t="str">
        <f t="shared" si="58"/>
        <v>MDO/MGO</v>
      </c>
      <c r="AC275" t="str">
        <f t="shared" si="59"/>
        <v>MSD</v>
      </c>
      <c r="AD275" t="str">
        <f t="shared" si="60"/>
        <v>MDO/MGO</v>
      </c>
      <c r="AE275" t="str">
        <f t="shared" si="61"/>
        <v>ST</v>
      </c>
      <c r="AG275">
        <f>Alukset_Käynnit!O282</f>
        <v>0</v>
      </c>
      <c r="AH275" s="207">
        <f>IF(AA275="SSD",((U275*Alukset_fx!$B$24)*Alukset_Käynnit_Lask!W275*(Alukset_fx!$K$49)/1000),IF(AA275="MSD",((U275*Alukset_fx!$B$24)*Alukset_Käynnit_Lask!W275*(Alukset_fx!$K$52)/1000),IF(AA275="HSD",((U275*Alukset_fx!$B$24)*Alukset_Käynnit_Lask!W275*(Alukset_fx!$K$55)/1000),0)))</f>
        <v>0</v>
      </c>
      <c r="AI275" s="207">
        <f>IF(AC275="MSD",((V275*Alukset_fx!$B$25)*Alukset_Käynnit_Lask!W275*(Alukset_fx!$L$52)/1000),IF(AC275="HSD",((V275*Alukset_fx!$B$25)*Alukset_Käynnit_Lask!W275*(Alukset_fx!$L$55)/1000),0))</f>
        <v>0</v>
      </c>
      <c r="AJ275" s="207">
        <f>X275*W275*Alukset_fx!$K$61/1000</f>
        <v>0</v>
      </c>
      <c r="AK275">
        <v>0</v>
      </c>
      <c r="AL275" s="207">
        <f>IF(AG275="Käytetty",0,IF(AC275="MSD",((V275*Alukset_fx!$O$25)*Alukset_Käynnit_Lask!O275*(Alukset_fx!$L$52)/1000),IF(AC275="HSD",((V275*Alukset_fx!$O$25)*Alukset_Käynnit_Lask!O275*(Alukset_fx!$L$55)/1000),0)))</f>
        <v>0</v>
      </c>
      <c r="AM275" s="207">
        <f>IF(AG275="Käytetty",0,Y275*O275*Alukset_fx!$K$61/1000)</f>
        <v>0</v>
      </c>
      <c r="AN275" s="213">
        <f t="shared" si="62"/>
        <v>0</v>
      </c>
    </row>
    <row r="276" spans="1:40" x14ac:dyDescent="0.25">
      <c r="A276" s="203">
        <f>Alukset_Käynnit!A283</f>
        <v>0</v>
      </c>
      <c r="B276" s="203">
        <f>Alukset_Käynnit!B283</f>
        <v>0</v>
      </c>
      <c r="C276" s="262">
        <f>Alukset_Käynnit!C283</f>
        <v>0</v>
      </c>
      <c r="D276" s="266">
        <f>Alukset_Käynnit!D283</f>
        <v>0</v>
      </c>
      <c r="E276" s="262">
        <f>Alukset_Käynnit!E283</f>
        <v>0</v>
      </c>
      <c r="F276" s="262">
        <f>Alukset_Käynnit!F283</f>
        <v>0</v>
      </c>
      <c r="G276" s="262">
        <f>Alukset_Käynnit!G283</f>
        <v>0</v>
      </c>
      <c r="H276" s="262">
        <f>Alukset_Käynnit!H283</f>
        <v>0</v>
      </c>
      <c r="I276" s="262">
        <f>Alukset_Käynnit!I283</f>
        <v>0</v>
      </c>
      <c r="J276" s="262">
        <f>Alukset_Käynnit!J283</f>
        <v>0</v>
      </c>
      <c r="K276" s="262">
        <f>Alukset_Käynnit!K283</f>
        <v>0</v>
      </c>
      <c r="L276" s="205">
        <f>Alukset_Käynnit!L283</f>
        <v>0</v>
      </c>
      <c r="N276" s="273">
        <f t="shared" si="51"/>
        <v>0</v>
      </c>
      <c r="O276" s="274">
        <f t="shared" si="52"/>
        <v>0</v>
      </c>
      <c r="Q276" s="204">
        <f t="shared" si="53"/>
        <v>0</v>
      </c>
      <c r="R276" s="202">
        <f>IF(Q276="Other dry cargo",L276*Alukset_fx!$B$71,IF(OR(Q276="Dry bulk",Q276="Bulk carrier"),L276*Alukset_fx!$B$69,IF(Q276="Tugboat",L276*Alukset_fx!$B$76,IF(OR(Q276="Tanker",Q276="Gas tanker",Q276="Chemical tanker",Q276="Oil tanker"),L276*Alukset_fx!$B$68,IF(OR(Q276="RoRo",Q276="Vehicle carrier"),L276*Alukset_fx!$B$72,IF(Q276="RoPax",L276*Alukset_fx!$B$73,IF(Q276="Container ship",L276*Alukset_fx!$B$70,IF(Q276="Barge",0,L276*Alukset_fx!$B$75))))))))</f>
        <v>0</v>
      </c>
      <c r="S276" s="210">
        <f>IF(L276=0,IF(Q276="Other dry cargo",Alukset_fx!$H$73*(Alukset_Käynnit_Lask!K276^Alukset_fx!$I$73),IF(OR(Q276="Dry Bulk",Q276="Bulk carrier"),Alukset_fx!$H$71*(Alukset_Käynnit_Lask!K276^Alukset_fx!$I$71),IF(Q276="Tugboat",Alukset_fx!$H$78*(Alukset_Käynnit_Lask!K276^Alukset_fx!$I$78),IF(OR(Q276="Tanker",Q276="Gas tanker",Q276="Chemical tanker",Q276="Oil tanker"),Alukset_fx!$H$70*(Alukset_Käynnit_Lask!K276^Alukset_fx!$I$70),IF(Q276="Container ship",Alukset_fx!$H$72*(Alukset_Käynnit_Lask!K276^Alukset_fx!$I$72),IF(Q276="Barge",0,IF(Q276="RoPax",Alukset_fx!$H$75*(Alukset_Käynnit_Lask!K276^Alukset_fx!$I$75),IF(OR(Q276="RoRo",Q276="Vehicle carrier"),Alukset_fx!$H$74*(Alukset_Käynnit_Lask!K276^Alukset_fx!$I$74),Alukset_fx!$H$77*(Alukset_Käynnit_Lask!K276^Alukset_fx!$I$77))))))))),"-")</f>
        <v>0</v>
      </c>
      <c r="T276" s="208">
        <f>IF(R276=0,IF(Q276="Other dry cargo",S276*Alukset_fx!$B$71,IF(OR(Q276="Dry bulk",Q276="Bulk carrier"),S276*Alukset_fx!$B$69,IF(Q276="Tugboat",S276*Alukset_fx!$B$76,IF(OR(Q276="Tanker",Q276="Gas tanker",Q276="Chemical tanker",Q276="Oil tanker"),S276*Alukset_fx!$B$68,IF(OR(Q276="RoRo",Q276="Vehicle carrier"),S276*Alukset_fx!$B$72,IF(Q276="RoPax",S276*Alukset_fx!$B$73,IF(Q276="Container ship",S276*Alukset_fx!$B$70,S276*Alukset_fx!$B$75))))))),"-")</f>
        <v>0</v>
      </c>
      <c r="U276" s="208">
        <f t="shared" si="54"/>
        <v>0</v>
      </c>
      <c r="V276" s="208">
        <f t="shared" si="55"/>
        <v>0</v>
      </c>
      <c r="W276" s="202">
        <f>Alukset_Käynnit!N283</f>
        <v>0</v>
      </c>
      <c r="X276" s="211">
        <f>IF(Q276="Other dry cargo", Alukset_fx!$C$52, IF(OR(Q276="Dry bulk",Q276="Bulk carrier"),Alukset_fx!$C$35,IF(OR(Q276="Tanker",Q276="Gas tanker",Q276="Oil tanker"),Alukset_fx!$C$57,IF(Q276="Chemical tanker",Alukset_fx!$C$56,IF(OR(Q276="Tugboat",Q276="Barge"),0,IF(Q276="Other vessel",Alukset_fx!$C$54,IF(Q276="Container ship",Alukset_fx!$C$37,IF(OR(Q276="RoPax",Q276="RoRo",Q276="Vehicle carrier"),Alukset_fx!$C$55,0))))))))</f>
        <v>0</v>
      </c>
      <c r="Y276" s="211">
        <f>IF(Q276="Other dry cargo", Alukset_fx!$Q$52, IF(OR(Q276="Dry bulk",Q276="Bulk carrier"),Alukset_fx!$Q$35,IF(OR(Q276="Tanker",Q276="Gas tanker",Q276="Oil tanker"),Alukset_fx!$Q$57,IF(Q276="Chemical tanker",Alukset_fx!$Q$56,IF(OR(Q276="Tugboat",Q276="Barge"),0,IF(Q276="Other vessel",Alukset_fx!$Q$54,IF(Q276="Container ship",Alukset_fx!$Q$37,IF(OR(Q276="RoPax",Q276="RoRo",Q276="Vehicle carrier"),Alukset_fx!$Q$55,0))))))))</f>
        <v>0</v>
      </c>
      <c r="Z276" t="str">
        <f t="shared" si="56"/>
        <v>MDO/MGO</v>
      </c>
      <c r="AA276" t="str">
        <f t="shared" si="57"/>
        <v>MSD</v>
      </c>
      <c r="AB276" t="str">
        <f t="shared" si="58"/>
        <v>MDO/MGO</v>
      </c>
      <c r="AC276" t="str">
        <f t="shared" si="59"/>
        <v>MSD</v>
      </c>
      <c r="AD276" t="str">
        <f t="shared" si="60"/>
        <v>MDO/MGO</v>
      </c>
      <c r="AE276" t="str">
        <f t="shared" si="61"/>
        <v>ST</v>
      </c>
      <c r="AG276">
        <f>Alukset_Käynnit!O283</f>
        <v>0</v>
      </c>
      <c r="AH276" s="207">
        <f>IF(AA276="SSD",((U276*Alukset_fx!$B$24)*Alukset_Käynnit_Lask!W276*(Alukset_fx!$K$49)/1000),IF(AA276="MSD",((U276*Alukset_fx!$B$24)*Alukset_Käynnit_Lask!W276*(Alukset_fx!$K$52)/1000),IF(AA276="HSD",((U276*Alukset_fx!$B$24)*Alukset_Käynnit_Lask!W276*(Alukset_fx!$K$55)/1000),0)))</f>
        <v>0</v>
      </c>
      <c r="AI276" s="207">
        <f>IF(AC276="MSD",((V276*Alukset_fx!$B$25)*Alukset_Käynnit_Lask!W276*(Alukset_fx!$L$52)/1000),IF(AC276="HSD",((V276*Alukset_fx!$B$25)*Alukset_Käynnit_Lask!W276*(Alukset_fx!$L$55)/1000),0))</f>
        <v>0</v>
      </c>
      <c r="AJ276" s="207">
        <f>X276*W276*Alukset_fx!$K$61/1000</f>
        <v>0</v>
      </c>
      <c r="AK276">
        <v>0</v>
      </c>
      <c r="AL276" s="207">
        <f>IF(AG276="Käytetty",0,IF(AC276="MSD",((V276*Alukset_fx!$O$25)*Alukset_Käynnit_Lask!O276*(Alukset_fx!$L$52)/1000),IF(AC276="HSD",((V276*Alukset_fx!$O$25)*Alukset_Käynnit_Lask!O276*(Alukset_fx!$L$55)/1000),0)))</f>
        <v>0</v>
      </c>
      <c r="AM276" s="207">
        <f>IF(AG276="Käytetty",0,Y276*O276*Alukset_fx!$K$61/1000)</f>
        <v>0</v>
      </c>
      <c r="AN276" s="213">
        <f t="shared" si="62"/>
        <v>0</v>
      </c>
    </row>
    <row r="277" spans="1:40" x14ac:dyDescent="0.25">
      <c r="A277" s="203">
        <f>Alukset_Käynnit!A284</f>
        <v>0</v>
      </c>
      <c r="B277" s="203">
        <f>Alukset_Käynnit!B284</f>
        <v>0</v>
      </c>
      <c r="C277" s="262">
        <f>Alukset_Käynnit!C284</f>
        <v>0</v>
      </c>
      <c r="D277" s="266">
        <f>Alukset_Käynnit!D284</f>
        <v>0</v>
      </c>
      <c r="E277" s="262">
        <f>Alukset_Käynnit!E284</f>
        <v>0</v>
      </c>
      <c r="F277" s="262">
        <f>Alukset_Käynnit!F284</f>
        <v>0</v>
      </c>
      <c r="G277" s="262">
        <f>Alukset_Käynnit!G284</f>
        <v>0</v>
      </c>
      <c r="H277" s="262">
        <f>Alukset_Käynnit!H284</f>
        <v>0</v>
      </c>
      <c r="I277" s="262">
        <f>Alukset_Käynnit!I284</f>
        <v>0</v>
      </c>
      <c r="J277" s="262">
        <f>Alukset_Käynnit!J284</f>
        <v>0</v>
      </c>
      <c r="K277" s="262">
        <f>Alukset_Käynnit!K284</f>
        <v>0</v>
      </c>
      <c r="L277" s="205">
        <f>Alukset_Käynnit!L284</f>
        <v>0</v>
      </c>
      <c r="N277" s="273">
        <f t="shared" ref="N277:N340" si="63">(B277-A277)*1440</f>
        <v>0</v>
      </c>
      <c r="O277" s="274">
        <f t="shared" ref="O277:O340" si="64">N277/60</f>
        <v>0</v>
      </c>
      <c r="Q277" s="204">
        <f t="shared" si="53"/>
        <v>0</v>
      </c>
      <c r="R277" s="202">
        <f>IF(Q277="Other dry cargo",L277*Alukset_fx!$B$71,IF(OR(Q277="Dry bulk",Q277="Bulk carrier"),L277*Alukset_fx!$B$69,IF(Q277="Tugboat",L277*Alukset_fx!$B$76,IF(OR(Q277="Tanker",Q277="Gas tanker",Q277="Chemical tanker",Q277="Oil tanker"),L277*Alukset_fx!$B$68,IF(OR(Q277="RoRo",Q277="Vehicle carrier"),L277*Alukset_fx!$B$72,IF(Q277="RoPax",L277*Alukset_fx!$B$73,IF(Q277="Container ship",L277*Alukset_fx!$B$70,IF(Q277="Barge",0,L277*Alukset_fx!$B$75))))))))</f>
        <v>0</v>
      </c>
      <c r="S277" s="210">
        <f>IF(L277=0,IF(Q277="Other dry cargo",Alukset_fx!$H$73*(Alukset_Käynnit_Lask!K277^Alukset_fx!$I$73),IF(OR(Q277="Dry Bulk",Q277="Bulk carrier"),Alukset_fx!$H$71*(Alukset_Käynnit_Lask!K277^Alukset_fx!$I$71),IF(Q277="Tugboat",Alukset_fx!$H$78*(Alukset_Käynnit_Lask!K277^Alukset_fx!$I$78),IF(OR(Q277="Tanker",Q277="Gas tanker",Q277="Chemical tanker",Q277="Oil tanker"),Alukset_fx!$H$70*(Alukset_Käynnit_Lask!K277^Alukset_fx!$I$70),IF(Q277="Container ship",Alukset_fx!$H$72*(Alukset_Käynnit_Lask!K277^Alukset_fx!$I$72),IF(Q277="Barge",0,IF(Q277="RoPax",Alukset_fx!$H$75*(Alukset_Käynnit_Lask!K277^Alukset_fx!$I$75),IF(OR(Q277="RoRo",Q277="Vehicle carrier"),Alukset_fx!$H$74*(Alukset_Käynnit_Lask!K277^Alukset_fx!$I$74),Alukset_fx!$H$77*(Alukset_Käynnit_Lask!K277^Alukset_fx!$I$77))))))))),"-")</f>
        <v>0</v>
      </c>
      <c r="T277" s="208">
        <f>IF(R277=0,IF(Q277="Other dry cargo",S277*Alukset_fx!$B$71,IF(OR(Q277="Dry bulk",Q277="Bulk carrier"),S277*Alukset_fx!$B$69,IF(Q277="Tugboat",S277*Alukset_fx!$B$76,IF(OR(Q277="Tanker",Q277="Gas tanker",Q277="Chemical tanker",Q277="Oil tanker"),S277*Alukset_fx!$B$68,IF(OR(Q277="RoRo",Q277="Vehicle carrier"),S277*Alukset_fx!$B$72,IF(Q277="RoPax",S277*Alukset_fx!$B$73,IF(Q277="Container ship",S277*Alukset_fx!$B$70,S277*Alukset_fx!$B$75))))))),"-")</f>
        <v>0</v>
      </c>
      <c r="U277" s="208">
        <f t="shared" si="54"/>
        <v>0</v>
      </c>
      <c r="V277" s="208">
        <f t="shared" si="55"/>
        <v>0</v>
      </c>
      <c r="W277" s="202">
        <f>Alukset_Käynnit!N284</f>
        <v>0</v>
      </c>
      <c r="X277" s="211">
        <f>IF(Q277="Other dry cargo", Alukset_fx!$C$52, IF(OR(Q277="Dry bulk",Q277="Bulk carrier"),Alukset_fx!$C$35,IF(OR(Q277="Tanker",Q277="Gas tanker",Q277="Oil tanker"),Alukset_fx!$C$57,IF(Q277="Chemical tanker",Alukset_fx!$C$56,IF(OR(Q277="Tugboat",Q277="Barge"),0,IF(Q277="Other vessel",Alukset_fx!$C$54,IF(Q277="Container ship",Alukset_fx!$C$37,IF(OR(Q277="RoPax",Q277="RoRo",Q277="Vehicle carrier"),Alukset_fx!$C$55,0))))))))</f>
        <v>0</v>
      </c>
      <c r="Y277" s="211">
        <f>IF(Q277="Other dry cargo", Alukset_fx!$Q$52, IF(OR(Q277="Dry bulk",Q277="Bulk carrier"),Alukset_fx!$Q$35,IF(OR(Q277="Tanker",Q277="Gas tanker",Q277="Oil tanker"),Alukset_fx!$Q$57,IF(Q277="Chemical tanker",Alukset_fx!$Q$56,IF(OR(Q277="Tugboat",Q277="Barge"),0,IF(Q277="Other vessel",Alukset_fx!$Q$54,IF(Q277="Container ship",Alukset_fx!$Q$37,IF(OR(Q277="RoPax",Q277="RoRo",Q277="Vehicle carrier"),Alukset_fx!$Q$55,0))))))))</f>
        <v>0</v>
      </c>
      <c r="Z277" t="str">
        <f t="shared" si="56"/>
        <v>MDO/MGO</v>
      </c>
      <c r="AA277" t="str">
        <f t="shared" si="57"/>
        <v>MSD</v>
      </c>
      <c r="AB277" t="str">
        <f t="shared" si="58"/>
        <v>MDO/MGO</v>
      </c>
      <c r="AC277" t="str">
        <f t="shared" si="59"/>
        <v>MSD</v>
      </c>
      <c r="AD277" t="str">
        <f t="shared" si="60"/>
        <v>MDO/MGO</v>
      </c>
      <c r="AE277" t="str">
        <f t="shared" si="61"/>
        <v>ST</v>
      </c>
      <c r="AG277">
        <f>Alukset_Käynnit!O284</f>
        <v>0</v>
      </c>
      <c r="AH277" s="207">
        <f>IF(AA277="SSD",((U277*Alukset_fx!$B$24)*Alukset_Käynnit_Lask!W277*(Alukset_fx!$K$49)/1000),IF(AA277="MSD",((U277*Alukset_fx!$B$24)*Alukset_Käynnit_Lask!W277*(Alukset_fx!$K$52)/1000),IF(AA277="HSD",((U277*Alukset_fx!$B$24)*Alukset_Käynnit_Lask!W277*(Alukset_fx!$K$55)/1000),0)))</f>
        <v>0</v>
      </c>
      <c r="AI277" s="207">
        <f>IF(AC277="MSD",((V277*Alukset_fx!$B$25)*Alukset_Käynnit_Lask!W277*(Alukset_fx!$L$52)/1000),IF(AC277="HSD",((V277*Alukset_fx!$B$25)*Alukset_Käynnit_Lask!W277*(Alukset_fx!$L$55)/1000),0))</f>
        <v>0</v>
      </c>
      <c r="AJ277" s="207">
        <f>X277*W277*Alukset_fx!$K$61/1000</f>
        <v>0</v>
      </c>
      <c r="AK277">
        <v>0</v>
      </c>
      <c r="AL277" s="207">
        <f>IF(AG277="Käytetty",0,IF(AC277="MSD",((V277*Alukset_fx!$O$25)*Alukset_Käynnit_Lask!O277*(Alukset_fx!$L$52)/1000),IF(AC277="HSD",((V277*Alukset_fx!$O$25)*Alukset_Käynnit_Lask!O277*(Alukset_fx!$L$55)/1000),0)))</f>
        <v>0</v>
      </c>
      <c r="AM277" s="207">
        <f>IF(AG277="Käytetty",0,Y277*O277*Alukset_fx!$K$61/1000)</f>
        <v>0</v>
      </c>
      <c r="AN277" s="213">
        <f t="shared" si="62"/>
        <v>0</v>
      </c>
    </row>
    <row r="278" spans="1:40" x14ac:dyDescent="0.25">
      <c r="A278" s="203">
        <f>Alukset_Käynnit!A285</f>
        <v>0</v>
      </c>
      <c r="B278" s="203">
        <f>Alukset_Käynnit!B285</f>
        <v>0</v>
      </c>
      <c r="C278" s="262">
        <f>Alukset_Käynnit!C285</f>
        <v>0</v>
      </c>
      <c r="D278" s="266">
        <f>Alukset_Käynnit!D285</f>
        <v>0</v>
      </c>
      <c r="E278" s="262">
        <f>Alukset_Käynnit!E285</f>
        <v>0</v>
      </c>
      <c r="F278" s="262">
        <f>Alukset_Käynnit!F285</f>
        <v>0</v>
      </c>
      <c r="G278" s="262">
        <f>Alukset_Käynnit!G285</f>
        <v>0</v>
      </c>
      <c r="H278" s="262">
        <f>Alukset_Käynnit!H285</f>
        <v>0</v>
      </c>
      <c r="I278" s="262">
        <f>Alukset_Käynnit!I285</f>
        <v>0</v>
      </c>
      <c r="J278" s="262">
        <f>Alukset_Käynnit!J285</f>
        <v>0</v>
      </c>
      <c r="K278" s="262">
        <f>Alukset_Käynnit!K285</f>
        <v>0</v>
      </c>
      <c r="L278" s="205">
        <f>Alukset_Käynnit!L285</f>
        <v>0</v>
      </c>
      <c r="N278" s="273">
        <f t="shared" si="63"/>
        <v>0</v>
      </c>
      <c r="O278" s="274">
        <f t="shared" si="64"/>
        <v>0</v>
      </c>
      <c r="Q278" s="204">
        <f t="shared" si="53"/>
        <v>0</v>
      </c>
      <c r="R278" s="202">
        <f>IF(Q278="Other dry cargo",L278*Alukset_fx!$B$71,IF(OR(Q278="Dry bulk",Q278="Bulk carrier"),L278*Alukset_fx!$B$69,IF(Q278="Tugboat",L278*Alukset_fx!$B$76,IF(OR(Q278="Tanker",Q278="Gas tanker",Q278="Chemical tanker",Q278="Oil tanker"),L278*Alukset_fx!$B$68,IF(OR(Q278="RoRo",Q278="Vehicle carrier"),L278*Alukset_fx!$B$72,IF(Q278="RoPax",L278*Alukset_fx!$B$73,IF(Q278="Container ship",L278*Alukset_fx!$B$70,IF(Q278="Barge",0,L278*Alukset_fx!$B$75))))))))</f>
        <v>0</v>
      </c>
      <c r="S278" s="210">
        <f>IF(L278=0,IF(Q278="Other dry cargo",Alukset_fx!$H$73*(Alukset_Käynnit_Lask!K278^Alukset_fx!$I$73),IF(OR(Q278="Dry Bulk",Q278="Bulk carrier"),Alukset_fx!$H$71*(Alukset_Käynnit_Lask!K278^Alukset_fx!$I$71),IF(Q278="Tugboat",Alukset_fx!$H$78*(Alukset_Käynnit_Lask!K278^Alukset_fx!$I$78),IF(OR(Q278="Tanker",Q278="Gas tanker",Q278="Chemical tanker",Q278="Oil tanker"),Alukset_fx!$H$70*(Alukset_Käynnit_Lask!K278^Alukset_fx!$I$70),IF(Q278="Container ship",Alukset_fx!$H$72*(Alukset_Käynnit_Lask!K278^Alukset_fx!$I$72),IF(Q278="Barge",0,IF(Q278="RoPax",Alukset_fx!$H$75*(Alukset_Käynnit_Lask!K278^Alukset_fx!$I$75),IF(OR(Q278="RoRo",Q278="Vehicle carrier"),Alukset_fx!$H$74*(Alukset_Käynnit_Lask!K278^Alukset_fx!$I$74),Alukset_fx!$H$77*(Alukset_Käynnit_Lask!K278^Alukset_fx!$I$77))))))))),"-")</f>
        <v>0</v>
      </c>
      <c r="T278" s="208">
        <f>IF(R278=0,IF(Q278="Other dry cargo",S278*Alukset_fx!$B$71,IF(OR(Q278="Dry bulk",Q278="Bulk carrier"),S278*Alukset_fx!$B$69,IF(Q278="Tugboat",S278*Alukset_fx!$B$76,IF(OR(Q278="Tanker",Q278="Gas tanker",Q278="Chemical tanker",Q278="Oil tanker"),S278*Alukset_fx!$B$68,IF(OR(Q278="RoRo",Q278="Vehicle carrier"),S278*Alukset_fx!$B$72,IF(Q278="RoPax",S278*Alukset_fx!$B$73,IF(Q278="Container ship",S278*Alukset_fx!$B$70,S278*Alukset_fx!$B$75))))))),"-")</f>
        <v>0</v>
      </c>
      <c r="U278" s="208">
        <f t="shared" si="54"/>
        <v>0</v>
      </c>
      <c r="V278" s="208">
        <f t="shared" si="55"/>
        <v>0</v>
      </c>
      <c r="W278" s="202">
        <f>Alukset_Käynnit!N285</f>
        <v>0</v>
      </c>
      <c r="X278" s="211">
        <f>IF(Q278="Other dry cargo", Alukset_fx!$C$52, IF(OR(Q278="Dry bulk",Q278="Bulk carrier"),Alukset_fx!$C$35,IF(OR(Q278="Tanker",Q278="Gas tanker",Q278="Oil tanker"),Alukset_fx!$C$57,IF(Q278="Chemical tanker",Alukset_fx!$C$56,IF(OR(Q278="Tugboat",Q278="Barge"),0,IF(Q278="Other vessel",Alukset_fx!$C$54,IF(Q278="Container ship",Alukset_fx!$C$37,IF(OR(Q278="RoPax",Q278="RoRo",Q278="Vehicle carrier"),Alukset_fx!$C$55,0))))))))</f>
        <v>0</v>
      </c>
      <c r="Y278" s="211">
        <f>IF(Q278="Other dry cargo", Alukset_fx!$Q$52, IF(OR(Q278="Dry bulk",Q278="Bulk carrier"),Alukset_fx!$Q$35,IF(OR(Q278="Tanker",Q278="Gas tanker",Q278="Oil tanker"),Alukset_fx!$Q$57,IF(Q278="Chemical tanker",Alukset_fx!$Q$56,IF(OR(Q278="Tugboat",Q278="Barge"),0,IF(Q278="Other vessel",Alukset_fx!$Q$54,IF(Q278="Container ship",Alukset_fx!$Q$37,IF(OR(Q278="RoPax",Q278="RoRo",Q278="Vehicle carrier"),Alukset_fx!$Q$55,0))))))))</f>
        <v>0</v>
      </c>
      <c r="Z278" t="str">
        <f t="shared" si="56"/>
        <v>MDO/MGO</v>
      </c>
      <c r="AA278" t="str">
        <f t="shared" si="57"/>
        <v>MSD</v>
      </c>
      <c r="AB278" t="str">
        <f t="shared" si="58"/>
        <v>MDO/MGO</v>
      </c>
      <c r="AC278" t="str">
        <f t="shared" si="59"/>
        <v>MSD</v>
      </c>
      <c r="AD278" t="str">
        <f t="shared" si="60"/>
        <v>MDO/MGO</v>
      </c>
      <c r="AE278" t="str">
        <f t="shared" si="61"/>
        <v>ST</v>
      </c>
      <c r="AG278">
        <f>Alukset_Käynnit!O285</f>
        <v>0</v>
      </c>
      <c r="AH278" s="207">
        <f>IF(AA278="SSD",((U278*Alukset_fx!$B$24)*Alukset_Käynnit_Lask!W278*(Alukset_fx!$K$49)/1000),IF(AA278="MSD",((U278*Alukset_fx!$B$24)*Alukset_Käynnit_Lask!W278*(Alukset_fx!$K$52)/1000),IF(AA278="HSD",((U278*Alukset_fx!$B$24)*Alukset_Käynnit_Lask!W278*(Alukset_fx!$K$55)/1000),0)))</f>
        <v>0</v>
      </c>
      <c r="AI278" s="207">
        <f>IF(AC278="MSD",((V278*Alukset_fx!$B$25)*Alukset_Käynnit_Lask!W278*(Alukset_fx!$L$52)/1000),IF(AC278="HSD",((V278*Alukset_fx!$B$25)*Alukset_Käynnit_Lask!W278*(Alukset_fx!$L$55)/1000),0))</f>
        <v>0</v>
      </c>
      <c r="AJ278" s="207">
        <f>X278*W278*Alukset_fx!$K$61/1000</f>
        <v>0</v>
      </c>
      <c r="AK278">
        <v>0</v>
      </c>
      <c r="AL278" s="207">
        <f>IF(AG278="Käytetty",0,IF(AC278="MSD",((V278*Alukset_fx!$O$25)*Alukset_Käynnit_Lask!O278*(Alukset_fx!$L$52)/1000),IF(AC278="HSD",((V278*Alukset_fx!$O$25)*Alukset_Käynnit_Lask!O278*(Alukset_fx!$L$55)/1000),0)))</f>
        <v>0</v>
      </c>
      <c r="AM278" s="207">
        <f>IF(AG278="Käytetty",0,Y278*O278*Alukset_fx!$K$61/1000)</f>
        <v>0</v>
      </c>
      <c r="AN278" s="213">
        <f t="shared" si="62"/>
        <v>0</v>
      </c>
    </row>
    <row r="279" spans="1:40" x14ac:dyDescent="0.25">
      <c r="A279" s="203">
        <f>Alukset_Käynnit!A286</f>
        <v>0</v>
      </c>
      <c r="B279" s="203">
        <f>Alukset_Käynnit!B286</f>
        <v>0</v>
      </c>
      <c r="C279" s="262">
        <f>Alukset_Käynnit!C286</f>
        <v>0</v>
      </c>
      <c r="D279" s="266">
        <f>Alukset_Käynnit!D286</f>
        <v>0</v>
      </c>
      <c r="E279" s="262">
        <f>Alukset_Käynnit!E286</f>
        <v>0</v>
      </c>
      <c r="F279" s="262">
        <f>Alukset_Käynnit!F286</f>
        <v>0</v>
      </c>
      <c r="G279" s="262">
        <f>Alukset_Käynnit!G286</f>
        <v>0</v>
      </c>
      <c r="H279" s="262">
        <f>Alukset_Käynnit!H286</f>
        <v>0</v>
      </c>
      <c r="I279" s="262">
        <f>Alukset_Käynnit!I286</f>
        <v>0</v>
      </c>
      <c r="J279" s="262">
        <f>Alukset_Käynnit!J286</f>
        <v>0</v>
      </c>
      <c r="K279" s="262">
        <f>Alukset_Käynnit!K286</f>
        <v>0</v>
      </c>
      <c r="L279" s="205">
        <f>Alukset_Käynnit!L286</f>
        <v>0</v>
      </c>
      <c r="N279" s="273">
        <f t="shared" si="63"/>
        <v>0</v>
      </c>
      <c r="O279" s="274">
        <f t="shared" si="64"/>
        <v>0</v>
      </c>
      <c r="Q279" s="204">
        <f t="shared" si="53"/>
        <v>0</v>
      </c>
      <c r="R279" s="202">
        <f>IF(Q279="Other dry cargo",L279*Alukset_fx!$B$71,IF(OR(Q279="Dry bulk",Q279="Bulk carrier"),L279*Alukset_fx!$B$69,IF(Q279="Tugboat",L279*Alukset_fx!$B$76,IF(OR(Q279="Tanker",Q279="Gas tanker",Q279="Chemical tanker",Q279="Oil tanker"),L279*Alukset_fx!$B$68,IF(OR(Q279="RoRo",Q279="Vehicle carrier"),L279*Alukset_fx!$B$72,IF(Q279="RoPax",L279*Alukset_fx!$B$73,IF(Q279="Container ship",L279*Alukset_fx!$B$70,IF(Q279="Barge",0,L279*Alukset_fx!$B$75))))))))</f>
        <v>0</v>
      </c>
      <c r="S279" s="210">
        <f>IF(L279=0,IF(Q279="Other dry cargo",Alukset_fx!$H$73*(Alukset_Käynnit_Lask!K279^Alukset_fx!$I$73),IF(OR(Q279="Dry Bulk",Q279="Bulk carrier"),Alukset_fx!$H$71*(Alukset_Käynnit_Lask!K279^Alukset_fx!$I$71),IF(Q279="Tugboat",Alukset_fx!$H$78*(Alukset_Käynnit_Lask!K279^Alukset_fx!$I$78),IF(OR(Q279="Tanker",Q279="Gas tanker",Q279="Chemical tanker",Q279="Oil tanker"),Alukset_fx!$H$70*(Alukset_Käynnit_Lask!K279^Alukset_fx!$I$70),IF(Q279="Container ship",Alukset_fx!$H$72*(Alukset_Käynnit_Lask!K279^Alukset_fx!$I$72),IF(Q279="Barge",0,IF(Q279="RoPax",Alukset_fx!$H$75*(Alukset_Käynnit_Lask!K279^Alukset_fx!$I$75),IF(OR(Q279="RoRo",Q279="Vehicle carrier"),Alukset_fx!$H$74*(Alukset_Käynnit_Lask!K279^Alukset_fx!$I$74),Alukset_fx!$H$77*(Alukset_Käynnit_Lask!K279^Alukset_fx!$I$77))))))))),"-")</f>
        <v>0</v>
      </c>
      <c r="T279" s="208">
        <f>IF(R279=0,IF(Q279="Other dry cargo",S279*Alukset_fx!$B$71,IF(OR(Q279="Dry bulk",Q279="Bulk carrier"),S279*Alukset_fx!$B$69,IF(Q279="Tugboat",S279*Alukset_fx!$B$76,IF(OR(Q279="Tanker",Q279="Gas tanker",Q279="Chemical tanker",Q279="Oil tanker"),S279*Alukset_fx!$B$68,IF(OR(Q279="RoRo",Q279="Vehicle carrier"),S279*Alukset_fx!$B$72,IF(Q279="RoPax",S279*Alukset_fx!$B$73,IF(Q279="Container ship",S279*Alukset_fx!$B$70,S279*Alukset_fx!$B$75))))))),"-")</f>
        <v>0</v>
      </c>
      <c r="U279" s="208">
        <f t="shared" si="54"/>
        <v>0</v>
      </c>
      <c r="V279" s="208">
        <f t="shared" si="55"/>
        <v>0</v>
      </c>
      <c r="W279" s="202">
        <f>Alukset_Käynnit!N286</f>
        <v>0</v>
      </c>
      <c r="X279" s="211">
        <f>IF(Q279="Other dry cargo", Alukset_fx!$C$52, IF(OR(Q279="Dry bulk",Q279="Bulk carrier"),Alukset_fx!$C$35,IF(OR(Q279="Tanker",Q279="Gas tanker",Q279="Oil tanker"),Alukset_fx!$C$57,IF(Q279="Chemical tanker",Alukset_fx!$C$56,IF(OR(Q279="Tugboat",Q279="Barge"),0,IF(Q279="Other vessel",Alukset_fx!$C$54,IF(Q279="Container ship",Alukset_fx!$C$37,IF(OR(Q279="RoPax",Q279="RoRo",Q279="Vehicle carrier"),Alukset_fx!$C$55,0))))))))</f>
        <v>0</v>
      </c>
      <c r="Y279" s="211">
        <f>IF(Q279="Other dry cargo", Alukset_fx!$Q$52, IF(OR(Q279="Dry bulk",Q279="Bulk carrier"),Alukset_fx!$Q$35,IF(OR(Q279="Tanker",Q279="Gas tanker",Q279="Oil tanker"),Alukset_fx!$Q$57,IF(Q279="Chemical tanker",Alukset_fx!$Q$56,IF(OR(Q279="Tugboat",Q279="Barge"),0,IF(Q279="Other vessel",Alukset_fx!$Q$54,IF(Q279="Container ship",Alukset_fx!$Q$37,IF(OR(Q279="RoPax",Q279="RoRo",Q279="Vehicle carrier"),Alukset_fx!$Q$55,0))))))))</f>
        <v>0</v>
      </c>
      <c r="Z279" t="str">
        <f t="shared" si="56"/>
        <v>MDO/MGO</v>
      </c>
      <c r="AA279" t="str">
        <f t="shared" si="57"/>
        <v>MSD</v>
      </c>
      <c r="AB279" t="str">
        <f t="shared" si="58"/>
        <v>MDO/MGO</v>
      </c>
      <c r="AC279" t="str">
        <f t="shared" si="59"/>
        <v>MSD</v>
      </c>
      <c r="AD279" t="str">
        <f t="shared" si="60"/>
        <v>MDO/MGO</v>
      </c>
      <c r="AE279" t="str">
        <f t="shared" si="61"/>
        <v>ST</v>
      </c>
      <c r="AG279">
        <f>Alukset_Käynnit!O286</f>
        <v>0</v>
      </c>
      <c r="AH279" s="207">
        <f>IF(AA279="SSD",((U279*Alukset_fx!$B$24)*Alukset_Käynnit_Lask!W279*(Alukset_fx!$K$49)/1000),IF(AA279="MSD",((U279*Alukset_fx!$B$24)*Alukset_Käynnit_Lask!W279*(Alukset_fx!$K$52)/1000),IF(AA279="HSD",((U279*Alukset_fx!$B$24)*Alukset_Käynnit_Lask!W279*(Alukset_fx!$K$55)/1000),0)))</f>
        <v>0</v>
      </c>
      <c r="AI279" s="207">
        <f>IF(AC279="MSD",((V279*Alukset_fx!$B$25)*Alukset_Käynnit_Lask!W279*(Alukset_fx!$L$52)/1000),IF(AC279="HSD",((V279*Alukset_fx!$B$25)*Alukset_Käynnit_Lask!W279*(Alukset_fx!$L$55)/1000),0))</f>
        <v>0</v>
      </c>
      <c r="AJ279" s="207">
        <f>X279*W279*Alukset_fx!$K$61/1000</f>
        <v>0</v>
      </c>
      <c r="AK279">
        <v>0</v>
      </c>
      <c r="AL279" s="207">
        <f>IF(AG279="Käytetty",0,IF(AC279="MSD",((V279*Alukset_fx!$O$25)*Alukset_Käynnit_Lask!O279*(Alukset_fx!$L$52)/1000),IF(AC279="HSD",((V279*Alukset_fx!$O$25)*Alukset_Käynnit_Lask!O279*(Alukset_fx!$L$55)/1000),0)))</f>
        <v>0</v>
      </c>
      <c r="AM279" s="207">
        <f>IF(AG279="Käytetty",0,Y279*O279*Alukset_fx!$K$61/1000)</f>
        <v>0</v>
      </c>
      <c r="AN279" s="213">
        <f t="shared" si="62"/>
        <v>0</v>
      </c>
    </row>
    <row r="280" spans="1:40" x14ac:dyDescent="0.25">
      <c r="A280" s="203">
        <f>Alukset_Käynnit!A287</f>
        <v>0</v>
      </c>
      <c r="B280" s="203">
        <f>Alukset_Käynnit!B287</f>
        <v>0</v>
      </c>
      <c r="C280" s="262">
        <f>Alukset_Käynnit!C287</f>
        <v>0</v>
      </c>
      <c r="D280" s="266">
        <f>Alukset_Käynnit!D287</f>
        <v>0</v>
      </c>
      <c r="E280" s="262">
        <f>Alukset_Käynnit!E287</f>
        <v>0</v>
      </c>
      <c r="F280" s="262">
        <f>Alukset_Käynnit!F287</f>
        <v>0</v>
      </c>
      <c r="G280" s="262">
        <f>Alukset_Käynnit!G287</f>
        <v>0</v>
      </c>
      <c r="H280" s="262">
        <f>Alukset_Käynnit!H287</f>
        <v>0</v>
      </c>
      <c r="I280" s="262">
        <f>Alukset_Käynnit!I287</f>
        <v>0</v>
      </c>
      <c r="J280" s="262">
        <f>Alukset_Käynnit!J287</f>
        <v>0</v>
      </c>
      <c r="K280" s="262">
        <f>Alukset_Käynnit!K287</f>
        <v>0</v>
      </c>
      <c r="L280" s="205">
        <f>Alukset_Käynnit!L287</f>
        <v>0</v>
      </c>
      <c r="N280" s="273">
        <f t="shared" si="63"/>
        <v>0</v>
      </c>
      <c r="O280" s="274">
        <f t="shared" si="64"/>
        <v>0</v>
      </c>
      <c r="Q280" s="204">
        <f t="shared" si="53"/>
        <v>0</v>
      </c>
      <c r="R280" s="202">
        <f>IF(Q280="Other dry cargo",L280*Alukset_fx!$B$71,IF(OR(Q280="Dry bulk",Q280="Bulk carrier"),L280*Alukset_fx!$B$69,IF(Q280="Tugboat",L280*Alukset_fx!$B$76,IF(OR(Q280="Tanker",Q280="Gas tanker",Q280="Chemical tanker",Q280="Oil tanker"),L280*Alukset_fx!$B$68,IF(OR(Q280="RoRo",Q280="Vehicle carrier"),L280*Alukset_fx!$B$72,IF(Q280="RoPax",L280*Alukset_fx!$B$73,IF(Q280="Container ship",L280*Alukset_fx!$B$70,IF(Q280="Barge",0,L280*Alukset_fx!$B$75))))))))</f>
        <v>0</v>
      </c>
      <c r="S280" s="210">
        <f>IF(L280=0,IF(Q280="Other dry cargo",Alukset_fx!$H$73*(Alukset_Käynnit_Lask!K280^Alukset_fx!$I$73),IF(OR(Q280="Dry Bulk",Q280="Bulk carrier"),Alukset_fx!$H$71*(Alukset_Käynnit_Lask!K280^Alukset_fx!$I$71),IF(Q280="Tugboat",Alukset_fx!$H$78*(Alukset_Käynnit_Lask!K280^Alukset_fx!$I$78),IF(OR(Q280="Tanker",Q280="Gas tanker",Q280="Chemical tanker",Q280="Oil tanker"),Alukset_fx!$H$70*(Alukset_Käynnit_Lask!K280^Alukset_fx!$I$70),IF(Q280="Container ship",Alukset_fx!$H$72*(Alukset_Käynnit_Lask!K280^Alukset_fx!$I$72),IF(Q280="Barge",0,IF(Q280="RoPax",Alukset_fx!$H$75*(Alukset_Käynnit_Lask!K280^Alukset_fx!$I$75),IF(OR(Q280="RoRo",Q280="Vehicle carrier"),Alukset_fx!$H$74*(Alukset_Käynnit_Lask!K280^Alukset_fx!$I$74),Alukset_fx!$H$77*(Alukset_Käynnit_Lask!K280^Alukset_fx!$I$77))))))))),"-")</f>
        <v>0</v>
      </c>
      <c r="T280" s="208">
        <f>IF(R280=0,IF(Q280="Other dry cargo",S280*Alukset_fx!$B$71,IF(OR(Q280="Dry bulk",Q280="Bulk carrier"),S280*Alukset_fx!$B$69,IF(Q280="Tugboat",S280*Alukset_fx!$B$76,IF(OR(Q280="Tanker",Q280="Gas tanker",Q280="Chemical tanker",Q280="Oil tanker"),S280*Alukset_fx!$B$68,IF(OR(Q280="RoRo",Q280="Vehicle carrier"),S280*Alukset_fx!$B$72,IF(Q280="RoPax",S280*Alukset_fx!$B$73,IF(Q280="Container ship",S280*Alukset_fx!$B$70,S280*Alukset_fx!$B$75))))))),"-")</f>
        <v>0</v>
      </c>
      <c r="U280" s="208">
        <f t="shared" si="54"/>
        <v>0</v>
      </c>
      <c r="V280" s="208">
        <f t="shared" si="55"/>
        <v>0</v>
      </c>
      <c r="W280" s="202">
        <f>Alukset_Käynnit!N287</f>
        <v>0</v>
      </c>
      <c r="X280" s="211">
        <f>IF(Q280="Other dry cargo", Alukset_fx!$C$52, IF(OR(Q280="Dry bulk",Q280="Bulk carrier"),Alukset_fx!$C$35,IF(OR(Q280="Tanker",Q280="Gas tanker",Q280="Oil tanker"),Alukset_fx!$C$57,IF(Q280="Chemical tanker",Alukset_fx!$C$56,IF(OR(Q280="Tugboat",Q280="Barge"),0,IF(Q280="Other vessel",Alukset_fx!$C$54,IF(Q280="Container ship",Alukset_fx!$C$37,IF(OR(Q280="RoPax",Q280="RoRo",Q280="Vehicle carrier"),Alukset_fx!$C$55,0))))))))</f>
        <v>0</v>
      </c>
      <c r="Y280" s="211">
        <f>IF(Q280="Other dry cargo", Alukset_fx!$Q$52, IF(OR(Q280="Dry bulk",Q280="Bulk carrier"),Alukset_fx!$Q$35,IF(OR(Q280="Tanker",Q280="Gas tanker",Q280="Oil tanker"),Alukset_fx!$Q$57,IF(Q280="Chemical tanker",Alukset_fx!$Q$56,IF(OR(Q280="Tugboat",Q280="Barge"),0,IF(Q280="Other vessel",Alukset_fx!$Q$54,IF(Q280="Container ship",Alukset_fx!$Q$37,IF(OR(Q280="RoPax",Q280="RoRo",Q280="Vehicle carrier"),Alukset_fx!$Q$55,0))))))))</f>
        <v>0</v>
      </c>
      <c r="Z280" t="str">
        <f t="shared" si="56"/>
        <v>MDO/MGO</v>
      </c>
      <c r="AA280" t="str">
        <f t="shared" si="57"/>
        <v>MSD</v>
      </c>
      <c r="AB280" t="str">
        <f t="shared" si="58"/>
        <v>MDO/MGO</v>
      </c>
      <c r="AC280" t="str">
        <f t="shared" si="59"/>
        <v>MSD</v>
      </c>
      <c r="AD280" t="str">
        <f t="shared" si="60"/>
        <v>MDO/MGO</v>
      </c>
      <c r="AE280" t="str">
        <f t="shared" si="61"/>
        <v>ST</v>
      </c>
      <c r="AG280">
        <f>Alukset_Käynnit!O287</f>
        <v>0</v>
      </c>
      <c r="AH280" s="207">
        <f>IF(AA280="SSD",((U280*Alukset_fx!$B$24)*Alukset_Käynnit_Lask!W280*(Alukset_fx!$K$49)/1000),IF(AA280="MSD",((U280*Alukset_fx!$B$24)*Alukset_Käynnit_Lask!W280*(Alukset_fx!$K$52)/1000),IF(AA280="HSD",((U280*Alukset_fx!$B$24)*Alukset_Käynnit_Lask!W280*(Alukset_fx!$K$55)/1000),0)))</f>
        <v>0</v>
      </c>
      <c r="AI280" s="207">
        <f>IF(AC280="MSD",((V280*Alukset_fx!$B$25)*Alukset_Käynnit_Lask!W280*(Alukset_fx!$L$52)/1000),IF(AC280="HSD",((V280*Alukset_fx!$B$25)*Alukset_Käynnit_Lask!W280*(Alukset_fx!$L$55)/1000),0))</f>
        <v>0</v>
      </c>
      <c r="AJ280" s="207">
        <f>X280*W280*Alukset_fx!$K$61/1000</f>
        <v>0</v>
      </c>
      <c r="AK280">
        <v>0</v>
      </c>
      <c r="AL280" s="207">
        <f>IF(AG280="Käytetty",0,IF(AC280="MSD",((V280*Alukset_fx!$O$25)*Alukset_Käynnit_Lask!O280*(Alukset_fx!$L$52)/1000),IF(AC280="HSD",((V280*Alukset_fx!$O$25)*Alukset_Käynnit_Lask!O280*(Alukset_fx!$L$55)/1000),0)))</f>
        <v>0</v>
      </c>
      <c r="AM280" s="207">
        <f>IF(AG280="Käytetty",0,Y280*O280*Alukset_fx!$K$61/1000)</f>
        <v>0</v>
      </c>
      <c r="AN280" s="213">
        <f t="shared" si="62"/>
        <v>0</v>
      </c>
    </row>
    <row r="281" spans="1:40" x14ac:dyDescent="0.25">
      <c r="A281" s="203">
        <f>Alukset_Käynnit!A288</f>
        <v>0</v>
      </c>
      <c r="B281" s="203">
        <f>Alukset_Käynnit!B288</f>
        <v>0</v>
      </c>
      <c r="C281" s="262">
        <f>Alukset_Käynnit!C288</f>
        <v>0</v>
      </c>
      <c r="D281" s="266">
        <f>Alukset_Käynnit!D288</f>
        <v>0</v>
      </c>
      <c r="E281" s="262">
        <f>Alukset_Käynnit!E288</f>
        <v>0</v>
      </c>
      <c r="F281" s="262">
        <f>Alukset_Käynnit!F288</f>
        <v>0</v>
      </c>
      <c r="G281" s="262">
        <f>Alukset_Käynnit!G288</f>
        <v>0</v>
      </c>
      <c r="H281" s="262">
        <f>Alukset_Käynnit!H288</f>
        <v>0</v>
      </c>
      <c r="I281" s="262">
        <f>Alukset_Käynnit!I288</f>
        <v>0</v>
      </c>
      <c r="J281" s="262">
        <f>Alukset_Käynnit!J288</f>
        <v>0</v>
      </c>
      <c r="K281" s="262">
        <f>Alukset_Käynnit!K288</f>
        <v>0</v>
      </c>
      <c r="L281" s="205">
        <f>Alukset_Käynnit!L288</f>
        <v>0</v>
      </c>
      <c r="N281" s="273">
        <f t="shared" si="63"/>
        <v>0</v>
      </c>
      <c r="O281" s="274">
        <f t="shared" si="64"/>
        <v>0</v>
      </c>
      <c r="Q281" s="204">
        <f t="shared" si="53"/>
        <v>0</v>
      </c>
      <c r="R281" s="202">
        <f>IF(Q281="Other dry cargo",L281*Alukset_fx!$B$71,IF(OR(Q281="Dry bulk",Q281="Bulk carrier"),L281*Alukset_fx!$B$69,IF(Q281="Tugboat",L281*Alukset_fx!$B$76,IF(OR(Q281="Tanker",Q281="Gas tanker",Q281="Chemical tanker",Q281="Oil tanker"),L281*Alukset_fx!$B$68,IF(OR(Q281="RoRo",Q281="Vehicle carrier"),L281*Alukset_fx!$B$72,IF(Q281="RoPax",L281*Alukset_fx!$B$73,IF(Q281="Container ship",L281*Alukset_fx!$B$70,IF(Q281="Barge",0,L281*Alukset_fx!$B$75))))))))</f>
        <v>0</v>
      </c>
      <c r="S281" s="210">
        <f>IF(L281=0,IF(Q281="Other dry cargo",Alukset_fx!$H$73*(Alukset_Käynnit_Lask!K281^Alukset_fx!$I$73),IF(OR(Q281="Dry Bulk",Q281="Bulk carrier"),Alukset_fx!$H$71*(Alukset_Käynnit_Lask!K281^Alukset_fx!$I$71),IF(Q281="Tugboat",Alukset_fx!$H$78*(Alukset_Käynnit_Lask!K281^Alukset_fx!$I$78),IF(OR(Q281="Tanker",Q281="Gas tanker",Q281="Chemical tanker",Q281="Oil tanker"),Alukset_fx!$H$70*(Alukset_Käynnit_Lask!K281^Alukset_fx!$I$70),IF(Q281="Container ship",Alukset_fx!$H$72*(Alukset_Käynnit_Lask!K281^Alukset_fx!$I$72),IF(Q281="Barge",0,IF(Q281="RoPax",Alukset_fx!$H$75*(Alukset_Käynnit_Lask!K281^Alukset_fx!$I$75),IF(OR(Q281="RoRo",Q281="Vehicle carrier"),Alukset_fx!$H$74*(Alukset_Käynnit_Lask!K281^Alukset_fx!$I$74),Alukset_fx!$H$77*(Alukset_Käynnit_Lask!K281^Alukset_fx!$I$77))))))))),"-")</f>
        <v>0</v>
      </c>
      <c r="T281" s="208">
        <f>IF(R281=0,IF(Q281="Other dry cargo",S281*Alukset_fx!$B$71,IF(OR(Q281="Dry bulk",Q281="Bulk carrier"),S281*Alukset_fx!$B$69,IF(Q281="Tugboat",S281*Alukset_fx!$B$76,IF(OR(Q281="Tanker",Q281="Gas tanker",Q281="Chemical tanker",Q281="Oil tanker"),S281*Alukset_fx!$B$68,IF(OR(Q281="RoRo",Q281="Vehicle carrier"),S281*Alukset_fx!$B$72,IF(Q281="RoPax",S281*Alukset_fx!$B$73,IF(Q281="Container ship",S281*Alukset_fx!$B$70,S281*Alukset_fx!$B$75))))))),"-")</f>
        <v>0</v>
      </c>
      <c r="U281" s="208">
        <f t="shared" si="54"/>
        <v>0</v>
      </c>
      <c r="V281" s="208">
        <f t="shared" si="55"/>
        <v>0</v>
      </c>
      <c r="W281" s="202">
        <f>Alukset_Käynnit!N288</f>
        <v>0</v>
      </c>
      <c r="X281" s="211">
        <f>IF(Q281="Other dry cargo", Alukset_fx!$C$52, IF(OR(Q281="Dry bulk",Q281="Bulk carrier"),Alukset_fx!$C$35,IF(OR(Q281="Tanker",Q281="Gas tanker",Q281="Oil tanker"),Alukset_fx!$C$57,IF(Q281="Chemical tanker",Alukset_fx!$C$56,IF(OR(Q281="Tugboat",Q281="Barge"),0,IF(Q281="Other vessel",Alukset_fx!$C$54,IF(Q281="Container ship",Alukset_fx!$C$37,IF(OR(Q281="RoPax",Q281="RoRo",Q281="Vehicle carrier"),Alukset_fx!$C$55,0))))))))</f>
        <v>0</v>
      </c>
      <c r="Y281" s="211">
        <f>IF(Q281="Other dry cargo", Alukset_fx!$Q$52, IF(OR(Q281="Dry bulk",Q281="Bulk carrier"),Alukset_fx!$Q$35,IF(OR(Q281="Tanker",Q281="Gas tanker",Q281="Oil tanker"),Alukset_fx!$Q$57,IF(Q281="Chemical tanker",Alukset_fx!$Q$56,IF(OR(Q281="Tugboat",Q281="Barge"),0,IF(Q281="Other vessel",Alukset_fx!$Q$54,IF(Q281="Container ship",Alukset_fx!$Q$37,IF(OR(Q281="RoPax",Q281="RoRo",Q281="Vehicle carrier"),Alukset_fx!$Q$55,0))))))))</f>
        <v>0</v>
      </c>
      <c r="Z281" t="str">
        <f t="shared" si="56"/>
        <v>MDO/MGO</v>
      </c>
      <c r="AA281" t="str">
        <f t="shared" si="57"/>
        <v>MSD</v>
      </c>
      <c r="AB281" t="str">
        <f t="shared" si="58"/>
        <v>MDO/MGO</v>
      </c>
      <c r="AC281" t="str">
        <f t="shared" si="59"/>
        <v>MSD</v>
      </c>
      <c r="AD281" t="str">
        <f t="shared" si="60"/>
        <v>MDO/MGO</v>
      </c>
      <c r="AE281" t="str">
        <f t="shared" si="61"/>
        <v>ST</v>
      </c>
      <c r="AG281">
        <f>Alukset_Käynnit!O288</f>
        <v>0</v>
      </c>
      <c r="AH281" s="207">
        <f>IF(AA281="SSD",((U281*Alukset_fx!$B$24)*Alukset_Käynnit_Lask!W281*(Alukset_fx!$K$49)/1000),IF(AA281="MSD",((U281*Alukset_fx!$B$24)*Alukset_Käynnit_Lask!W281*(Alukset_fx!$K$52)/1000),IF(AA281="HSD",((U281*Alukset_fx!$B$24)*Alukset_Käynnit_Lask!W281*(Alukset_fx!$K$55)/1000),0)))</f>
        <v>0</v>
      </c>
      <c r="AI281" s="207">
        <f>IF(AC281="MSD",((V281*Alukset_fx!$B$25)*Alukset_Käynnit_Lask!W281*(Alukset_fx!$L$52)/1000),IF(AC281="HSD",((V281*Alukset_fx!$B$25)*Alukset_Käynnit_Lask!W281*(Alukset_fx!$L$55)/1000),0))</f>
        <v>0</v>
      </c>
      <c r="AJ281" s="207">
        <f>X281*W281*Alukset_fx!$K$61/1000</f>
        <v>0</v>
      </c>
      <c r="AK281">
        <v>0</v>
      </c>
      <c r="AL281" s="207">
        <f>IF(AG281="Käytetty",0,IF(AC281="MSD",((V281*Alukset_fx!$O$25)*Alukset_Käynnit_Lask!O281*(Alukset_fx!$L$52)/1000),IF(AC281="HSD",((V281*Alukset_fx!$O$25)*Alukset_Käynnit_Lask!O281*(Alukset_fx!$L$55)/1000),0)))</f>
        <v>0</v>
      </c>
      <c r="AM281" s="207">
        <f>IF(AG281="Käytetty",0,Y281*O281*Alukset_fx!$K$61/1000)</f>
        <v>0</v>
      </c>
      <c r="AN281" s="213">
        <f t="shared" si="62"/>
        <v>0</v>
      </c>
    </row>
    <row r="282" spans="1:40" x14ac:dyDescent="0.25">
      <c r="A282" s="203">
        <f>Alukset_Käynnit!A289</f>
        <v>0</v>
      </c>
      <c r="B282" s="203">
        <f>Alukset_Käynnit!B289</f>
        <v>0</v>
      </c>
      <c r="C282" s="262">
        <f>Alukset_Käynnit!C289</f>
        <v>0</v>
      </c>
      <c r="D282" s="266">
        <f>Alukset_Käynnit!D289</f>
        <v>0</v>
      </c>
      <c r="E282" s="262">
        <f>Alukset_Käynnit!E289</f>
        <v>0</v>
      </c>
      <c r="F282" s="262">
        <f>Alukset_Käynnit!F289</f>
        <v>0</v>
      </c>
      <c r="G282" s="262">
        <f>Alukset_Käynnit!G289</f>
        <v>0</v>
      </c>
      <c r="H282" s="262">
        <f>Alukset_Käynnit!H289</f>
        <v>0</v>
      </c>
      <c r="I282" s="262">
        <f>Alukset_Käynnit!I289</f>
        <v>0</v>
      </c>
      <c r="J282" s="262">
        <f>Alukset_Käynnit!J289</f>
        <v>0</v>
      </c>
      <c r="K282" s="262">
        <f>Alukset_Käynnit!K289</f>
        <v>0</v>
      </c>
      <c r="L282" s="205">
        <f>Alukset_Käynnit!L289</f>
        <v>0</v>
      </c>
      <c r="N282" s="273">
        <f t="shared" si="63"/>
        <v>0</v>
      </c>
      <c r="O282" s="274">
        <f t="shared" si="64"/>
        <v>0</v>
      </c>
      <c r="Q282" s="204">
        <f t="shared" si="53"/>
        <v>0</v>
      </c>
      <c r="R282" s="202">
        <f>IF(Q282="Other dry cargo",L282*Alukset_fx!$B$71,IF(OR(Q282="Dry bulk",Q282="Bulk carrier"),L282*Alukset_fx!$B$69,IF(Q282="Tugboat",L282*Alukset_fx!$B$76,IF(OR(Q282="Tanker",Q282="Gas tanker",Q282="Chemical tanker",Q282="Oil tanker"),L282*Alukset_fx!$B$68,IF(OR(Q282="RoRo",Q282="Vehicle carrier"),L282*Alukset_fx!$B$72,IF(Q282="RoPax",L282*Alukset_fx!$B$73,IF(Q282="Container ship",L282*Alukset_fx!$B$70,IF(Q282="Barge",0,L282*Alukset_fx!$B$75))))))))</f>
        <v>0</v>
      </c>
      <c r="S282" s="210">
        <f>IF(L282=0,IF(Q282="Other dry cargo",Alukset_fx!$H$73*(Alukset_Käynnit_Lask!K282^Alukset_fx!$I$73),IF(OR(Q282="Dry Bulk",Q282="Bulk carrier"),Alukset_fx!$H$71*(Alukset_Käynnit_Lask!K282^Alukset_fx!$I$71),IF(Q282="Tugboat",Alukset_fx!$H$78*(Alukset_Käynnit_Lask!K282^Alukset_fx!$I$78),IF(OR(Q282="Tanker",Q282="Gas tanker",Q282="Chemical tanker",Q282="Oil tanker"),Alukset_fx!$H$70*(Alukset_Käynnit_Lask!K282^Alukset_fx!$I$70),IF(Q282="Container ship",Alukset_fx!$H$72*(Alukset_Käynnit_Lask!K282^Alukset_fx!$I$72),IF(Q282="Barge",0,IF(Q282="RoPax",Alukset_fx!$H$75*(Alukset_Käynnit_Lask!K282^Alukset_fx!$I$75),IF(OR(Q282="RoRo",Q282="Vehicle carrier"),Alukset_fx!$H$74*(Alukset_Käynnit_Lask!K282^Alukset_fx!$I$74),Alukset_fx!$H$77*(Alukset_Käynnit_Lask!K282^Alukset_fx!$I$77))))))))),"-")</f>
        <v>0</v>
      </c>
      <c r="T282" s="208">
        <f>IF(R282=0,IF(Q282="Other dry cargo",S282*Alukset_fx!$B$71,IF(OR(Q282="Dry bulk",Q282="Bulk carrier"),S282*Alukset_fx!$B$69,IF(Q282="Tugboat",S282*Alukset_fx!$B$76,IF(OR(Q282="Tanker",Q282="Gas tanker",Q282="Chemical tanker",Q282="Oil tanker"),S282*Alukset_fx!$B$68,IF(OR(Q282="RoRo",Q282="Vehicle carrier"),S282*Alukset_fx!$B$72,IF(Q282="RoPax",S282*Alukset_fx!$B$73,IF(Q282="Container ship",S282*Alukset_fx!$B$70,S282*Alukset_fx!$B$75))))))),"-")</f>
        <v>0</v>
      </c>
      <c r="U282" s="208">
        <f t="shared" si="54"/>
        <v>0</v>
      </c>
      <c r="V282" s="208">
        <f t="shared" si="55"/>
        <v>0</v>
      </c>
      <c r="W282" s="202">
        <f>Alukset_Käynnit!N289</f>
        <v>0</v>
      </c>
      <c r="X282" s="211">
        <f>IF(Q282="Other dry cargo", Alukset_fx!$C$52, IF(OR(Q282="Dry bulk",Q282="Bulk carrier"),Alukset_fx!$C$35,IF(OR(Q282="Tanker",Q282="Gas tanker",Q282="Oil tanker"),Alukset_fx!$C$57,IF(Q282="Chemical tanker",Alukset_fx!$C$56,IF(OR(Q282="Tugboat",Q282="Barge"),0,IF(Q282="Other vessel",Alukset_fx!$C$54,IF(Q282="Container ship",Alukset_fx!$C$37,IF(OR(Q282="RoPax",Q282="RoRo",Q282="Vehicle carrier"),Alukset_fx!$C$55,0))))))))</f>
        <v>0</v>
      </c>
      <c r="Y282" s="211">
        <f>IF(Q282="Other dry cargo", Alukset_fx!$Q$52, IF(OR(Q282="Dry bulk",Q282="Bulk carrier"),Alukset_fx!$Q$35,IF(OR(Q282="Tanker",Q282="Gas tanker",Q282="Oil tanker"),Alukset_fx!$Q$57,IF(Q282="Chemical tanker",Alukset_fx!$Q$56,IF(OR(Q282="Tugboat",Q282="Barge"),0,IF(Q282="Other vessel",Alukset_fx!$Q$54,IF(Q282="Container ship",Alukset_fx!$Q$37,IF(OR(Q282="RoPax",Q282="RoRo",Q282="Vehicle carrier"),Alukset_fx!$Q$55,0))))))))</f>
        <v>0</v>
      </c>
      <c r="Z282" t="str">
        <f t="shared" si="56"/>
        <v>MDO/MGO</v>
      </c>
      <c r="AA282" t="str">
        <f t="shared" si="57"/>
        <v>MSD</v>
      </c>
      <c r="AB282" t="str">
        <f t="shared" si="58"/>
        <v>MDO/MGO</v>
      </c>
      <c r="AC282" t="str">
        <f t="shared" si="59"/>
        <v>MSD</v>
      </c>
      <c r="AD282" t="str">
        <f t="shared" si="60"/>
        <v>MDO/MGO</v>
      </c>
      <c r="AE282" t="str">
        <f t="shared" si="61"/>
        <v>ST</v>
      </c>
      <c r="AG282">
        <f>Alukset_Käynnit!O289</f>
        <v>0</v>
      </c>
      <c r="AH282" s="207">
        <f>IF(AA282="SSD",((U282*Alukset_fx!$B$24)*Alukset_Käynnit_Lask!W282*(Alukset_fx!$K$49)/1000),IF(AA282="MSD",((U282*Alukset_fx!$B$24)*Alukset_Käynnit_Lask!W282*(Alukset_fx!$K$52)/1000),IF(AA282="HSD",((U282*Alukset_fx!$B$24)*Alukset_Käynnit_Lask!W282*(Alukset_fx!$K$55)/1000),0)))</f>
        <v>0</v>
      </c>
      <c r="AI282" s="207">
        <f>IF(AC282="MSD",((V282*Alukset_fx!$B$25)*Alukset_Käynnit_Lask!W282*(Alukset_fx!$L$52)/1000),IF(AC282="HSD",((V282*Alukset_fx!$B$25)*Alukset_Käynnit_Lask!W282*(Alukset_fx!$L$55)/1000),0))</f>
        <v>0</v>
      </c>
      <c r="AJ282" s="207">
        <f>X282*W282*Alukset_fx!$K$61/1000</f>
        <v>0</v>
      </c>
      <c r="AK282">
        <v>0</v>
      </c>
      <c r="AL282" s="207">
        <f>IF(AG282="Käytetty",0,IF(AC282="MSD",((V282*Alukset_fx!$O$25)*Alukset_Käynnit_Lask!O282*(Alukset_fx!$L$52)/1000),IF(AC282="HSD",((V282*Alukset_fx!$O$25)*Alukset_Käynnit_Lask!O282*(Alukset_fx!$L$55)/1000),0)))</f>
        <v>0</v>
      </c>
      <c r="AM282" s="207">
        <f>IF(AG282="Käytetty",0,Y282*O282*Alukset_fx!$K$61/1000)</f>
        <v>0</v>
      </c>
      <c r="AN282" s="213">
        <f t="shared" si="62"/>
        <v>0</v>
      </c>
    </row>
    <row r="283" spans="1:40" x14ac:dyDescent="0.25">
      <c r="A283" s="203">
        <f>Alukset_Käynnit!A290</f>
        <v>0</v>
      </c>
      <c r="B283" s="203">
        <f>Alukset_Käynnit!B290</f>
        <v>0</v>
      </c>
      <c r="C283" s="262">
        <f>Alukset_Käynnit!C290</f>
        <v>0</v>
      </c>
      <c r="D283" s="266">
        <f>Alukset_Käynnit!D290</f>
        <v>0</v>
      </c>
      <c r="E283" s="262">
        <f>Alukset_Käynnit!E290</f>
        <v>0</v>
      </c>
      <c r="F283" s="262">
        <f>Alukset_Käynnit!F290</f>
        <v>0</v>
      </c>
      <c r="G283" s="262">
        <f>Alukset_Käynnit!G290</f>
        <v>0</v>
      </c>
      <c r="H283" s="262">
        <f>Alukset_Käynnit!H290</f>
        <v>0</v>
      </c>
      <c r="I283" s="262">
        <f>Alukset_Käynnit!I290</f>
        <v>0</v>
      </c>
      <c r="J283" s="262">
        <f>Alukset_Käynnit!J290</f>
        <v>0</v>
      </c>
      <c r="K283" s="262">
        <f>Alukset_Käynnit!K290</f>
        <v>0</v>
      </c>
      <c r="L283" s="205">
        <f>Alukset_Käynnit!L290</f>
        <v>0</v>
      </c>
      <c r="N283" s="273">
        <f t="shared" si="63"/>
        <v>0</v>
      </c>
      <c r="O283" s="274">
        <f t="shared" si="64"/>
        <v>0</v>
      </c>
      <c r="Q283" s="204">
        <f t="shared" si="53"/>
        <v>0</v>
      </c>
      <c r="R283" s="202">
        <f>IF(Q283="Other dry cargo",L283*Alukset_fx!$B$71,IF(OR(Q283="Dry bulk",Q283="Bulk carrier"),L283*Alukset_fx!$B$69,IF(Q283="Tugboat",L283*Alukset_fx!$B$76,IF(OR(Q283="Tanker",Q283="Gas tanker",Q283="Chemical tanker",Q283="Oil tanker"),L283*Alukset_fx!$B$68,IF(OR(Q283="RoRo",Q283="Vehicle carrier"),L283*Alukset_fx!$B$72,IF(Q283="RoPax",L283*Alukset_fx!$B$73,IF(Q283="Container ship",L283*Alukset_fx!$B$70,IF(Q283="Barge",0,L283*Alukset_fx!$B$75))))))))</f>
        <v>0</v>
      </c>
      <c r="S283" s="210">
        <f>IF(L283=0,IF(Q283="Other dry cargo",Alukset_fx!$H$73*(Alukset_Käynnit_Lask!K283^Alukset_fx!$I$73),IF(OR(Q283="Dry Bulk",Q283="Bulk carrier"),Alukset_fx!$H$71*(Alukset_Käynnit_Lask!K283^Alukset_fx!$I$71),IF(Q283="Tugboat",Alukset_fx!$H$78*(Alukset_Käynnit_Lask!K283^Alukset_fx!$I$78),IF(OR(Q283="Tanker",Q283="Gas tanker",Q283="Chemical tanker",Q283="Oil tanker"),Alukset_fx!$H$70*(Alukset_Käynnit_Lask!K283^Alukset_fx!$I$70),IF(Q283="Container ship",Alukset_fx!$H$72*(Alukset_Käynnit_Lask!K283^Alukset_fx!$I$72),IF(Q283="Barge",0,IF(Q283="RoPax",Alukset_fx!$H$75*(Alukset_Käynnit_Lask!K283^Alukset_fx!$I$75),IF(OR(Q283="RoRo",Q283="Vehicle carrier"),Alukset_fx!$H$74*(Alukset_Käynnit_Lask!K283^Alukset_fx!$I$74),Alukset_fx!$H$77*(Alukset_Käynnit_Lask!K283^Alukset_fx!$I$77))))))))),"-")</f>
        <v>0</v>
      </c>
      <c r="T283" s="208">
        <f>IF(R283=0,IF(Q283="Other dry cargo",S283*Alukset_fx!$B$71,IF(OR(Q283="Dry bulk",Q283="Bulk carrier"),S283*Alukset_fx!$B$69,IF(Q283="Tugboat",S283*Alukset_fx!$B$76,IF(OR(Q283="Tanker",Q283="Gas tanker",Q283="Chemical tanker",Q283="Oil tanker"),S283*Alukset_fx!$B$68,IF(OR(Q283="RoRo",Q283="Vehicle carrier"),S283*Alukset_fx!$B$72,IF(Q283="RoPax",S283*Alukset_fx!$B$73,IF(Q283="Container ship",S283*Alukset_fx!$B$70,S283*Alukset_fx!$B$75))))))),"-")</f>
        <v>0</v>
      </c>
      <c r="U283" s="208">
        <f t="shared" si="54"/>
        <v>0</v>
      </c>
      <c r="V283" s="208">
        <f t="shared" si="55"/>
        <v>0</v>
      </c>
      <c r="W283" s="202">
        <f>Alukset_Käynnit!N290</f>
        <v>0</v>
      </c>
      <c r="X283" s="211">
        <f>IF(Q283="Other dry cargo", Alukset_fx!$C$52, IF(OR(Q283="Dry bulk",Q283="Bulk carrier"),Alukset_fx!$C$35,IF(OR(Q283="Tanker",Q283="Gas tanker",Q283="Oil tanker"),Alukset_fx!$C$57,IF(Q283="Chemical tanker",Alukset_fx!$C$56,IF(OR(Q283="Tugboat",Q283="Barge"),0,IF(Q283="Other vessel",Alukset_fx!$C$54,IF(Q283="Container ship",Alukset_fx!$C$37,IF(OR(Q283="RoPax",Q283="RoRo",Q283="Vehicle carrier"),Alukset_fx!$C$55,0))))))))</f>
        <v>0</v>
      </c>
      <c r="Y283" s="211">
        <f>IF(Q283="Other dry cargo", Alukset_fx!$Q$52, IF(OR(Q283="Dry bulk",Q283="Bulk carrier"),Alukset_fx!$Q$35,IF(OR(Q283="Tanker",Q283="Gas tanker",Q283="Oil tanker"),Alukset_fx!$Q$57,IF(Q283="Chemical tanker",Alukset_fx!$Q$56,IF(OR(Q283="Tugboat",Q283="Barge"),0,IF(Q283="Other vessel",Alukset_fx!$Q$54,IF(Q283="Container ship",Alukset_fx!$Q$37,IF(OR(Q283="RoPax",Q283="RoRo",Q283="Vehicle carrier"),Alukset_fx!$Q$55,0))))))))</f>
        <v>0</v>
      </c>
      <c r="Z283" t="str">
        <f t="shared" si="56"/>
        <v>MDO/MGO</v>
      </c>
      <c r="AA283" t="str">
        <f t="shared" si="57"/>
        <v>MSD</v>
      </c>
      <c r="AB283" t="str">
        <f t="shared" si="58"/>
        <v>MDO/MGO</v>
      </c>
      <c r="AC283" t="str">
        <f t="shared" si="59"/>
        <v>MSD</v>
      </c>
      <c r="AD283" t="str">
        <f t="shared" si="60"/>
        <v>MDO/MGO</v>
      </c>
      <c r="AE283" t="str">
        <f t="shared" si="61"/>
        <v>ST</v>
      </c>
      <c r="AG283">
        <f>Alukset_Käynnit!O290</f>
        <v>0</v>
      </c>
      <c r="AH283" s="207">
        <f>IF(AA283="SSD",((U283*Alukset_fx!$B$24)*Alukset_Käynnit_Lask!W283*(Alukset_fx!$K$49)/1000),IF(AA283="MSD",((U283*Alukset_fx!$B$24)*Alukset_Käynnit_Lask!W283*(Alukset_fx!$K$52)/1000),IF(AA283="HSD",((U283*Alukset_fx!$B$24)*Alukset_Käynnit_Lask!W283*(Alukset_fx!$K$55)/1000),0)))</f>
        <v>0</v>
      </c>
      <c r="AI283" s="207">
        <f>IF(AC283="MSD",((V283*Alukset_fx!$B$25)*Alukset_Käynnit_Lask!W283*(Alukset_fx!$L$52)/1000),IF(AC283="HSD",((V283*Alukset_fx!$B$25)*Alukset_Käynnit_Lask!W283*(Alukset_fx!$L$55)/1000),0))</f>
        <v>0</v>
      </c>
      <c r="AJ283" s="207">
        <f>X283*W283*Alukset_fx!$K$61/1000</f>
        <v>0</v>
      </c>
      <c r="AK283">
        <v>0</v>
      </c>
      <c r="AL283" s="207">
        <f>IF(AG283="Käytetty",0,IF(AC283="MSD",((V283*Alukset_fx!$O$25)*Alukset_Käynnit_Lask!O283*(Alukset_fx!$L$52)/1000),IF(AC283="HSD",((V283*Alukset_fx!$O$25)*Alukset_Käynnit_Lask!O283*(Alukset_fx!$L$55)/1000),0)))</f>
        <v>0</v>
      </c>
      <c r="AM283" s="207">
        <f>IF(AG283="Käytetty",0,Y283*O283*Alukset_fx!$K$61/1000)</f>
        <v>0</v>
      </c>
      <c r="AN283" s="213">
        <f t="shared" si="62"/>
        <v>0</v>
      </c>
    </row>
    <row r="284" spans="1:40" x14ac:dyDescent="0.25">
      <c r="A284" s="203">
        <f>Alukset_Käynnit!A291</f>
        <v>0</v>
      </c>
      <c r="B284" s="203">
        <f>Alukset_Käynnit!B291</f>
        <v>0</v>
      </c>
      <c r="C284" s="262">
        <f>Alukset_Käynnit!C291</f>
        <v>0</v>
      </c>
      <c r="D284" s="266">
        <f>Alukset_Käynnit!D291</f>
        <v>0</v>
      </c>
      <c r="E284" s="262">
        <f>Alukset_Käynnit!E291</f>
        <v>0</v>
      </c>
      <c r="F284" s="262">
        <f>Alukset_Käynnit!F291</f>
        <v>0</v>
      </c>
      <c r="G284" s="262">
        <f>Alukset_Käynnit!G291</f>
        <v>0</v>
      </c>
      <c r="H284" s="262">
        <f>Alukset_Käynnit!H291</f>
        <v>0</v>
      </c>
      <c r="I284" s="262">
        <f>Alukset_Käynnit!I291</f>
        <v>0</v>
      </c>
      <c r="J284" s="262">
        <f>Alukset_Käynnit!J291</f>
        <v>0</v>
      </c>
      <c r="K284" s="262">
        <f>Alukset_Käynnit!K291</f>
        <v>0</v>
      </c>
      <c r="L284" s="205">
        <f>Alukset_Käynnit!L291</f>
        <v>0</v>
      </c>
      <c r="N284" s="273">
        <f t="shared" si="63"/>
        <v>0</v>
      </c>
      <c r="O284" s="274">
        <f t="shared" si="64"/>
        <v>0</v>
      </c>
      <c r="Q284" s="204">
        <f t="shared" si="53"/>
        <v>0</v>
      </c>
      <c r="R284" s="202">
        <f>IF(Q284="Other dry cargo",L284*Alukset_fx!$B$71,IF(OR(Q284="Dry bulk",Q284="Bulk carrier"),L284*Alukset_fx!$B$69,IF(Q284="Tugboat",L284*Alukset_fx!$B$76,IF(OR(Q284="Tanker",Q284="Gas tanker",Q284="Chemical tanker",Q284="Oil tanker"),L284*Alukset_fx!$B$68,IF(OR(Q284="RoRo",Q284="Vehicle carrier"),L284*Alukset_fx!$B$72,IF(Q284="RoPax",L284*Alukset_fx!$B$73,IF(Q284="Container ship",L284*Alukset_fx!$B$70,IF(Q284="Barge",0,L284*Alukset_fx!$B$75))))))))</f>
        <v>0</v>
      </c>
      <c r="S284" s="210">
        <f>IF(L284=0,IF(Q284="Other dry cargo",Alukset_fx!$H$73*(Alukset_Käynnit_Lask!K284^Alukset_fx!$I$73),IF(OR(Q284="Dry Bulk",Q284="Bulk carrier"),Alukset_fx!$H$71*(Alukset_Käynnit_Lask!K284^Alukset_fx!$I$71),IF(Q284="Tugboat",Alukset_fx!$H$78*(Alukset_Käynnit_Lask!K284^Alukset_fx!$I$78),IF(OR(Q284="Tanker",Q284="Gas tanker",Q284="Chemical tanker",Q284="Oil tanker"),Alukset_fx!$H$70*(Alukset_Käynnit_Lask!K284^Alukset_fx!$I$70),IF(Q284="Container ship",Alukset_fx!$H$72*(Alukset_Käynnit_Lask!K284^Alukset_fx!$I$72),IF(Q284="Barge",0,IF(Q284="RoPax",Alukset_fx!$H$75*(Alukset_Käynnit_Lask!K284^Alukset_fx!$I$75),IF(OR(Q284="RoRo",Q284="Vehicle carrier"),Alukset_fx!$H$74*(Alukset_Käynnit_Lask!K284^Alukset_fx!$I$74),Alukset_fx!$H$77*(Alukset_Käynnit_Lask!K284^Alukset_fx!$I$77))))))))),"-")</f>
        <v>0</v>
      </c>
      <c r="T284" s="208">
        <f>IF(R284=0,IF(Q284="Other dry cargo",S284*Alukset_fx!$B$71,IF(OR(Q284="Dry bulk",Q284="Bulk carrier"),S284*Alukset_fx!$B$69,IF(Q284="Tugboat",S284*Alukset_fx!$B$76,IF(OR(Q284="Tanker",Q284="Gas tanker",Q284="Chemical tanker",Q284="Oil tanker"),S284*Alukset_fx!$B$68,IF(OR(Q284="RoRo",Q284="Vehicle carrier"),S284*Alukset_fx!$B$72,IF(Q284="RoPax",S284*Alukset_fx!$B$73,IF(Q284="Container ship",S284*Alukset_fx!$B$70,S284*Alukset_fx!$B$75))))))),"-")</f>
        <v>0</v>
      </c>
      <c r="U284" s="208">
        <f t="shared" si="54"/>
        <v>0</v>
      </c>
      <c r="V284" s="208">
        <f t="shared" si="55"/>
        <v>0</v>
      </c>
      <c r="W284" s="202">
        <f>Alukset_Käynnit!N291</f>
        <v>0</v>
      </c>
      <c r="X284" s="211">
        <f>IF(Q284="Other dry cargo", Alukset_fx!$C$52, IF(OR(Q284="Dry bulk",Q284="Bulk carrier"),Alukset_fx!$C$35,IF(OR(Q284="Tanker",Q284="Gas tanker",Q284="Oil tanker"),Alukset_fx!$C$57,IF(Q284="Chemical tanker",Alukset_fx!$C$56,IF(OR(Q284="Tugboat",Q284="Barge"),0,IF(Q284="Other vessel",Alukset_fx!$C$54,IF(Q284="Container ship",Alukset_fx!$C$37,IF(OR(Q284="RoPax",Q284="RoRo",Q284="Vehicle carrier"),Alukset_fx!$C$55,0))))))))</f>
        <v>0</v>
      </c>
      <c r="Y284" s="211">
        <f>IF(Q284="Other dry cargo", Alukset_fx!$Q$52, IF(OR(Q284="Dry bulk",Q284="Bulk carrier"),Alukset_fx!$Q$35,IF(OR(Q284="Tanker",Q284="Gas tanker",Q284="Oil tanker"),Alukset_fx!$Q$57,IF(Q284="Chemical tanker",Alukset_fx!$Q$56,IF(OR(Q284="Tugboat",Q284="Barge"),0,IF(Q284="Other vessel",Alukset_fx!$Q$54,IF(Q284="Container ship",Alukset_fx!$Q$37,IF(OR(Q284="RoPax",Q284="RoRo",Q284="Vehicle carrier"),Alukset_fx!$Q$55,0))))))))</f>
        <v>0</v>
      </c>
      <c r="Z284" t="str">
        <f t="shared" si="56"/>
        <v>MDO/MGO</v>
      </c>
      <c r="AA284" t="str">
        <f t="shared" si="57"/>
        <v>MSD</v>
      </c>
      <c r="AB284" t="str">
        <f t="shared" si="58"/>
        <v>MDO/MGO</v>
      </c>
      <c r="AC284" t="str">
        <f t="shared" si="59"/>
        <v>MSD</v>
      </c>
      <c r="AD284" t="str">
        <f t="shared" si="60"/>
        <v>MDO/MGO</v>
      </c>
      <c r="AE284" t="str">
        <f t="shared" si="61"/>
        <v>ST</v>
      </c>
      <c r="AG284">
        <f>Alukset_Käynnit!O291</f>
        <v>0</v>
      </c>
      <c r="AH284" s="207">
        <f>IF(AA284="SSD",((U284*Alukset_fx!$B$24)*Alukset_Käynnit_Lask!W284*(Alukset_fx!$K$49)/1000),IF(AA284="MSD",((U284*Alukset_fx!$B$24)*Alukset_Käynnit_Lask!W284*(Alukset_fx!$K$52)/1000),IF(AA284="HSD",((U284*Alukset_fx!$B$24)*Alukset_Käynnit_Lask!W284*(Alukset_fx!$K$55)/1000),0)))</f>
        <v>0</v>
      </c>
      <c r="AI284" s="207">
        <f>IF(AC284="MSD",((V284*Alukset_fx!$B$25)*Alukset_Käynnit_Lask!W284*(Alukset_fx!$L$52)/1000),IF(AC284="HSD",((V284*Alukset_fx!$B$25)*Alukset_Käynnit_Lask!W284*(Alukset_fx!$L$55)/1000),0))</f>
        <v>0</v>
      </c>
      <c r="AJ284" s="207">
        <f>X284*W284*Alukset_fx!$K$61/1000</f>
        <v>0</v>
      </c>
      <c r="AK284">
        <v>0</v>
      </c>
      <c r="AL284" s="207">
        <f>IF(AG284="Käytetty",0,IF(AC284="MSD",((V284*Alukset_fx!$O$25)*Alukset_Käynnit_Lask!O284*(Alukset_fx!$L$52)/1000),IF(AC284="HSD",((V284*Alukset_fx!$O$25)*Alukset_Käynnit_Lask!O284*(Alukset_fx!$L$55)/1000),0)))</f>
        <v>0</v>
      </c>
      <c r="AM284" s="207">
        <f>IF(AG284="Käytetty",0,Y284*O284*Alukset_fx!$K$61/1000)</f>
        <v>0</v>
      </c>
      <c r="AN284" s="213">
        <f t="shared" si="62"/>
        <v>0</v>
      </c>
    </row>
    <row r="285" spans="1:40" x14ac:dyDescent="0.25">
      <c r="A285" s="203">
        <f>Alukset_Käynnit!A292</f>
        <v>0</v>
      </c>
      <c r="B285" s="203">
        <f>Alukset_Käynnit!B292</f>
        <v>0</v>
      </c>
      <c r="C285" s="262">
        <f>Alukset_Käynnit!C292</f>
        <v>0</v>
      </c>
      <c r="D285" s="266">
        <f>Alukset_Käynnit!D292</f>
        <v>0</v>
      </c>
      <c r="E285" s="262">
        <f>Alukset_Käynnit!E292</f>
        <v>0</v>
      </c>
      <c r="F285" s="262">
        <f>Alukset_Käynnit!F292</f>
        <v>0</v>
      </c>
      <c r="G285" s="262">
        <f>Alukset_Käynnit!G292</f>
        <v>0</v>
      </c>
      <c r="H285" s="262">
        <f>Alukset_Käynnit!H292</f>
        <v>0</v>
      </c>
      <c r="I285" s="262">
        <f>Alukset_Käynnit!I292</f>
        <v>0</v>
      </c>
      <c r="J285" s="262">
        <f>Alukset_Käynnit!J292</f>
        <v>0</v>
      </c>
      <c r="K285" s="262">
        <f>Alukset_Käynnit!K292</f>
        <v>0</v>
      </c>
      <c r="L285" s="205">
        <f>Alukset_Käynnit!L292</f>
        <v>0</v>
      </c>
      <c r="N285" s="273">
        <f t="shared" si="63"/>
        <v>0</v>
      </c>
      <c r="O285" s="274">
        <f t="shared" si="64"/>
        <v>0</v>
      </c>
      <c r="Q285" s="204">
        <f t="shared" si="53"/>
        <v>0</v>
      </c>
      <c r="R285" s="202">
        <f>IF(Q285="Other dry cargo",L285*Alukset_fx!$B$71,IF(OR(Q285="Dry bulk",Q285="Bulk carrier"),L285*Alukset_fx!$B$69,IF(Q285="Tugboat",L285*Alukset_fx!$B$76,IF(OR(Q285="Tanker",Q285="Gas tanker",Q285="Chemical tanker",Q285="Oil tanker"),L285*Alukset_fx!$B$68,IF(OR(Q285="RoRo",Q285="Vehicle carrier"),L285*Alukset_fx!$B$72,IF(Q285="RoPax",L285*Alukset_fx!$B$73,IF(Q285="Container ship",L285*Alukset_fx!$B$70,IF(Q285="Barge",0,L285*Alukset_fx!$B$75))))))))</f>
        <v>0</v>
      </c>
      <c r="S285" s="210">
        <f>IF(L285=0,IF(Q285="Other dry cargo",Alukset_fx!$H$73*(Alukset_Käynnit_Lask!K285^Alukset_fx!$I$73),IF(OR(Q285="Dry Bulk",Q285="Bulk carrier"),Alukset_fx!$H$71*(Alukset_Käynnit_Lask!K285^Alukset_fx!$I$71),IF(Q285="Tugboat",Alukset_fx!$H$78*(Alukset_Käynnit_Lask!K285^Alukset_fx!$I$78),IF(OR(Q285="Tanker",Q285="Gas tanker",Q285="Chemical tanker",Q285="Oil tanker"),Alukset_fx!$H$70*(Alukset_Käynnit_Lask!K285^Alukset_fx!$I$70),IF(Q285="Container ship",Alukset_fx!$H$72*(Alukset_Käynnit_Lask!K285^Alukset_fx!$I$72),IF(Q285="Barge",0,IF(Q285="RoPax",Alukset_fx!$H$75*(Alukset_Käynnit_Lask!K285^Alukset_fx!$I$75),IF(OR(Q285="RoRo",Q285="Vehicle carrier"),Alukset_fx!$H$74*(Alukset_Käynnit_Lask!K285^Alukset_fx!$I$74),Alukset_fx!$H$77*(Alukset_Käynnit_Lask!K285^Alukset_fx!$I$77))))))))),"-")</f>
        <v>0</v>
      </c>
      <c r="T285" s="208">
        <f>IF(R285=0,IF(Q285="Other dry cargo",S285*Alukset_fx!$B$71,IF(OR(Q285="Dry bulk",Q285="Bulk carrier"),S285*Alukset_fx!$B$69,IF(Q285="Tugboat",S285*Alukset_fx!$B$76,IF(OR(Q285="Tanker",Q285="Gas tanker",Q285="Chemical tanker",Q285="Oil tanker"),S285*Alukset_fx!$B$68,IF(OR(Q285="RoRo",Q285="Vehicle carrier"),S285*Alukset_fx!$B$72,IF(Q285="RoPax",S285*Alukset_fx!$B$73,IF(Q285="Container ship",S285*Alukset_fx!$B$70,S285*Alukset_fx!$B$75))))))),"-")</f>
        <v>0</v>
      </c>
      <c r="U285" s="208">
        <f t="shared" si="54"/>
        <v>0</v>
      </c>
      <c r="V285" s="208">
        <f t="shared" si="55"/>
        <v>0</v>
      </c>
      <c r="W285" s="202">
        <f>Alukset_Käynnit!N292</f>
        <v>0</v>
      </c>
      <c r="X285" s="211">
        <f>IF(Q285="Other dry cargo", Alukset_fx!$C$52, IF(OR(Q285="Dry bulk",Q285="Bulk carrier"),Alukset_fx!$C$35,IF(OR(Q285="Tanker",Q285="Gas tanker",Q285="Oil tanker"),Alukset_fx!$C$57,IF(Q285="Chemical tanker",Alukset_fx!$C$56,IF(OR(Q285="Tugboat",Q285="Barge"),0,IF(Q285="Other vessel",Alukset_fx!$C$54,IF(Q285="Container ship",Alukset_fx!$C$37,IF(OR(Q285="RoPax",Q285="RoRo",Q285="Vehicle carrier"),Alukset_fx!$C$55,0))))))))</f>
        <v>0</v>
      </c>
      <c r="Y285" s="211">
        <f>IF(Q285="Other dry cargo", Alukset_fx!$Q$52, IF(OR(Q285="Dry bulk",Q285="Bulk carrier"),Alukset_fx!$Q$35,IF(OR(Q285="Tanker",Q285="Gas tanker",Q285="Oil tanker"),Alukset_fx!$Q$57,IF(Q285="Chemical tanker",Alukset_fx!$Q$56,IF(OR(Q285="Tugboat",Q285="Barge"),0,IF(Q285="Other vessel",Alukset_fx!$Q$54,IF(Q285="Container ship",Alukset_fx!$Q$37,IF(OR(Q285="RoPax",Q285="RoRo",Q285="Vehicle carrier"),Alukset_fx!$Q$55,0))))))))</f>
        <v>0</v>
      </c>
      <c r="Z285" t="str">
        <f t="shared" si="56"/>
        <v>MDO/MGO</v>
      </c>
      <c r="AA285" t="str">
        <f t="shared" si="57"/>
        <v>MSD</v>
      </c>
      <c r="AB285" t="str">
        <f t="shared" si="58"/>
        <v>MDO/MGO</v>
      </c>
      <c r="AC285" t="str">
        <f t="shared" si="59"/>
        <v>MSD</v>
      </c>
      <c r="AD285" t="str">
        <f t="shared" si="60"/>
        <v>MDO/MGO</v>
      </c>
      <c r="AE285" t="str">
        <f t="shared" si="61"/>
        <v>ST</v>
      </c>
      <c r="AG285">
        <f>Alukset_Käynnit!O292</f>
        <v>0</v>
      </c>
      <c r="AH285" s="207">
        <f>IF(AA285="SSD",((U285*Alukset_fx!$B$24)*Alukset_Käynnit_Lask!W285*(Alukset_fx!$K$49)/1000),IF(AA285="MSD",((U285*Alukset_fx!$B$24)*Alukset_Käynnit_Lask!W285*(Alukset_fx!$K$52)/1000),IF(AA285="HSD",((U285*Alukset_fx!$B$24)*Alukset_Käynnit_Lask!W285*(Alukset_fx!$K$55)/1000),0)))</f>
        <v>0</v>
      </c>
      <c r="AI285" s="207">
        <f>IF(AC285="MSD",((V285*Alukset_fx!$B$25)*Alukset_Käynnit_Lask!W285*(Alukset_fx!$L$52)/1000),IF(AC285="HSD",((V285*Alukset_fx!$B$25)*Alukset_Käynnit_Lask!W285*(Alukset_fx!$L$55)/1000),0))</f>
        <v>0</v>
      </c>
      <c r="AJ285" s="207">
        <f>X285*W285*Alukset_fx!$K$61/1000</f>
        <v>0</v>
      </c>
      <c r="AK285">
        <v>0</v>
      </c>
      <c r="AL285" s="207">
        <f>IF(AG285="Käytetty",0,IF(AC285="MSD",((V285*Alukset_fx!$O$25)*Alukset_Käynnit_Lask!O285*(Alukset_fx!$L$52)/1000),IF(AC285="HSD",((V285*Alukset_fx!$O$25)*Alukset_Käynnit_Lask!O285*(Alukset_fx!$L$55)/1000),0)))</f>
        <v>0</v>
      </c>
      <c r="AM285" s="207">
        <f>IF(AG285="Käytetty",0,Y285*O285*Alukset_fx!$K$61/1000)</f>
        <v>0</v>
      </c>
      <c r="AN285" s="213">
        <f t="shared" si="62"/>
        <v>0</v>
      </c>
    </row>
    <row r="286" spans="1:40" x14ac:dyDescent="0.25">
      <c r="A286" s="203">
        <f>Alukset_Käynnit!A293</f>
        <v>0</v>
      </c>
      <c r="B286" s="203">
        <f>Alukset_Käynnit!B293</f>
        <v>0</v>
      </c>
      <c r="C286" s="262">
        <f>Alukset_Käynnit!C293</f>
        <v>0</v>
      </c>
      <c r="D286" s="266">
        <f>Alukset_Käynnit!D293</f>
        <v>0</v>
      </c>
      <c r="E286" s="262">
        <f>Alukset_Käynnit!E293</f>
        <v>0</v>
      </c>
      <c r="F286" s="262">
        <f>Alukset_Käynnit!F293</f>
        <v>0</v>
      </c>
      <c r="G286" s="262">
        <f>Alukset_Käynnit!G293</f>
        <v>0</v>
      </c>
      <c r="H286" s="262">
        <f>Alukset_Käynnit!H293</f>
        <v>0</v>
      </c>
      <c r="I286" s="262">
        <f>Alukset_Käynnit!I293</f>
        <v>0</v>
      </c>
      <c r="J286" s="262">
        <f>Alukset_Käynnit!J293</f>
        <v>0</v>
      </c>
      <c r="K286" s="262">
        <f>Alukset_Käynnit!K293</f>
        <v>0</v>
      </c>
      <c r="L286" s="205">
        <f>Alukset_Käynnit!L293</f>
        <v>0</v>
      </c>
      <c r="N286" s="273">
        <f t="shared" si="63"/>
        <v>0</v>
      </c>
      <c r="O286" s="274">
        <f t="shared" si="64"/>
        <v>0</v>
      </c>
      <c r="Q286" s="204">
        <f t="shared" si="53"/>
        <v>0</v>
      </c>
      <c r="R286" s="202">
        <f>IF(Q286="Other dry cargo",L286*Alukset_fx!$B$71,IF(OR(Q286="Dry bulk",Q286="Bulk carrier"),L286*Alukset_fx!$B$69,IF(Q286="Tugboat",L286*Alukset_fx!$B$76,IF(OR(Q286="Tanker",Q286="Gas tanker",Q286="Chemical tanker",Q286="Oil tanker"),L286*Alukset_fx!$B$68,IF(OR(Q286="RoRo",Q286="Vehicle carrier"),L286*Alukset_fx!$B$72,IF(Q286="RoPax",L286*Alukset_fx!$B$73,IF(Q286="Container ship",L286*Alukset_fx!$B$70,IF(Q286="Barge",0,L286*Alukset_fx!$B$75))))))))</f>
        <v>0</v>
      </c>
      <c r="S286" s="210">
        <f>IF(L286=0,IF(Q286="Other dry cargo",Alukset_fx!$H$73*(Alukset_Käynnit_Lask!K286^Alukset_fx!$I$73),IF(OR(Q286="Dry Bulk",Q286="Bulk carrier"),Alukset_fx!$H$71*(Alukset_Käynnit_Lask!K286^Alukset_fx!$I$71),IF(Q286="Tugboat",Alukset_fx!$H$78*(Alukset_Käynnit_Lask!K286^Alukset_fx!$I$78),IF(OR(Q286="Tanker",Q286="Gas tanker",Q286="Chemical tanker",Q286="Oil tanker"),Alukset_fx!$H$70*(Alukset_Käynnit_Lask!K286^Alukset_fx!$I$70),IF(Q286="Container ship",Alukset_fx!$H$72*(Alukset_Käynnit_Lask!K286^Alukset_fx!$I$72),IF(Q286="Barge",0,IF(Q286="RoPax",Alukset_fx!$H$75*(Alukset_Käynnit_Lask!K286^Alukset_fx!$I$75),IF(OR(Q286="RoRo",Q286="Vehicle carrier"),Alukset_fx!$H$74*(Alukset_Käynnit_Lask!K286^Alukset_fx!$I$74),Alukset_fx!$H$77*(Alukset_Käynnit_Lask!K286^Alukset_fx!$I$77))))))))),"-")</f>
        <v>0</v>
      </c>
      <c r="T286" s="208">
        <f>IF(R286=0,IF(Q286="Other dry cargo",S286*Alukset_fx!$B$71,IF(OR(Q286="Dry bulk",Q286="Bulk carrier"),S286*Alukset_fx!$B$69,IF(Q286="Tugboat",S286*Alukset_fx!$B$76,IF(OR(Q286="Tanker",Q286="Gas tanker",Q286="Chemical tanker",Q286="Oil tanker"),S286*Alukset_fx!$B$68,IF(OR(Q286="RoRo",Q286="Vehicle carrier"),S286*Alukset_fx!$B$72,IF(Q286="RoPax",S286*Alukset_fx!$B$73,IF(Q286="Container ship",S286*Alukset_fx!$B$70,S286*Alukset_fx!$B$75))))))),"-")</f>
        <v>0</v>
      </c>
      <c r="U286" s="208">
        <f t="shared" si="54"/>
        <v>0</v>
      </c>
      <c r="V286" s="208">
        <f t="shared" si="55"/>
        <v>0</v>
      </c>
      <c r="W286" s="202">
        <f>Alukset_Käynnit!N293</f>
        <v>0</v>
      </c>
      <c r="X286" s="211">
        <f>IF(Q286="Other dry cargo", Alukset_fx!$C$52, IF(OR(Q286="Dry bulk",Q286="Bulk carrier"),Alukset_fx!$C$35,IF(OR(Q286="Tanker",Q286="Gas tanker",Q286="Oil tanker"),Alukset_fx!$C$57,IF(Q286="Chemical tanker",Alukset_fx!$C$56,IF(OR(Q286="Tugboat",Q286="Barge"),0,IF(Q286="Other vessel",Alukset_fx!$C$54,IF(Q286="Container ship",Alukset_fx!$C$37,IF(OR(Q286="RoPax",Q286="RoRo",Q286="Vehicle carrier"),Alukset_fx!$C$55,0))))))))</f>
        <v>0</v>
      </c>
      <c r="Y286" s="211">
        <f>IF(Q286="Other dry cargo", Alukset_fx!$Q$52, IF(OR(Q286="Dry bulk",Q286="Bulk carrier"),Alukset_fx!$Q$35,IF(OR(Q286="Tanker",Q286="Gas tanker",Q286="Oil tanker"),Alukset_fx!$Q$57,IF(Q286="Chemical tanker",Alukset_fx!$Q$56,IF(OR(Q286="Tugboat",Q286="Barge"),0,IF(Q286="Other vessel",Alukset_fx!$Q$54,IF(Q286="Container ship",Alukset_fx!$Q$37,IF(OR(Q286="RoPax",Q286="RoRo",Q286="Vehicle carrier"),Alukset_fx!$Q$55,0))))))))</f>
        <v>0</v>
      </c>
      <c r="Z286" t="str">
        <f t="shared" si="56"/>
        <v>MDO/MGO</v>
      </c>
      <c r="AA286" t="str">
        <f t="shared" si="57"/>
        <v>MSD</v>
      </c>
      <c r="AB286" t="str">
        <f t="shared" si="58"/>
        <v>MDO/MGO</v>
      </c>
      <c r="AC286" t="str">
        <f t="shared" si="59"/>
        <v>MSD</v>
      </c>
      <c r="AD286" t="str">
        <f t="shared" si="60"/>
        <v>MDO/MGO</v>
      </c>
      <c r="AE286" t="str">
        <f t="shared" si="61"/>
        <v>ST</v>
      </c>
      <c r="AG286">
        <f>Alukset_Käynnit!O293</f>
        <v>0</v>
      </c>
      <c r="AH286" s="207">
        <f>IF(AA286="SSD",((U286*Alukset_fx!$B$24)*Alukset_Käynnit_Lask!W286*(Alukset_fx!$K$49)/1000),IF(AA286="MSD",((U286*Alukset_fx!$B$24)*Alukset_Käynnit_Lask!W286*(Alukset_fx!$K$52)/1000),IF(AA286="HSD",((U286*Alukset_fx!$B$24)*Alukset_Käynnit_Lask!W286*(Alukset_fx!$K$55)/1000),0)))</f>
        <v>0</v>
      </c>
      <c r="AI286" s="207">
        <f>IF(AC286="MSD",((V286*Alukset_fx!$B$25)*Alukset_Käynnit_Lask!W286*(Alukset_fx!$L$52)/1000),IF(AC286="HSD",((V286*Alukset_fx!$B$25)*Alukset_Käynnit_Lask!W286*(Alukset_fx!$L$55)/1000),0))</f>
        <v>0</v>
      </c>
      <c r="AJ286" s="207">
        <f>X286*W286*Alukset_fx!$K$61/1000</f>
        <v>0</v>
      </c>
      <c r="AK286">
        <v>0</v>
      </c>
      <c r="AL286" s="207">
        <f>IF(AG286="Käytetty",0,IF(AC286="MSD",((V286*Alukset_fx!$O$25)*Alukset_Käynnit_Lask!O286*(Alukset_fx!$L$52)/1000),IF(AC286="HSD",((V286*Alukset_fx!$O$25)*Alukset_Käynnit_Lask!O286*(Alukset_fx!$L$55)/1000),0)))</f>
        <v>0</v>
      </c>
      <c r="AM286" s="207">
        <f>IF(AG286="Käytetty",0,Y286*O286*Alukset_fx!$K$61/1000)</f>
        <v>0</v>
      </c>
      <c r="AN286" s="213">
        <f t="shared" si="62"/>
        <v>0</v>
      </c>
    </row>
    <row r="287" spans="1:40" x14ac:dyDescent="0.25">
      <c r="A287" s="203">
        <f>Alukset_Käynnit!A294</f>
        <v>0</v>
      </c>
      <c r="B287" s="203">
        <f>Alukset_Käynnit!B294</f>
        <v>0</v>
      </c>
      <c r="C287" s="262">
        <f>Alukset_Käynnit!C294</f>
        <v>0</v>
      </c>
      <c r="D287" s="266">
        <f>Alukset_Käynnit!D294</f>
        <v>0</v>
      </c>
      <c r="E287" s="262">
        <f>Alukset_Käynnit!E294</f>
        <v>0</v>
      </c>
      <c r="F287" s="262">
        <f>Alukset_Käynnit!F294</f>
        <v>0</v>
      </c>
      <c r="G287" s="262">
        <f>Alukset_Käynnit!G294</f>
        <v>0</v>
      </c>
      <c r="H287" s="262">
        <f>Alukset_Käynnit!H294</f>
        <v>0</v>
      </c>
      <c r="I287" s="262">
        <f>Alukset_Käynnit!I294</f>
        <v>0</v>
      </c>
      <c r="J287" s="262">
        <f>Alukset_Käynnit!J294</f>
        <v>0</v>
      </c>
      <c r="K287" s="262">
        <f>Alukset_Käynnit!K294</f>
        <v>0</v>
      </c>
      <c r="L287" s="205">
        <f>Alukset_Käynnit!L294</f>
        <v>0</v>
      </c>
      <c r="N287" s="273">
        <f t="shared" si="63"/>
        <v>0</v>
      </c>
      <c r="O287" s="274">
        <f t="shared" si="64"/>
        <v>0</v>
      </c>
      <c r="Q287" s="204">
        <f t="shared" si="53"/>
        <v>0</v>
      </c>
      <c r="R287" s="202">
        <f>IF(Q287="Other dry cargo",L287*Alukset_fx!$B$71,IF(OR(Q287="Dry bulk",Q287="Bulk carrier"),L287*Alukset_fx!$B$69,IF(Q287="Tugboat",L287*Alukset_fx!$B$76,IF(OR(Q287="Tanker",Q287="Gas tanker",Q287="Chemical tanker",Q287="Oil tanker"),L287*Alukset_fx!$B$68,IF(OR(Q287="RoRo",Q287="Vehicle carrier"),L287*Alukset_fx!$B$72,IF(Q287="RoPax",L287*Alukset_fx!$B$73,IF(Q287="Container ship",L287*Alukset_fx!$B$70,IF(Q287="Barge",0,L287*Alukset_fx!$B$75))))))))</f>
        <v>0</v>
      </c>
      <c r="S287" s="210">
        <f>IF(L287=0,IF(Q287="Other dry cargo",Alukset_fx!$H$73*(Alukset_Käynnit_Lask!K287^Alukset_fx!$I$73),IF(OR(Q287="Dry Bulk",Q287="Bulk carrier"),Alukset_fx!$H$71*(Alukset_Käynnit_Lask!K287^Alukset_fx!$I$71),IF(Q287="Tugboat",Alukset_fx!$H$78*(Alukset_Käynnit_Lask!K287^Alukset_fx!$I$78),IF(OR(Q287="Tanker",Q287="Gas tanker",Q287="Chemical tanker",Q287="Oil tanker"),Alukset_fx!$H$70*(Alukset_Käynnit_Lask!K287^Alukset_fx!$I$70),IF(Q287="Container ship",Alukset_fx!$H$72*(Alukset_Käynnit_Lask!K287^Alukset_fx!$I$72),IF(Q287="Barge",0,IF(Q287="RoPax",Alukset_fx!$H$75*(Alukset_Käynnit_Lask!K287^Alukset_fx!$I$75),IF(OR(Q287="RoRo",Q287="Vehicle carrier"),Alukset_fx!$H$74*(Alukset_Käynnit_Lask!K287^Alukset_fx!$I$74),Alukset_fx!$H$77*(Alukset_Käynnit_Lask!K287^Alukset_fx!$I$77))))))))),"-")</f>
        <v>0</v>
      </c>
      <c r="T287" s="208">
        <f>IF(R287=0,IF(Q287="Other dry cargo",S287*Alukset_fx!$B$71,IF(OR(Q287="Dry bulk",Q287="Bulk carrier"),S287*Alukset_fx!$B$69,IF(Q287="Tugboat",S287*Alukset_fx!$B$76,IF(OR(Q287="Tanker",Q287="Gas tanker",Q287="Chemical tanker",Q287="Oil tanker"),S287*Alukset_fx!$B$68,IF(OR(Q287="RoRo",Q287="Vehicle carrier"),S287*Alukset_fx!$B$72,IF(Q287="RoPax",S287*Alukset_fx!$B$73,IF(Q287="Container ship",S287*Alukset_fx!$B$70,S287*Alukset_fx!$B$75))))))),"-")</f>
        <v>0</v>
      </c>
      <c r="U287" s="208">
        <f t="shared" si="54"/>
        <v>0</v>
      </c>
      <c r="V287" s="208">
        <f t="shared" si="55"/>
        <v>0</v>
      </c>
      <c r="W287" s="202">
        <f>Alukset_Käynnit!N294</f>
        <v>0</v>
      </c>
      <c r="X287" s="211">
        <f>IF(Q287="Other dry cargo", Alukset_fx!$C$52, IF(OR(Q287="Dry bulk",Q287="Bulk carrier"),Alukset_fx!$C$35,IF(OR(Q287="Tanker",Q287="Gas tanker",Q287="Oil tanker"),Alukset_fx!$C$57,IF(Q287="Chemical tanker",Alukset_fx!$C$56,IF(OR(Q287="Tugboat",Q287="Barge"),0,IF(Q287="Other vessel",Alukset_fx!$C$54,IF(Q287="Container ship",Alukset_fx!$C$37,IF(OR(Q287="RoPax",Q287="RoRo",Q287="Vehicle carrier"),Alukset_fx!$C$55,0))))))))</f>
        <v>0</v>
      </c>
      <c r="Y287" s="211">
        <f>IF(Q287="Other dry cargo", Alukset_fx!$Q$52, IF(OR(Q287="Dry bulk",Q287="Bulk carrier"),Alukset_fx!$Q$35,IF(OR(Q287="Tanker",Q287="Gas tanker",Q287="Oil tanker"),Alukset_fx!$Q$57,IF(Q287="Chemical tanker",Alukset_fx!$Q$56,IF(OR(Q287="Tugboat",Q287="Barge"),0,IF(Q287="Other vessel",Alukset_fx!$Q$54,IF(Q287="Container ship",Alukset_fx!$Q$37,IF(OR(Q287="RoPax",Q287="RoRo",Q287="Vehicle carrier"),Alukset_fx!$Q$55,0))))))))</f>
        <v>0</v>
      </c>
      <c r="Z287" t="str">
        <f t="shared" si="56"/>
        <v>MDO/MGO</v>
      </c>
      <c r="AA287" t="str">
        <f t="shared" si="57"/>
        <v>MSD</v>
      </c>
      <c r="AB287" t="str">
        <f t="shared" si="58"/>
        <v>MDO/MGO</v>
      </c>
      <c r="AC287" t="str">
        <f t="shared" si="59"/>
        <v>MSD</v>
      </c>
      <c r="AD287" t="str">
        <f t="shared" si="60"/>
        <v>MDO/MGO</v>
      </c>
      <c r="AE287" t="str">
        <f t="shared" si="61"/>
        <v>ST</v>
      </c>
      <c r="AG287">
        <f>Alukset_Käynnit!O294</f>
        <v>0</v>
      </c>
      <c r="AH287" s="207">
        <f>IF(AA287="SSD",((U287*Alukset_fx!$B$24)*Alukset_Käynnit_Lask!W287*(Alukset_fx!$K$49)/1000),IF(AA287="MSD",((U287*Alukset_fx!$B$24)*Alukset_Käynnit_Lask!W287*(Alukset_fx!$K$52)/1000),IF(AA287="HSD",((U287*Alukset_fx!$B$24)*Alukset_Käynnit_Lask!W287*(Alukset_fx!$K$55)/1000),0)))</f>
        <v>0</v>
      </c>
      <c r="AI287" s="207">
        <f>IF(AC287="MSD",((V287*Alukset_fx!$B$25)*Alukset_Käynnit_Lask!W287*(Alukset_fx!$L$52)/1000),IF(AC287="HSD",((V287*Alukset_fx!$B$25)*Alukset_Käynnit_Lask!W287*(Alukset_fx!$L$55)/1000),0))</f>
        <v>0</v>
      </c>
      <c r="AJ287" s="207">
        <f>X287*W287*Alukset_fx!$K$61/1000</f>
        <v>0</v>
      </c>
      <c r="AK287">
        <v>0</v>
      </c>
      <c r="AL287" s="207">
        <f>IF(AG287="Käytetty",0,IF(AC287="MSD",((V287*Alukset_fx!$O$25)*Alukset_Käynnit_Lask!O287*(Alukset_fx!$L$52)/1000),IF(AC287="HSD",((V287*Alukset_fx!$O$25)*Alukset_Käynnit_Lask!O287*(Alukset_fx!$L$55)/1000),0)))</f>
        <v>0</v>
      </c>
      <c r="AM287" s="207">
        <f>IF(AG287="Käytetty",0,Y287*O287*Alukset_fx!$K$61/1000)</f>
        <v>0</v>
      </c>
      <c r="AN287" s="213">
        <f t="shared" si="62"/>
        <v>0</v>
      </c>
    </row>
    <row r="288" spans="1:40" x14ac:dyDescent="0.25">
      <c r="A288" s="203">
        <f>Alukset_Käynnit!A295</f>
        <v>0</v>
      </c>
      <c r="B288" s="203">
        <f>Alukset_Käynnit!B295</f>
        <v>0</v>
      </c>
      <c r="C288" s="262">
        <f>Alukset_Käynnit!C295</f>
        <v>0</v>
      </c>
      <c r="D288" s="266">
        <f>Alukset_Käynnit!D295</f>
        <v>0</v>
      </c>
      <c r="E288" s="262">
        <f>Alukset_Käynnit!E295</f>
        <v>0</v>
      </c>
      <c r="F288" s="262">
        <f>Alukset_Käynnit!F295</f>
        <v>0</v>
      </c>
      <c r="G288" s="262">
        <f>Alukset_Käynnit!G295</f>
        <v>0</v>
      </c>
      <c r="H288" s="262">
        <f>Alukset_Käynnit!H295</f>
        <v>0</v>
      </c>
      <c r="I288" s="262">
        <f>Alukset_Käynnit!I295</f>
        <v>0</v>
      </c>
      <c r="J288" s="262">
        <f>Alukset_Käynnit!J295</f>
        <v>0</v>
      </c>
      <c r="K288" s="262">
        <f>Alukset_Käynnit!K295</f>
        <v>0</v>
      </c>
      <c r="L288" s="205">
        <f>Alukset_Käynnit!L295</f>
        <v>0</v>
      </c>
      <c r="N288" s="273">
        <f t="shared" si="63"/>
        <v>0</v>
      </c>
      <c r="O288" s="274">
        <f t="shared" si="64"/>
        <v>0</v>
      </c>
      <c r="Q288" s="204">
        <f t="shared" si="53"/>
        <v>0</v>
      </c>
      <c r="R288" s="202">
        <f>IF(Q288="Other dry cargo",L288*Alukset_fx!$B$71,IF(OR(Q288="Dry bulk",Q288="Bulk carrier"),L288*Alukset_fx!$B$69,IF(Q288="Tugboat",L288*Alukset_fx!$B$76,IF(OR(Q288="Tanker",Q288="Gas tanker",Q288="Chemical tanker",Q288="Oil tanker"),L288*Alukset_fx!$B$68,IF(OR(Q288="RoRo",Q288="Vehicle carrier"),L288*Alukset_fx!$B$72,IF(Q288="RoPax",L288*Alukset_fx!$B$73,IF(Q288="Container ship",L288*Alukset_fx!$B$70,IF(Q288="Barge",0,L288*Alukset_fx!$B$75))))))))</f>
        <v>0</v>
      </c>
      <c r="S288" s="210">
        <f>IF(L288=0,IF(Q288="Other dry cargo",Alukset_fx!$H$73*(Alukset_Käynnit_Lask!K288^Alukset_fx!$I$73),IF(OR(Q288="Dry Bulk",Q288="Bulk carrier"),Alukset_fx!$H$71*(Alukset_Käynnit_Lask!K288^Alukset_fx!$I$71),IF(Q288="Tugboat",Alukset_fx!$H$78*(Alukset_Käynnit_Lask!K288^Alukset_fx!$I$78),IF(OR(Q288="Tanker",Q288="Gas tanker",Q288="Chemical tanker",Q288="Oil tanker"),Alukset_fx!$H$70*(Alukset_Käynnit_Lask!K288^Alukset_fx!$I$70),IF(Q288="Container ship",Alukset_fx!$H$72*(Alukset_Käynnit_Lask!K288^Alukset_fx!$I$72),IF(Q288="Barge",0,IF(Q288="RoPax",Alukset_fx!$H$75*(Alukset_Käynnit_Lask!K288^Alukset_fx!$I$75),IF(OR(Q288="RoRo",Q288="Vehicle carrier"),Alukset_fx!$H$74*(Alukset_Käynnit_Lask!K288^Alukset_fx!$I$74),Alukset_fx!$H$77*(Alukset_Käynnit_Lask!K288^Alukset_fx!$I$77))))))))),"-")</f>
        <v>0</v>
      </c>
      <c r="T288" s="208">
        <f>IF(R288=0,IF(Q288="Other dry cargo",S288*Alukset_fx!$B$71,IF(OR(Q288="Dry bulk",Q288="Bulk carrier"),S288*Alukset_fx!$B$69,IF(Q288="Tugboat",S288*Alukset_fx!$B$76,IF(OR(Q288="Tanker",Q288="Gas tanker",Q288="Chemical tanker",Q288="Oil tanker"),S288*Alukset_fx!$B$68,IF(OR(Q288="RoRo",Q288="Vehicle carrier"),S288*Alukset_fx!$B$72,IF(Q288="RoPax",S288*Alukset_fx!$B$73,IF(Q288="Container ship",S288*Alukset_fx!$B$70,S288*Alukset_fx!$B$75))))))),"-")</f>
        <v>0</v>
      </c>
      <c r="U288" s="208">
        <f t="shared" si="54"/>
        <v>0</v>
      </c>
      <c r="V288" s="208">
        <f t="shared" si="55"/>
        <v>0</v>
      </c>
      <c r="W288" s="202">
        <f>Alukset_Käynnit!N295</f>
        <v>0</v>
      </c>
      <c r="X288" s="211">
        <f>IF(Q288="Other dry cargo", Alukset_fx!$C$52, IF(OR(Q288="Dry bulk",Q288="Bulk carrier"),Alukset_fx!$C$35,IF(OR(Q288="Tanker",Q288="Gas tanker",Q288="Oil tanker"),Alukset_fx!$C$57,IF(Q288="Chemical tanker",Alukset_fx!$C$56,IF(OR(Q288="Tugboat",Q288="Barge"),0,IF(Q288="Other vessel",Alukset_fx!$C$54,IF(Q288="Container ship",Alukset_fx!$C$37,IF(OR(Q288="RoPax",Q288="RoRo",Q288="Vehicle carrier"),Alukset_fx!$C$55,0))))))))</f>
        <v>0</v>
      </c>
      <c r="Y288" s="211">
        <f>IF(Q288="Other dry cargo", Alukset_fx!$Q$52, IF(OR(Q288="Dry bulk",Q288="Bulk carrier"),Alukset_fx!$Q$35,IF(OR(Q288="Tanker",Q288="Gas tanker",Q288="Oil tanker"),Alukset_fx!$Q$57,IF(Q288="Chemical tanker",Alukset_fx!$Q$56,IF(OR(Q288="Tugboat",Q288="Barge"),0,IF(Q288="Other vessel",Alukset_fx!$Q$54,IF(Q288="Container ship",Alukset_fx!$Q$37,IF(OR(Q288="RoPax",Q288="RoRo",Q288="Vehicle carrier"),Alukset_fx!$Q$55,0))))))))</f>
        <v>0</v>
      </c>
      <c r="Z288" t="str">
        <f t="shared" si="56"/>
        <v>MDO/MGO</v>
      </c>
      <c r="AA288" t="str">
        <f t="shared" si="57"/>
        <v>MSD</v>
      </c>
      <c r="AB288" t="str">
        <f t="shared" si="58"/>
        <v>MDO/MGO</v>
      </c>
      <c r="AC288" t="str">
        <f t="shared" si="59"/>
        <v>MSD</v>
      </c>
      <c r="AD288" t="str">
        <f t="shared" si="60"/>
        <v>MDO/MGO</v>
      </c>
      <c r="AE288" t="str">
        <f t="shared" si="61"/>
        <v>ST</v>
      </c>
      <c r="AG288">
        <f>Alukset_Käynnit!O295</f>
        <v>0</v>
      </c>
      <c r="AH288" s="207">
        <f>IF(AA288="SSD",((U288*Alukset_fx!$B$24)*Alukset_Käynnit_Lask!W288*(Alukset_fx!$K$49)/1000),IF(AA288="MSD",((U288*Alukset_fx!$B$24)*Alukset_Käynnit_Lask!W288*(Alukset_fx!$K$52)/1000),IF(AA288="HSD",((U288*Alukset_fx!$B$24)*Alukset_Käynnit_Lask!W288*(Alukset_fx!$K$55)/1000),0)))</f>
        <v>0</v>
      </c>
      <c r="AI288" s="207">
        <f>IF(AC288="MSD",((V288*Alukset_fx!$B$25)*Alukset_Käynnit_Lask!W288*(Alukset_fx!$L$52)/1000),IF(AC288="HSD",((V288*Alukset_fx!$B$25)*Alukset_Käynnit_Lask!W288*(Alukset_fx!$L$55)/1000),0))</f>
        <v>0</v>
      </c>
      <c r="AJ288" s="207">
        <f>X288*W288*Alukset_fx!$K$61/1000</f>
        <v>0</v>
      </c>
      <c r="AK288">
        <v>0</v>
      </c>
      <c r="AL288" s="207">
        <f>IF(AG288="Käytetty",0,IF(AC288="MSD",((V288*Alukset_fx!$O$25)*Alukset_Käynnit_Lask!O288*(Alukset_fx!$L$52)/1000),IF(AC288="HSD",((V288*Alukset_fx!$O$25)*Alukset_Käynnit_Lask!O288*(Alukset_fx!$L$55)/1000),0)))</f>
        <v>0</v>
      </c>
      <c r="AM288" s="207">
        <f>IF(AG288="Käytetty",0,Y288*O288*Alukset_fx!$K$61/1000)</f>
        <v>0</v>
      </c>
      <c r="AN288" s="213">
        <f t="shared" si="62"/>
        <v>0</v>
      </c>
    </row>
    <row r="289" spans="1:40" x14ac:dyDescent="0.25">
      <c r="A289" s="203">
        <f>Alukset_Käynnit!A296</f>
        <v>0</v>
      </c>
      <c r="B289" s="203">
        <f>Alukset_Käynnit!B296</f>
        <v>0</v>
      </c>
      <c r="C289" s="262">
        <f>Alukset_Käynnit!C296</f>
        <v>0</v>
      </c>
      <c r="D289" s="266">
        <f>Alukset_Käynnit!D296</f>
        <v>0</v>
      </c>
      <c r="E289" s="262">
        <f>Alukset_Käynnit!E296</f>
        <v>0</v>
      </c>
      <c r="F289" s="262">
        <f>Alukset_Käynnit!F296</f>
        <v>0</v>
      </c>
      <c r="G289" s="262">
        <f>Alukset_Käynnit!G296</f>
        <v>0</v>
      </c>
      <c r="H289" s="262">
        <f>Alukset_Käynnit!H296</f>
        <v>0</v>
      </c>
      <c r="I289" s="262">
        <f>Alukset_Käynnit!I296</f>
        <v>0</v>
      </c>
      <c r="J289" s="262">
        <f>Alukset_Käynnit!J296</f>
        <v>0</v>
      </c>
      <c r="K289" s="262">
        <f>Alukset_Käynnit!K296</f>
        <v>0</v>
      </c>
      <c r="L289" s="205">
        <f>Alukset_Käynnit!L296</f>
        <v>0</v>
      </c>
      <c r="N289" s="273">
        <f t="shared" si="63"/>
        <v>0</v>
      </c>
      <c r="O289" s="274">
        <f t="shared" si="64"/>
        <v>0</v>
      </c>
      <c r="Q289" s="204">
        <f t="shared" si="53"/>
        <v>0</v>
      </c>
      <c r="R289" s="202">
        <f>IF(Q289="Other dry cargo",L289*Alukset_fx!$B$71,IF(OR(Q289="Dry bulk",Q289="Bulk carrier"),L289*Alukset_fx!$B$69,IF(Q289="Tugboat",L289*Alukset_fx!$B$76,IF(OR(Q289="Tanker",Q289="Gas tanker",Q289="Chemical tanker",Q289="Oil tanker"),L289*Alukset_fx!$B$68,IF(OR(Q289="RoRo",Q289="Vehicle carrier"),L289*Alukset_fx!$B$72,IF(Q289="RoPax",L289*Alukset_fx!$B$73,IF(Q289="Container ship",L289*Alukset_fx!$B$70,IF(Q289="Barge",0,L289*Alukset_fx!$B$75))))))))</f>
        <v>0</v>
      </c>
      <c r="S289" s="210">
        <f>IF(L289=0,IF(Q289="Other dry cargo",Alukset_fx!$H$73*(Alukset_Käynnit_Lask!K289^Alukset_fx!$I$73),IF(OR(Q289="Dry Bulk",Q289="Bulk carrier"),Alukset_fx!$H$71*(Alukset_Käynnit_Lask!K289^Alukset_fx!$I$71),IF(Q289="Tugboat",Alukset_fx!$H$78*(Alukset_Käynnit_Lask!K289^Alukset_fx!$I$78),IF(OR(Q289="Tanker",Q289="Gas tanker",Q289="Chemical tanker",Q289="Oil tanker"),Alukset_fx!$H$70*(Alukset_Käynnit_Lask!K289^Alukset_fx!$I$70),IF(Q289="Container ship",Alukset_fx!$H$72*(Alukset_Käynnit_Lask!K289^Alukset_fx!$I$72),IF(Q289="Barge",0,IF(Q289="RoPax",Alukset_fx!$H$75*(Alukset_Käynnit_Lask!K289^Alukset_fx!$I$75),IF(OR(Q289="RoRo",Q289="Vehicle carrier"),Alukset_fx!$H$74*(Alukset_Käynnit_Lask!K289^Alukset_fx!$I$74),Alukset_fx!$H$77*(Alukset_Käynnit_Lask!K289^Alukset_fx!$I$77))))))))),"-")</f>
        <v>0</v>
      </c>
      <c r="T289" s="208">
        <f>IF(R289=0,IF(Q289="Other dry cargo",S289*Alukset_fx!$B$71,IF(OR(Q289="Dry bulk",Q289="Bulk carrier"),S289*Alukset_fx!$B$69,IF(Q289="Tugboat",S289*Alukset_fx!$B$76,IF(OR(Q289="Tanker",Q289="Gas tanker",Q289="Chemical tanker",Q289="Oil tanker"),S289*Alukset_fx!$B$68,IF(OR(Q289="RoRo",Q289="Vehicle carrier"),S289*Alukset_fx!$B$72,IF(Q289="RoPax",S289*Alukset_fx!$B$73,IF(Q289="Container ship",S289*Alukset_fx!$B$70,S289*Alukset_fx!$B$75))))))),"-")</f>
        <v>0</v>
      </c>
      <c r="U289" s="208">
        <f t="shared" si="54"/>
        <v>0</v>
      </c>
      <c r="V289" s="208">
        <f t="shared" si="55"/>
        <v>0</v>
      </c>
      <c r="W289" s="202">
        <f>Alukset_Käynnit!N296</f>
        <v>0</v>
      </c>
      <c r="X289" s="211">
        <f>IF(Q289="Other dry cargo", Alukset_fx!$C$52, IF(OR(Q289="Dry bulk",Q289="Bulk carrier"),Alukset_fx!$C$35,IF(OR(Q289="Tanker",Q289="Gas tanker",Q289="Oil tanker"),Alukset_fx!$C$57,IF(Q289="Chemical tanker",Alukset_fx!$C$56,IF(OR(Q289="Tugboat",Q289="Barge"),0,IF(Q289="Other vessel",Alukset_fx!$C$54,IF(Q289="Container ship",Alukset_fx!$C$37,IF(OR(Q289="RoPax",Q289="RoRo",Q289="Vehicle carrier"),Alukset_fx!$C$55,0))))))))</f>
        <v>0</v>
      </c>
      <c r="Y289" s="211">
        <f>IF(Q289="Other dry cargo", Alukset_fx!$Q$52, IF(OR(Q289="Dry bulk",Q289="Bulk carrier"),Alukset_fx!$Q$35,IF(OR(Q289="Tanker",Q289="Gas tanker",Q289="Oil tanker"),Alukset_fx!$Q$57,IF(Q289="Chemical tanker",Alukset_fx!$Q$56,IF(OR(Q289="Tugboat",Q289="Barge"),0,IF(Q289="Other vessel",Alukset_fx!$Q$54,IF(Q289="Container ship",Alukset_fx!$Q$37,IF(OR(Q289="RoPax",Q289="RoRo",Q289="Vehicle carrier"),Alukset_fx!$Q$55,0))))))))</f>
        <v>0</v>
      </c>
      <c r="Z289" t="str">
        <f t="shared" si="56"/>
        <v>MDO/MGO</v>
      </c>
      <c r="AA289" t="str">
        <f t="shared" si="57"/>
        <v>MSD</v>
      </c>
      <c r="AB289" t="str">
        <f t="shared" si="58"/>
        <v>MDO/MGO</v>
      </c>
      <c r="AC289" t="str">
        <f t="shared" si="59"/>
        <v>MSD</v>
      </c>
      <c r="AD289" t="str">
        <f t="shared" si="60"/>
        <v>MDO/MGO</v>
      </c>
      <c r="AE289" t="str">
        <f t="shared" si="61"/>
        <v>ST</v>
      </c>
      <c r="AG289">
        <f>Alukset_Käynnit!O296</f>
        <v>0</v>
      </c>
      <c r="AH289" s="207">
        <f>IF(AA289="SSD",((U289*Alukset_fx!$B$24)*Alukset_Käynnit_Lask!W289*(Alukset_fx!$K$49)/1000),IF(AA289="MSD",((U289*Alukset_fx!$B$24)*Alukset_Käynnit_Lask!W289*(Alukset_fx!$K$52)/1000),IF(AA289="HSD",((U289*Alukset_fx!$B$24)*Alukset_Käynnit_Lask!W289*(Alukset_fx!$K$55)/1000),0)))</f>
        <v>0</v>
      </c>
      <c r="AI289" s="207">
        <f>IF(AC289="MSD",((V289*Alukset_fx!$B$25)*Alukset_Käynnit_Lask!W289*(Alukset_fx!$L$52)/1000),IF(AC289="HSD",((V289*Alukset_fx!$B$25)*Alukset_Käynnit_Lask!W289*(Alukset_fx!$L$55)/1000),0))</f>
        <v>0</v>
      </c>
      <c r="AJ289" s="207">
        <f>X289*W289*Alukset_fx!$K$61/1000</f>
        <v>0</v>
      </c>
      <c r="AK289">
        <v>0</v>
      </c>
      <c r="AL289" s="207">
        <f>IF(AG289="Käytetty",0,IF(AC289="MSD",((V289*Alukset_fx!$O$25)*Alukset_Käynnit_Lask!O289*(Alukset_fx!$L$52)/1000),IF(AC289="HSD",((V289*Alukset_fx!$O$25)*Alukset_Käynnit_Lask!O289*(Alukset_fx!$L$55)/1000),0)))</f>
        <v>0</v>
      </c>
      <c r="AM289" s="207">
        <f>IF(AG289="Käytetty",0,Y289*O289*Alukset_fx!$K$61/1000)</f>
        <v>0</v>
      </c>
      <c r="AN289" s="213">
        <f t="shared" si="62"/>
        <v>0</v>
      </c>
    </row>
    <row r="290" spans="1:40" x14ac:dyDescent="0.25">
      <c r="A290" s="203">
        <f>Alukset_Käynnit!A297</f>
        <v>0</v>
      </c>
      <c r="B290" s="203">
        <f>Alukset_Käynnit!B297</f>
        <v>0</v>
      </c>
      <c r="C290" s="262">
        <f>Alukset_Käynnit!C297</f>
        <v>0</v>
      </c>
      <c r="D290" s="266">
        <f>Alukset_Käynnit!D297</f>
        <v>0</v>
      </c>
      <c r="E290" s="262">
        <f>Alukset_Käynnit!E297</f>
        <v>0</v>
      </c>
      <c r="F290" s="262">
        <f>Alukset_Käynnit!F297</f>
        <v>0</v>
      </c>
      <c r="G290" s="262">
        <f>Alukset_Käynnit!G297</f>
        <v>0</v>
      </c>
      <c r="H290" s="262">
        <f>Alukset_Käynnit!H297</f>
        <v>0</v>
      </c>
      <c r="I290" s="262">
        <f>Alukset_Käynnit!I297</f>
        <v>0</v>
      </c>
      <c r="J290" s="262">
        <f>Alukset_Käynnit!J297</f>
        <v>0</v>
      </c>
      <c r="K290" s="262">
        <f>Alukset_Käynnit!K297</f>
        <v>0</v>
      </c>
      <c r="L290" s="205">
        <f>Alukset_Käynnit!L297</f>
        <v>0</v>
      </c>
      <c r="N290" s="273">
        <f t="shared" si="63"/>
        <v>0</v>
      </c>
      <c r="O290" s="274">
        <f t="shared" si="64"/>
        <v>0</v>
      </c>
      <c r="Q290" s="204">
        <f t="shared" si="53"/>
        <v>0</v>
      </c>
      <c r="R290" s="202">
        <f>IF(Q290="Other dry cargo",L290*Alukset_fx!$B$71,IF(OR(Q290="Dry bulk",Q290="Bulk carrier"),L290*Alukset_fx!$B$69,IF(Q290="Tugboat",L290*Alukset_fx!$B$76,IF(OR(Q290="Tanker",Q290="Gas tanker",Q290="Chemical tanker",Q290="Oil tanker"),L290*Alukset_fx!$B$68,IF(OR(Q290="RoRo",Q290="Vehicle carrier"),L290*Alukset_fx!$B$72,IF(Q290="RoPax",L290*Alukset_fx!$B$73,IF(Q290="Container ship",L290*Alukset_fx!$B$70,IF(Q290="Barge",0,L290*Alukset_fx!$B$75))))))))</f>
        <v>0</v>
      </c>
      <c r="S290" s="210">
        <f>IF(L290=0,IF(Q290="Other dry cargo",Alukset_fx!$H$73*(Alukset_Käynnit_Lask!K290^Alukset_fx!$I$73),IF(OR(Q290="Dry Bulk",Q290="Bulk carrier"),Alukset_fx!$H$71*(Alukset_Käynnit_Lask!K290^Alukset_fx!$I$71),IF(Q290="Tugboat",Alukset_fx!$H$78*(Alukset_Käynnit_Lask!K290^Alukset_fx!$I$78),IF(OR(Q290="Tanker",Q290="Gas tanker",Q290="Chemical tanker",Q290="Oil tanker"),Alukset_fx!$H$70*(Alukset_Käynnit_Lask!K290^Alukset_fx!$I$70),IF(Q290="Container ship",Alukset_fx!$H$72*(Alukset_Käynnit_Lask!K290^Alukset_fx!$I$72),IF(Q290="Barge",0,IF(Q290="RoPax",Alukset_fx!$H$75*(Alukset_Käynnit_Lask!K290^Alukset_fx!$I$75),IF(OR(Q290="RoRo",Q290="Vehicle carrier"),Alukset_fx!$H$74*(Alukset_Käynnit_Lask!K290^Alukset_fx!$I$74),Alukset_fx!$H$77*(Alukset_Käynnit_Lask!K290^Alukset_fx!$I$77))))))))),"-")</f>
        <v>0</v>
      </c>
      <c r="T290" s="208">
        <f>IF(R290=0,IF(Q290="Other dry cargo",S290*Alukset_fx!$B$71,IF(OR(Q290="Dry bulk",Q290="Bulk carrier"),S290*Alukset_fx!$B$69,IF(Q290="Tugboat",S290*Alukset_fx!$B$76,IF(OR(Q290="Tanker",Q290="Gas tanker",Q290="Chemical tanker",Q290="Oil tanker"),S290*Alukset_fx!$B$68,IF(OR(Q290="RoRo",Q290="Vehicle carrier"),S290*Alukset_fx!$B$72,IF(Q290="RoPax",S290*Alukset_fx!$B$73,IF(Q290="Container ship",S290*Alukset_fx!$B$70,S290*Alukset_fx!$B$75))))))),"-")</f>
        <v>0</v>
      </c>
      <c r="U290" s="208">
        <f t="shared" si="54"/>
        <v>0</v>
      </c>
      <c r="V290" s="208">
        <f t="shared" si="55"/>
        <v>0</v>
      </c>
      <c r="W290" s="202">
        <f>Alukset_Käynnit!N297</f>
        <v>0</v>
      </c>
      <c r="X290" s="211">
        <f>IF(Q290="Other dry cargo", Alukset_fx!$C$52, IF(OR(Q290="Dry bulk",Q290="Bulk carrier"),Alukset_fx!$C$35,IF(OR(Q290="Tanker",Q290="Gas tanker",Q290="Oil tanker"),Alukset_fx!$C$57,IF(Q290="Chemical tanker",Alukset_fx!$C$56,IF(OR(Q290="Tugboat",Q290="Barge"),0,IF(Q290="Other vessel",Alukset_fx!$C$54,IF(Q290="Container ship",Alukset_fx!$C$37,IF(OR(Q290="RoPax",Q290="RoRo",Q290="Vehicle carrier"),Alukset_fx!$C$55,0))))))))</f>
        <v>0</v>
      </c>
      <c r="Y290" s="211">
        <f>IF(Q290="Other dry cargo", Alukset_fx!$Q$52, IF(OR(Q290="Dry bulk",Q290="Bulk carrier"),Alukset_fx!$Q$35,IF(OR(Q290="Tanker",Q290="Gas tanker",Q290="Oil tanker"),Alukset_fx!$Q$57,IF(Q290="Chemical tanker",Alukset_fx!$Q$56,IF(OR(Q290="Tugboat",Q290="Barge"),0,IF(Q290="Other vessel",Alukset_fx!$Q$54,IF(Q290="Container ship",Alukset_fx!$Q$37,IF(OR(Q290="RoPax",Q290="RoRo",Q290="Vehicle carrier"),Alukset_fx!$Q$55,0))))))))</f>
        <v>0</v>
      </c>
      <c r="Z290" t="str">
        <f t="shared" si="56"/>
        <v>MDO/MGO</v>
      </c>
      <c r="AA290" t="str">
        <f t="shared" si="57"/>
        <v>MSD</v>
      </c>
      <c r="AB290" t="str">
        <f t="shared" si="58"/>
        <v>MDO/MGO</v>
      </c>
      <c r="AC290" t="str">
        <f t="shared" si="59"/>
        <v>MSD</v>
      </c>
      <c r="AD290" t="str">
        <f t="shared" si="60"/>
        <v>MDO/MGO</v>
      </c>
      <c r="AE290" t="str">
        <f t="shared" si="61"/>
        <v>ST</v>
      </c>
      <c r="AG290">
        <f>Alukset_Käynnit!O297</f>
        <v>0</v>
      </c>
      <c r="AH290" s="207">
        <f>IF(AA290="SSD",((U290*Alukset_fx!$B$24)*Alukset_Käynnit_Lask!W290*(Alukset_fx!$K$49)/1000),IF(AA290="MSD",((U290*Alukset_fx!$B$24)*Alukset_Käynnit_Lask!W290*(Alukset_fx!$K$52)/1000),IF(AA290="HSD",((U290*Alukset_fx!$B$24)*Alukset_Käynnit_Lask!W290*(Alukset_fx!$K$55)/1000),0)))</f>
        <v>0</v>
      </c>
      <c r="AI290" s="207">
        <f>IF(AC290="MSD",((V290*Alukset_fx!$B$25)*Alukset_Käynnit_Lask!W290*(Alukset_fx!$L$52)/1000),IF(AC290="HSD",((V290*Alukset_fx!$B$25)*Alukset_Käynnit_Lask!W290*(Alukset_fx!$L$55)/1000),0))</f>
        <v>0</v>
      </c>
      <c r="AJ290" s="207">
        <f>X290*W290*Alukset_fx!$K$61/1000</f>
        <v>0</v>
      </c>
      <c r="AK290">
        <v>0</v>
      </c>
      <c r="AL290" s="207">
        <f>IF(AG290="Käytetty",0,IF(AC290="MSD",((V290*Alukset_fx!$O$25)*Alukset_Käynnit_Lask!O290*(Alukset_fx!$L$52)/1000),IF(AC290="HSD",((V290*Alukset_fx!$O$25)*Alukset_Käynnit_Lask!O290*(Alukset_fx!$L$55)/1000),0)))</f>
        <v>0</v>
      </c>
      <c r="AM290" s="207">
        <f>IF(AG290="Käytetty",0,Y290*O290*Alukset_fx!$K$61/1000)</f>
        <v>0</v>
      </c>
      <c r="AN290" s="213">
        <f t="shared" si="62"/>
        <v>0</v>
      </c>
    </row>
    <row r="291" spans="1:40" x14ac:dyDescent="0.25">
      <c r="A291" s="203">
        <f>Alukset_Käynnit!A298</f>
        <v>0</v>
      </c>
      <c r="B291" s="203">
        <f>Alukset_Käynnit!B298</f>
        <v>0</v>
      </c>
      <c r="C291" s="262">
        <f>Alukset_Käynnit!C298</f>
        <v>0</v>
      </c>
      <c r="D291" s="266">
        <f>Alukset_Käynnit!D298</f>
        <v>0</v>
      </c>
      <c r="E291" s="262">
        <f>Alukset_Käynnit!E298</f>
        <v>0</v>
      </c>
      <c r="F291" s="262">
        <f>Alukset_Käynnit!F298</f>
        <v>0</v>
      </c>
      <c r="G291" s="262">
        <f>Alukset_Käynnit!G298</f>
        <v>0</v>
      </c>
      <c r="H291" s="262">
        <f>Alukset_Käynnit!H298</f>
        <v>0</v>
      </c>
      <c r="I291" s="262">
        <f>Alukset_Käynnit!I298</f>
        <v>0</v>
      </c>
      <c r="J291" s="262">
        <f>Alukset_Käynnit!J298</f>
        <v>0</v>
      </c>
      <c r="K291" s="262">
        <f>Alukset_Käynnit!K298</f>
        <v>0</v>
      </c>
      <c r="L291" s="205">
        <f>Alukset_Käynnit!L298</f>
        <v>0</v>
      </c>
      <c r="N291" s="273">
        <f t="shared" si="63"/>
        <v>0</v>
      </c>
      <c r="O291" s="274">
        <f t="shared" si="64"/>
        <v>0</v>
      </c>
      <c r="Q291" s="204">
        <f t="shared" si="53"/>
        <v>0</v>
      </c>
      <c r="R291" s="202">
        <f>IF(Q291="Other dry cargo",L291*Alukset_fx!$B$71,IF(OR(Q291="Dry bulk",Q291="Bulk carrier"),L291*Alukset_fx!$B$69,IF(Q291="Tugboat",L291*Alukset_fx!$B$76,IF(OR(Q291="Tanker",Q291="Gas tanker",Q291="Chemical tanker",Q291="Oil tanker"),L291*Alukset_fx!$B$68,IF(OR(Q291="RoRo",Q291="Vehicle carrier"),L291*Alukset_fx!$B$72,IF(Q291="RoPax",L291*Alukset_fx!$B$73,IF(Q291="Container ship",L291*Alukset_fx!$B$70,IF(Q291="Barge",0,L291*Alukset_fx!$B$75))))))))</f>
        <v>0</v>
      </c>
      <c r="S291" s="210">
        <f>IF(L291=0,IF(Q291="Other dry cargo",Alukset_fx!$H$73*(Alukset_Käynnit_Lask!K291^Alukset_fx!$I$73),IF(OR(Q291="Dry Bulk",Q291="Bulk carrier"),Alukset_fx!$H$71*(Alukset_Käynnit_Lask!K291^Alukset_fx!$I$71),IF(Q291="Tugboat",Alukset_fx!$H$78*(Alukset_Käynnit_Lask!K291^Alukset_fx!$I$78),IF(OR(Q291="Tanker",Q291="Gas tanker",Q291="Chemical tanker",Q291="Oil tanker"),Alukset_fx!$H$70*(Alukset_Käynnit_Lask!K291^Alukset_fx!$I$70),IF(Q291="Container ship",Alukset_fx!$H$72*(Alukset_Käynnit_Lask!K291^Alukset_fx!$I$72),IF(Q291="Barge",0,IF(Q291="RoPax",Alukset_fx!$H$75*(Alukset_Käynnit_Lask!K291^Alukset_fx!$I$75),IF(OR(Q291="RoRo",Q291="Vehicle carrier"),Alukset_fx!$H$74*(Alukset_Käynnit_Lask!K291^Alukset_fx!$I$74),Alukset_fx!$H$77*(Alukset_Käynnit_Lask!K291^Alukset_fx!$I$77))))))))),"-")</f>
        <v>0</v>
      </c>
      <c r="T291" s="208">
        <f>IF(R291=0,IF(Q291="Other dry cargo",S291*Alukset_fx!$B$71,IF(OR(Q291="Dry bulk",Q291="Bulk carrier"),S291*Alukset_fx!$B$69,IF(Q291="Tugboat",S291*Alukset_fx!$B$76,IF(OR(Q291="Tanker",Q291="Gas tanker",Q291="Chemical tanker",Q291="Oil tanker"),S291*Alukset_fx!$B$68,IF(OR(Q291="RoRo",Q291="Vehicle carrier"),S291*Alukset_fx!$B$72,IF(Q291="RoPax",S291*Alukset_fx!$B$73,IF(Q291="Container ship",S291*Alukset_fx!$B$70,S291*Alukset_fx!$B$75))))))),"-")</f>
        <v>0</v>
      </c>
      <c r="U291" s="208">
        <f t="shared" si="54"/>
        <v>0</v>
      </c>
      <c r="V291" s="208">
        <f t="shared" si="55"/>
        <v>0</v>
      </c>
      <c r="W291" s="202">
        <f>Alukset_Käynnit!N298</f>
        <v>0</v>
      </c>
      <c r="X291" s="211">
        <f>IF(Q291="Other dry cargo", Alukset_fx!$C$52, IF(OR(Q291="Dry bulk",Q291="Bulk carrier"),Alukset_fx!$C$35,IF(OR(Q291="Tanker",Q291="Gas tanker",Q291="Oil tanker"),Alukset_fx!$C$57,IF(Q291="Chemical tanker",Alukset_fx!$C$56,IF(OR(Q291="Tugboat",Q291="Barge"),0,IF(Q291="Other vessel",Alukset_fx!$C$54,IF(Q291="Container ship",Alukset_fx!$C$37,IF(OR(Q291="RoPax",Q291="RoRo",Q291="Vehicle carrier"),Alukset_fx!$C$55,0))))))))</f>
        <v>0</v>
      </c>
      <c r="Y291" s="211">
        <f>IF(Q291="Other dry cargo", Alukset_fx!$Q$52, IF(OR(Q291="Dry bulk",Q291="Bulk carrier"),Alukset_fx!$Q$35,IF(OR(Q291="Tanker",Q291="Gas tanker",Q291="Oil tanker"),Alukset_fx!$Q$57,IF(Q291="Chemical tanker",Alukset_fx!$Q$56,IF(OR(Q291="Tugboat",Q291="Barge"),0,IF(Q291="Other vessel",Alukset_fx!$Q$54,IF(Q291="Container ship",Alukset_fx!$Q$37,IF(OR(Q291="RoPax",Q291="RoRo",Q291="Vehicle carrier"),Alukset_fx!$Q$55,0))))))))</f>
        <v>0</v>
      </c>
      <c r="Z291" t="str">
        <f t="shared" si="56"/>
        <v>MDO/MGO</v>
      </c>
      <c r="AA291" t="str">
        <f t="shared" si="57"/>
        <v>MSD</v>
      </c>
      <c r="AB291" t="str">
        <f t="shared" si="58"/>
        <v>MDO/MGO</v>
      </c>
      <c r="AC291" t="str">
        <f t="shared" si="59"/>
        <v>MSD</v>
      </c>
      <c r="AD291" t="str">
        <f t="shared" si="60"/>
        <v>MDO/MGO</v>
      </c>
      <c r="AE291" t="str">
        <f t="shared" si="61"/>
        <v>ST</v>
      </c>
      <c r="AG291">
        <f>Alukset_Käynnit!O298</f>
        <v>0</v>
      </c>
      <c r="AH291" s="207">
        <f>IF(AA291="SSD",((U291*Alukset_fx!$B$24)*Alukset_Käynnit_Lask!W291*(Alukset_fx!$K$49)/1000),IF(AA291="MSD",((U291*Alukset_fx!$B$24)*Alukset_Käynnit_Lask!W291*(Alukset_fx!$K$52)/1000),IF(AA291="HSD",((U291*Alukset_fx!$B$24)*Alukset_Käynnit_Lask!W291*(Alukset_fx!$K$55)/1000),0)))</f>
        <v>0</v>
      </c>
      <c r="AI291" s="207">
        <f>IF(AC291="MSD",((V291*Alukset_fx!$B$25)*Alukset_Käynnit_Lask!W291*(Alukset_fx!$L$52)/1000),IF(AC291="HSD",((V291*Alukset_fx!$B$25)*Alukset_Käynnit_Lask!W291*(Alukset_fx!$L$55)/1000),0))</f>
        <v>0</v>
      </c>
      <c r="AJ291" s="207">
        <f>X291*W291*Alukset_fx!$K$61/1000</f>
        <v>0</v>
      </c>
      <c r="AK291">
        <v>0</v>
      </c>
      <c r="AL291" s="207">
        <f>IF(AG291="Käytetty",0,IF(AC291="MSD",((V291*Alukset_fx!$O$25)*Alukset_Käynnit_Lask!O291*(Alukset_fx!$L$52)/1000),IF(AC291="HSD",((V291*Alukset_fx!$O$25)*Alukset_Käynnit_Lask!O291*(Alukset_fx!$L$55)/1000),0)))</f>
        <v>0</v>
      </c>
      <c r="AM291" s="207">
        <f>IF(AG291="Käytetty",0,Y291*O291*Alukset_fx!$K$61/1000)</f>
        <v>0</v>
      </c>
      <c r="AN291" s="213">
        <f t="shared" si="62"/>
        <v>0</v>
      </c>
    </row>
    <row r="292" spans="1:40" x14ac:dyDescent="0.25">
      <c r="A292" s="203">
        <f>Alukset_Käynnit!A299</f>
        <v>0</v>
      </c>
      <c r="B292" s="203">
        <f>Alukset_Käynnit!B299</f>
        <v>0</v>
      </c>
      <c r="C292" s="262">
        <f>Alukset_Käynnit!C299</f>
        <v>0</v>
      </c>
      <c r="D292" s="266">
        <f>Alukset_Käynnit!D299</f>
        <v>0</v>
      </c>
      <c r="E292" s="262">
        <f>Alukset_Käynnit!E299</f>
        <v>0</v>
      </c>
      <c r="F292" s="262">
        <f>Alukset_Käynnit!F299</f>
        <v>0</v>
      </c>
      <c r="G292" s="262">
        <f>Alukset_Käynnit!G299</f>
        <v>0</v>
      </c>
      <c r="H292" s="262">
        <f>Alukset_Käynnit!H299</f>
        <v>0</v>
      </c>
      <c r="I292" s="262">
        <f>Alukset_Käynnit!I299</f>
        <v>0</v>
      </c>
      <c r="J292" s="262">
        <f>Alukset_Käynnit!J299</f>
        <v>0</v>
      </c>
      <c r="K292" s="262">
        <f>Alukset_Käynnit!K299</f>
        <v>0</v>
      </c>
      <c r="L292" s="205">
        <f>Alukset_Käynnit!L299</f>
        <v>0</v>
      </c>
      <c r="N292" s="273">
        <f t="shared" si="63"/>
        <v>0</v>
      </c>
      <c r="O292" s="274">
        <f t="shared" si="64"/>
        <v>0</v>
      </c>
      <c r="Q292" s="204">
        <f t="shared" si="53"/>
        <v>0</v>
      </c>
      <c r="R292" s="202">
        <f>IF(Q292="Other dry cargo",L292*Alukset_fx!$B$71,IF(OR(Q292="Dry bulk",Q292="Bulk carrier"),L292*Alukset_fx!$B$69,IF(Q292="Tugboat",L292*Alukset_fx!$B$76,IF(OR(Q292="Tanker",Q292="Gas tanker",Q292="Chemical tanker",Q292="Oil tanker"),L292*Alukset_fx!$B$68,IF(OR(Q292="RoRo",Q292="Vehicle carrier"),L292*Alukset_fx!$B$72,IF(Q292="RoPax",L292*Alukset_fx!$B$73,IF(Q292="Container ship",L292*Alukset_fx!$B$70,IF(Q292="Barge",0,L292*Alukset_fx!$B$75))))))))</f>
        <v>0</v>
      </c>
      <c r="S292" s="210">
        <f>IF(L292=0,IF(Q292="Other dry cargo",Alukset_fx!$H$73*(Alukset_Käynnit_Lask!K292^Alukset_fx!$I$73),IF(OR(Q292="Dry Bulk",Q292="Bulk carrier"),Alukset_fx!$H$71*(Alukset_Käynnit_Lask!K292^Alukset_fx!$I$71),IF(Q292="Tugboat",Alukset_fx!$H$78*(Alukset_Käynnit_Lask!K292^Alukset_fx!$I$78),IF(OR(Q292="Tanker",Q292="Gas tanker",Q292="Chemical tanker",Q292="Oil tanker"),Alukset_fx!$H$70*(Alukset_Käynnit_Lask!K292^Alukset_fx!$I$70),IF(Q292="Container ship",Alukset_fx!$H$72*(Alukset_Käynnit_Lask!K292^Alukset_fx!$I$72),IF(Q292="Barge",0,IF(Q292="RoPax",Alukset_fx!$H$75*(Alukset_Käynnit_Lask!K292^Alukset_fx!$I$75),IF(OR(Q292="RoRo",Q292="Vehicle carrier"),Alukset_fx!$H$74*(Alukset_Käynnit_Lask!K292^Alukset_fx!$I$74),Alukset_fx!$H$77*(Alukset_Käynnit_Lask!K292^Alukset_fx!$I$77))))))))),"-")</f>
        <v>0</v>
      </c>
      <c r="T292" s="208">
        <f>IF(R292=0,IF(Q292="Other dry cargo",S292*Alukset_fx!$B$71,IF(OR(Q292="Dry bulk",Q292="Bulk carrier"),S292*Alukset_fx!$B$69,IF(Q292="Tugboat",S292*Alukset_fx!$B$76,IF(OR(Q292="Tanker",Q292="Gas tanker",Q292="Chemical tanker",Q292="Oil tanker"),S292*Alukset_fx!$B$68,IF(OR(Q292="RoRo",Q292="Vehicle carrier"),S292*Alukset_fx!$B$72,IF(Q292="RoPax",S292*Alukset_fx!$B$73,IF(Q292="Container ship",S292*Alukset_fx!$B$70,S292*Alukset_fx!$B$75))))))),"-")</f>
        <v>0</v>
      </c>
      <c r="U292" s="208">
        <f t="shared" si="54"/>
        <v>0</v>
      </c>
      <c r="V292" s="208">
        <f t="shared" si="55"/>
        <v>0</v>
      </c>
      <c r="W292" s="202">
        <f>Alukset_Käynnit!N299</f>
        <v>0</v>
      </c>
      <c r="X292" s="211">
        <f>IF(Q292="Other dry cargo", Alukset_fx!$C$52, IF(OR(Q292="Dry bulk",Q292="Bulk carrier"),Alukset_fx!$C$35,IF(OR(Q292="Tanker",Q292="Gas tanker",Q292="Oil tanker"),Alukset_fx!$C$57,IF(Q292="Chemical tanker",Alukset_fx!$C$56,IF(OR(Q292="Tugboat",Q292="Barge"),0,IF(Q292="Other vessel",Alukset_fx!$C$54,IF(Q292="Container ship",Alukset_fx!$C$37,IF(OR(Q292="RoPax",Q292="RoRo",Q292="Vehicle carrier"),Alukset_fx!$C$55,0))))))))</f>
        <v>0</v>
      </c>
      <c r="Y292" s="211">
        <f>IF(Q292="Other dry cargo", Alukset_fx!$Q$52, IF(OR(Q292="Dry bulk",Q292="Bulk carrier"),Alukset_fx!$Q$35,IF(OR(Q292="Tanker",Q292="Gas tanker",Q292="Oil tanker"),Alukset_fx!$Q$57,IF(Q292="Chemical tanker",Alukset_fx!$Q$56,IF(OR(Q292="Tugboat",Q292="Barge"),0,IF(Q292="Other vessel",Alukset_fx!$Q$54,IF(Q292="Container ship",Alukset_fx!$Q$37,IF(OR(Q292="RoPax",Q292="RoRo",Q292="Vehicle carrier"),Alukset_fx!$Q$55,0))))))))</f>
        <v>0</v>
      </c>
      <c r="Z292" t="str">
        <f t="shared" si="56"/>
        <v>MDO/MGO</v>
      </c>
      <c r="AA292" t="str">
        <f t="shared" si="57"/>
        <v>MSD</v>
      </c>
      <c r="AB292" t="str">
        <f t="shared" si="58"/>
        <v>MDO/MGO</v>
      </c>
      <c r="AC292" t="str">
        <f t="shared" si="59"/>
        <v>MSD</v>
      </c>
      <c r="AD292" t="str">
        <f t="shared" si="60"/>
        <v>MDO/MGO</v>
      </c>
      <c r="AE292" t="str">
        <f t="shared" si="61"/>
        <v>ST</v>
      </c>
      <c r="AG292">
        <f>Alukset_Käynnit!O299</f>
        <v>0</v>
      </c>
      <c r="AH292" s="207">
        <f>IF(AA292="SSD",((U292*Alukset_fx!$B$24)*Alukset_Käynnit_Lask!W292*(Alukset_fx!$K$49)/1000),IF(AA292="MSD",((U292*Alukset_fx!$B$24)*Alukset_Käynnit_Lask!W292*(Alukset_fx!$K$52)/1000),IF(AA292="HSD",((U292*Alukset_fx!$B$24)*Alukset_Käynnit_Lask!W292*(Alukset_fx!$K$55)/1000),0)))</f>
        <v>0</v>
      </c>
      <c r="AI292" s="207">
        <f>IF(AC292="MSD",((V292*Alukset_fx!$B$25)*Alukset_Käynnit_Lask!W292*(Alukset_fx!$L$52)/1000),IF(AC292="HSD",((V292*Alukset_fx!$B$25)*Alukset_Käynnit_Lask!W292*(Alukset_fx!$L$55)/1000),0))</f>
        <v>0</v>
      </c>
      <c r="AJ292" s="207">
        <f>X292*W292*Alukset_fx!$K$61/1000</f>
        <v>0</v>
      </c>
      <c r="AK292">
        <v>0</v>
      </c>
      <c r="AL292" s="207">
        <f>IF(AG292="Käytetty",0,IF(AC292="MSD",((V292*Alukset_fx!$O$25)*Alukset_Käynnit_Lask!O292*(Alukset_fx!$L$52)/1000),IF(AC292="HSD",((V292*Alukset_fx!$O$25)*Alukset_Käynnit_Lask!O292*(Alukset_fx!$L$55)/1000),0)))</f>
        <v>0</v>
      </c>
      <c r="AM292" s="207">
        <f>IF(AG292="Käytetty",0,Y292*O292*Alukset_fx!$K$61/1000)</f>
        <v>0</v>
      </c>
      <c r="AN292" s="213">
        <f t="shared" si="62"/>
        <v>0</v>
      </c>
    </row>
    <row r="293" spans="1:40" x14ac:dyDescent="0.25">
      <c r="A293" s="203">
        <f>Alukset_Käynnit!A300</f>
        <v>0</v>
      </c>
      <c r="B293" s="203">
        <f>Alukset_Käynnit!B300</f>
        <v>0</v>
      </c>
      <c r="C293" s="262">
        <f>Alukset_Käynnit!C300</f>
        <v>0</v>
      </c>
      <c r="D293" s="266">
        <f>Alukset_Käynnit!D300</f>
        <v>0</v>
      </c>
      <c r="E293" s="262">
        <f>Alukset_Käynnit!E300</f>
        <v>0</v>
      </c>
      <c r="F293" s="262">
        <f>Alukset_Käynnit!F300</f>
        <v>0</v>
      </c>
      <c r="G293" s="262">
        <f>Alukset_Käynnit!G300</f>
        <v>0</v>
      </c>
      <c r="H293" s="262">
        <f>Alukset_Käynnit!H300</f>
        <v>0</v>
      </c>
      <c r="I293" s="262">
        <f>Alukset_Käynnit!I300</f>
        <v>0</v>
      </c>
      <c r="J293" s="262">
        <f>Alukset_Käynnit!J300</f>
        <v>0</v>
      </c>
      <c r="K293" s="262">
        <f>Alukset_Käynnit!K300</f>
        <v>0</v>
      </c>
      <c r="L293" s="205">
        <f>Alukset_Käynnit!L300</f>
        <v>0</v>
      </c>
      <c r="N293" s="273">
        <f t="shared" si="63"/>
        <v>0</v>
      </c>
      <c r="O293" s="274">
        <f t="shared" si="64"/>
        <v>0</v>
      </c>
      <c r="Q293" s="204">
        <f t="shared" si="53"/>
        <v>0</v>
      </c>
      <c r="R293" s="202">
        <f>IF(Q293="Other dry cargo",L293*Alukset_fx!$B$71,IF(OR(Q293="Dry bulk",Q293="Bulk carrier"),L293*Alukset_fx!$B$69,IF(Q293="Tugboat",L293*Alukset_fx!$B$76,IF(OR(Q293="Tanker",Q293="Gas tanker",Q293="Chemical tanker",Q293="Oil tanker"),L293*Alukset_fx!$B$68,IF(OR(Q293="RoRo",Q293="Vehicle carrier"),L293*Alukset_fx!$B$72,IF(Q293="RoPax",L293*Alukset_fx!$B$73,IF(Q293="Container ship",L293*Alukset_fx!$B$70,IF(Q293="Barge",0,L293*Alukset_fx!$B$75))))))))</f>
        <v>0</v>
      </c>
      <c r="S293" s="210">
        <f>IF(L293=0,IF(Q293="Other dry cargo",Alukset_fx!$H$73*(Alukset_Käynnit_Lask!K293^Alukset_fx!$I$73),IF(OR(Q293="Dry Bulk",Q293="Bulk carrier"),Alukset_fx!$H$71*(Alukset_Käynnit_Lask!K293^Alukset_fx!$I$71),IF(Q293="Tugboat",Alukset_fx!$H$78*(Alukset_Käynnit_Lask!K293^Alukset_fx!$I$78),IF(OR(Q293="Tanker",Q293="Gas tanker",Q293="Chemical tanker",Q293="Oil tanker"),Alukset_fx!$H$70*(Alukset_Käynnit_Lask!K293^Alukset_fx!$I$70),IF(Q293="Container ship",Alukset_fx!$H$72*(Alukset_Käynnit_Lask!K293^Alukset_fx!$I$72),IF(Q293="Barge",0,IF(Q293="RoPax",Alukset_fx!$H$75*(Alukset_Käynnit_Lask!K293^Alukset_fx!$I$75),IF(OR(Q293="RoRo",Q293="Vehicle carrier"),Alukset_fx!$H$74*(Alukset_Käynnit_Lask!K293^Alukset_fx!$I$74),Alukset_fx!$H$77*(Alukset_Käynnit_Lask!K293^Alukset_fx!$I$77))))))))),"-")</f>
        <v>0</v>
      </c>
      <c r="T293" s="208">
        <f>IF(R293=0,IF(Q293="Other dry cargo",S293*Alukset_fx!$B$71,IF(OR(Q293="Dry bulk",Q293="Bulk carrier"),S293*Alukset_fx!$B$69,IF(Q293="Tugboat",S293*Alukset_fx!$B$76,IF(OR(Q293="Tanker",Q293="Gas tanker",Q293="Chemical tanker",Q293="Oil tanker"),S293*Alukset_fx!$B$68,IF(OR(Q293="RoRo",Q293="Vehicle carrier"),S293*Alukset_fx!$B$72,IF(Q293="RoPax",S293*Alukset_fx!$B$73,IF(Q293="Container ship",S293*Alukset_fx!$B$70,S293*Alukset_fx!$B$75))))))),"-")</f>
        <v>0</v>
      </c>
      <c r="U293" s="208">
        <f t="shared" si="54"/>
        <v>0</v>
      </c>
      <c r="V293" s="208">
        <f t="shared" si="55"/>
        <v>0</v>
      </c>
      <c r="W293" s="202">
        <f>Alukset_Käynnit!N300</f>
        <v>0</v>
      </c>
      <c r="X293" s="211">
        <f>IF(Q293="Other dry cargo", Alukset_fx!$C$52, IF(OR(Q293="Dry bulk",Q293="Bulk carrier"),Alukset_fx!$C$35,IF(OR(Q293="Tanker",Q293="Gas tanker",Q293="Oil tanker"),Alukset_fx!$C$57,IF(Q293="Chemical tanker",Alukset_fx!$C$56,IF(OR(Q293="Tugboat",Q293="Barge"),0,IF(Q293="Other vessel",Alukset_fx!$C$54,IF(Q293="Container ship",Alukset_fx!$C$37,IF(OR(Q293="RoPax",Q293="RoRo",Q293="Vehicle carrier"),Alukset_fx!$C$55,0))))))))</f>
        <v>0</v>
      </c>
      <c r="Y293" s="211">
        <f>IF(Q293="Other dry cargo", Alukset_fx!$Q$52, IF(OR(Q293="Dry bulk",Q293="Bulk carrier"),Alukset_fx!$Q$35,IF(OR(Q293="Tanker",Q293="Gas tanker",Q293="Oil tanker"),Alukset_fx!$Q$57,IF(Q293="Chemical tanker",Alukset_fx!$Q$56,IF(OR(Q293="Tugboat",Q293="Barge"),0,IF(Q293="Other vessel",Alukset_fx!$Q$54,IF(Q293="Container ship",Alukset_fx!$Q$37,IF(OR(Q293="RoPax",Q293="RoRo",Q293="Vehicle carrier"),Alukset_fx!$Q$55,0))))))))</f>
        <v>0</v>
      </c>
      <c r="Z293" t="str">
        <f t="shared" si="56"/>
        <v>MDO/MGO</v>
      </c>
      <c r="AA293" t="str">
        <f t="shared" si="57"/>
        <v>MSD</v>
      </c>
      <c r="AB293" t="str">
        <f t="shared" si="58"/>
        <v>MDO/MGO</v>
      </c>
      <c r="AC293" t="str">
        <f t="shared" si="59"/>
        <v>MSD</v>
      </c>
      <c r="AD293" t="str">
        <f t="shared" si="60"/>
        <v>MDO/MGO</v>
      </c>
      <c r="AE293" t="str">
        <f t="shared" si="61"/>
        <v>ST</v>
      </c>
      <c r="AG293">
        <f>Alukset_Käynnit!O300</f>
        <v>0</v>
      </c>
      <c r="AH293" s="207">
        <f>IF(AA293="SSD",((U293*Alukset_fx!$B$24)*Alukset_Käynnit_Lask!W293*(Alukset_fx!$K$49)/1000),IF(AA293="MSD",((U293*Alukset_fx!$B$24)*Alukset_Käynnit_Lask!W293*(Alukset_fx!$K$52)/1000),IF(AA293="HSD",((U293*Alukset_fx!$B$24)*Alukset_Käynnit_Lask!W293*(Alukset_fx!$K$55)/1000),0)))</f>
        <v>0</v>
      </c>
      <c r="AI293" s="207">
        <f>IF(AC293="MSD",((V293*Alukset_fx!$B$25)*Alukset_Käynnit_Lask!W293*(Alukset_fx!$L$52)/1000),IF(AC293="HSD",((V293*Alukset_fx!$B$25)*Alukset_Käynnit_Lask!W293*(Alukset_fx!$L$55)/1000),0))</f>
        <v>0</v>
      </c>
      <c r="AJ293" s="207">
        <f>X293*W293*Alukset_fx!$K$61/1000</f>
        <v>0</v>
      </c>
      <c r="AK293">
        <v>0</v>
      </c>
      <c r="AL293" s="207">
        <f>IF(AG293="Käytetty",0,IF(AC293="MSD",((V293*Alukset_fx!$O$25)*Alukset_Käynnit_Lask!O293*(Alukset_fx!$L$52)/1000),IF(AC293="HSD",((V293*Alukset_fx!$O$25)*Alukset_Käynnit_Lask!O293*(Alukset_fx!$L$55)/1000),0)))</f>
        <v>0</v>
      </c>
      <c r="AM293" s="207">
        <f>IF(AG293="Käytetty",0,Y293*O293*Alukset_fx!$K$61/1000)</f>
        <v>0</v>
      </c>
      <c r="AN293" s="213">
        <f t="shared" si="62"/>
        <v>0</v>
      </c>
    </row>
    <row r="294" spans="1:40" x14ac:dyDescent="0.25">
      <c r="A294" s="203">
        <f>Alukset_Käynnit!A301</f>
        <v>0</v>
      </c>
      <c r="B294" s="203">
        <f>Alukset_Käynnit!B301</f>
        <v>0</v>
      </c>
      <c r="C294" s="262">
        <f>Alukset_Käynnit!C301</f>
        <v>0</v>
      </c>
      <c r="D294" s="266">
        <f>Alukset_Käynnit!D301</f>
        <v>0</v>
      </c>
      <c r="E294" s="262">
        <f>Alukset_Käynnit!E301</f>
        <v>0</v>
      </c>
      <c r="F294" s="262">
        <f>Alukset_Käynnit!F301</f>
        <v>0</v>
      </c>
      <c r="G294" s="262">
        <f>Alukset_Käynnit!G301</f>
        <v>0</v>
      </c>
      <c r="H294" s="262">
        <f>Alukset_Käynnit!H301</f>
        <v>0</v>
      </c>
      <c r="I294" s="262">
        <f>Alukset_Käynnit!I301</f>
        <v>0</v>
      </c>
      <c r="J294" s="262">
        <f>Alukset_Käynnit!J301</f>
        <v>0</v>
      </c>
      <c r="K294" s="262">
        <f>Alukset_Käynnit!K301</f>
        <v>0</v>
      </c>
      <c r="L294" s="205">
        <f>Alukset_Käynnit!L301</f>
        <v>0</v>
      </c>
      <c r="N294" s="273">
        <f t="shared" si="63"/>
        <v>0</v>
      </c>
      <c r="O294" s="274">
        <f t="shared" si="64"/>
        <v>0</v>
      </c>
      <c r="Q294" s="204">
        <f t="shared" si="53"/>
        <v>0</v>
      </c>
      <c r="R294" s="202">
        <f>IF(Q294="Other dry cargo",L294*Alukset_fx!$B$71,IF(OR(Q294="Dry bulk",Q294="Bulk carrier"),L294*Alukset_fx!$B$69,IF(Q294="Tugboat",L294*Alukset_fx!$B$76,IF(OR(Q294="Tanker",Q294="Gas tanker",Q294="Chemical tanker",Q294="Oil tanker"),L294*Alukset_fx!$B$68,IF(OR(Q294="RoRo",Q294="Vehicle carrier"),L294*Alukset_fx!$B$72,IF(Q294="RoPax",L294*Alukset_fx!$B$73,IF(Q294="Container ship",L294*Alukset_fx!$B$70,IF(Q294="Barge",0,L294*Alukset_fx!$B$75))))))))</f>
        <v>0</v>
      </c>
      <c r="S294" s="210">
        <f>IF(L294=0,IF(Q294="Other dry cargo",Alukset_fx!$H$73*(Alukset_Käynnit_Lask!K294^Alukset_fx!$I$73),IF(OR(Q294="Dry Bulk",Q294="Bulk carrier"),Alukset_fx!$H$71*(Alukset_Käynnit_Lask!K294^Alukset_fx!$I$71),IF(Q294="Tugboat",Alukset_fx!$H$78*(Alukset_Käynnit_Lask!K294^Alukset_fx!$I$78),IF(OR(Q294="Tanker",Q294="Gas tanker",Q294="Chemical tanker",Q294="Oil tanker"),Alukset_fx!$H$70*(Alukset_Käynnit_Lask!K294^Alukset_fx!$I$70),IF(Q294="Container ship",Alukset_fx!$H$72*(Alukset_Käynnit_Lask!K294^Alukset_fx!$I$72),IF(Q294="Barge",0,IF(Q294="RoPax",Alukset_fx!$H$75*(Alukset_Käynnit_Lask!K294^Alukset_fx!$I$75),IF(OR(Q294="RoRo",Q294="Vehicle carrier"),Alukset_fx!$H$74*(Alukset_Käynnit_Lask!K294^Alukset_fx!$I$74),Alukset_fx!$H$77*(Alukset_Käynnit_Lask!K294^Alukset_fx!$I$77))))))))),"-")</f>
        <v>0</v>
      </c>
      <c r="T294" s="208">
        <f>IF(R294=0,IF(Q294="Other dry cargo",S294*Alukset_fx!$B$71,IF(OR(Q294="Dry bulk",Q294="Bulk carrier"),S294*Alukset_fx!$B$69,IF(Q294="Tugboat",S294*Alukset_fx!$B$76,IF(OR(Q294="Tanker",Q294="Gas tanker",Q294="Chemical tanker",Q294="Oil tanker"),S294*Alukset_fx!$B$68,IF(OR(Q294="RoRo",Q294="Vehicle carrier"),S294*Alukset_fx!$B$72,IF(Q294="RoPax",S294*Alukset_fx!$B$73,IF(Q294="Container ship",S294*Alukset_fx!$B$70,S294*Alukset_fx!$B$75))))))),"-")</f>
        <v>0</v>
      </c>
      <c r="U294" s="208">
        <f t="shared" si="54"/>
        <v>0</v>
      </c>
      <c r="V294" s="208">
        <f t="shared" si="55"/>
        <v>0</v>
      </c>
      <c r="W294" s="202">
        <f>Alukset_Käynnit!N301</f>
        <v>0</v>
      </c>
      <c r="X294" s="211">
        <f>IF(Q294="Other dry cargo", Alukset_fx!$C$52, IF(OR(Q294="Dry bulk",Q294="Bulk carrier"),Alukset_fx!$C$35,IF(OR(Q294="Tanker",Q294="Gas tanker",Q294="Oil tanker"),Alukset_fx!$C$57,IF(Q294="Chemical tanker",Alukset_fx!$C$56,IF(OR(Q294="Tugboat",Q294="Barge"),0,IF(Q294="Other vessel",Alukset_fx!$C$54,IF(Q294="Container ship",Alukset_fx!$C$37,IF(OR(Q294="RoPax",Q294="RoRo",Q294="Vehicle carrier"),Alukset_fx!$C$55,0))))))))</f>
        <v>0</v>
      </c>
      <c r="Y294" s="211">
        <f>IF(Q294="Other dry cargo", Alukset_fx!$Q$52, IF(OR(Q294="Dry bulk",Q294="Bulk carrier"),Alukset_fx!$Q$35,IF(OR(Q294="Tanker",Q294="Gas tanker",Q294="Oil tanker"),Alukset_fx!$Q$57,IF(Q294="Chemical tanker",Alukset_fx!$Q$56,IF(OR(Q294="Tugboat",Q294="Barge"),0,IF(Q294="Other vessel",Alukset_fx!$Q$54,IF(Q294="Container ship",Alukset_fx!$Q$37,IF(OR(Q294="RoPax",Q294="RoRo",Q294="Vehicle carrier"),Alukset_fx!$Q$55,0))))))))</f>
        <v>0</v>
      </c>
      <c r="Z294" t="str">
        <f t="shared" si="56"/>
        <v>MDO/MGO</v>
      </c>
      <c r="AA294" t="str">
        <f t="shared" si="57"/>
        <v>MSD</v>
      </c>
      <c r="AB294" t="str">
        <f t="shared" si="58"/>
        <v>MDO/MGO</v>
      </c>
      <c r="AC294" t="str">
        <f t="shared" si="59"/>
        <v>MSD</v>
      </c>
      <c r="AD294" t="str">
        <f t="shared" si="60"/>
        <v>MDO/MGO</v>
      </c>
      <c r="AE294" t="str">
        <f t="shared" si="61"/>
        <v>ST</v>
      </c>
      <c r="AG294">
        <f>Alukset_Käynnit!O301</f>
        <v>0</v>
      </c>
      <c r="AH294" s="207">
        <f>IF(AA294="SSD",((U294*Alukset_fx!$B$24)*Alukset_Käynnit_Lask!W294*(Alukset_fx!$K$49)/1000),IF(AA294="MSD",((U294*Alukset_fx!$B$24)*Alukset_Käynnit_Lask!W294*(Alukset_fx!$K$52)/1000),IF(AA294="HSD",((U294*Alukset_fx!$B$24)*Alukset_Käynnit_Lask!W294*(Alukset_fx!$K$55)/1000),0)))</f>
        <v>0</v>
      </c>
      <c r="AI294" s="207">
        <f>IF(AC294="MSD",((V294*Alukset_fx!$B$25)*Alukset_Käynnit_Lask!W294*(Alukset_fx!$L$52)/1000),IF(AC294="HSD",((V294*Alukset_fx!$B$25)*Alukset_Käynnit_Lask!W294*(Alukset_fx!$L$55)/1000),0))</f>
        <v>0</v>
      </c>
      <c r="AJ294" s="207">
        <f>X294*W294*Alukset_fx!$K$61/1000</f>
        <v>0</v>
      </c>
      <c r="AK294">
        <v>0</v>
      </c>
      <c r="AL294" s="207">
        <f>IF(AG294="Käytetty",0,IF(AC294="MSD",((V294*Alukset_fx!$O$25)*Alukset_Käynnit_Lask!O294*(Alukset_fx!$L$52)/1000),IF(AC294="HSD",((V294*Alukset_fx!$O$25)*Alukset_Käynnit_Lask!O294*(Alukset_fx!$L$55)/1000),0)))</f>
        <v>0</v>
      </c>
      <c r="AM294" s="207">
        <f>IF(AG294="Käytetty",0,Y294*O294*Alukset_fx!$K$61/1000)</f>
        <v>0</v>
      </c>
      <c r="AN294" s="213">
        <f t="shared" si="62"/>
        <v>0</v>
      </c>
    </row>
    <row r="295" spans="1:40" x14ac:dyDescent="0.25">
      <c r="A295" s="203">
        <f>Alukset_Käynnit!A302</f>
        <v>0</v>
      </c>
      <c r="B295" s="203">
        <f>Alukset_Käynnit!B302</f>
        <v>0</v>
      </c>
      <c r="C295" s="262">
        <f>Alukset_Käynnit!C302</f>
        <v>0</v>
      </c>
      <c r="D295" s="266">
        <f>Alukset_Käynnit!D302</f>
        <v>0</v>
      </c>
      <c r="E295" s="262">
        <f>Alukset_Käynnit!E302</f>
        <v>0</v>
      </c>
      <c r="F295" s="262">
        <f>Alukset_Käynnit!F302</f>
        <v>0</v>
      </c>
      <c r="G295" s="262">
        <f>Alukset_Käynnit!G302</f>
        <v>0</v>
      </c>
      <c r="H295" s="262">
        <f>Alukset_Käynnit!H302</f>
        <v>0</v>
      </c>
      <c r="I295" s="262">
        <f>Alukset_Käynnit!I302</f>
        <v>0</v>
      </c>
      <c r="J295" s="262">
        <f>Alukset_Käynnit!J302</f>
        <v>0</v>
      </c>
      <c r="K295" s="262">
        <f>Alukset_Käynnit!K302</f>
        <v>0</v>
      </c>
      <c r="L295" s="205">
        <f>Alukset_Käynnit!L302</f>
        <v>0</v>
      </c>
      <c r="N295" s="273">
        <f t="shared" si="63"/>
        <v>0</v>
      </c>
      <c r="O295" s="274">
        <f t="shared" si="64"/>
        <v>0</v>
      </c>
      <c r="Q295" s="204">
        <f t="shared" si="53"/>
        <v>0</v>
      </c>
      <c r="R295" s="202">
        <f>IF(Q295="Other dry cargo",L295*Alukset_fx!$B$71,IF(OR(Q295="Dry bulk",Q295="Bulk carrier"),L295*Alukset_fx!$B$69,IF(Q295="Tugboat",L295*Alukset_fx!$B$76,IF(OR(Q295="Tanker",Q295="Gas tanker",Q295="Chemical tanker",Q295="Oil tanker"),L295*Alukset_fx!$B$68,IF(OR(Q295="RoRo",Q295="Vehicle carrier"),L295*Alukset_fx!$B$72,IF(Q295="RoPax",L295*Alukset_fx!$B$73,IF(Q295="Container ship",L295*Alukset_fx!$B$70,IF(Q295="Barge",0,L295*Alukset_fx!$B$75))))))))</f>
        <v>0</v>
      </c>
      <c r="S295" s="210">
        <f>IF(L295=0,IF(Q295="Other dry cargo",Alukset_fx!$H$73*(Alukset_Käynnit_Lask!K295^Alukset_fx!$I$73),IF(OR(Q295="Dry Bulk",Q295="Bulk carrier"),Alukset_fx!$H$71*(Alukset_Käynnit_Lask!K295^Alukset_fx!$I$71),IF(Q295="Tugboat",Alukset_fx!$H$78*(Alukset_Käynnit_Lask!K295^Alukset_fx!$I$78),IF(OR(Q295="Tanker",Q295="Gas tanker",Q295="Chemical tanker",Q295="Oil tanker"),Alukset_fx!$H$70*(Alukset_Käynnit_Lask!K295^Alukset_fx!$I$70),IF(Q295="Container ship",Alukset_fx!$H$72*(Alukset_Käynnit_Lask!K295^Alukset_fx!$I$72),IF(Q295="Barge",0,IF(Q295="RoPax",Alukset_fx!$H$75*(Alukset_Käynnit_Lask!K295^Alukset_fx!$I$75),IF(OR(Q295="RoRo",Q295="Vehicle carrier"),Alukset_fx!$H$74*(Alukset_Käynnit_Lask!K295^Alukset_fx!$I$74),Alukset_fx!$H$77*(Alukset_Käynnit_Lask!K295^Alukset_fx!$I$77))))))))),"-")</f>
        <v>0</v>
      </c>
      <c r="T295" s="208">
        <f>IF(R295=0,IF(Q295="Other dry cargo",S295*Alukset_fx!$B$71,IF(OR(Q295="Dry bulk",Q295="Bulk carrier"),S295*Alukset_fx!$B$69,IF(Q295="Tugboat",S295*Alukset_fx!$B$76,IF(OR(Q295="Tanker",Q295="Gas tanker",Q295="Chemical tanker",Q295="Oil tanker"),S295*Alukset_fx!$B$68,IF(OR(Q295="RoRo",Q295="Vehicle carrier"),S295*Alukset_fx!$B$72,IF(Q295="RoPax",S295*Alukset_fx!$B$73,IF(Q295="Container ship",S295*Alukset_fx!$B$70,S295*Alukset_fx!$B$75))))))),"-")</f>
        <v>0</v>
      </c>
      <c r="U295" s="208">
        <f t="shared" si="54"/>
        <v>0</v>
      </c>
      <c r="V295" s="208">
        <f t="shared" si="55"/>
        <v>0</v>
      </c>
      <c r="W295" s="202">
        <f>Alukset_Käynnit!N302</f>
        <v>0</v>
      </c>
      <c r="X295" s="211">
        <f>IF(Q295="Other dry cargo", Alukset_fx!$C$52, IF(OR(Q295="Dry bulk",Q295="Bulk carrier"),Alukset_fx!$C$35,IF(OR(Q295="Tanker",Q295="Gas tanker",Q295="Oil tanker"),Alukset_fx!$C$57,IF(Q295="Chemical tanker",Alukset_fx!$C$56,IF(OR(Q295="Tugboat",Q295="Barge"),0,IF(Q295="Other vessel",Alukset_fx!$C$54,IF(Q295="Container ship",Alukset_fx!$C$37,IF(OR(Q295="RoPax",Q295="RoRo",Q295="Vehicle carrier"),Alukset_fx!$C$55,0))))))))</f>
        <v>0</v>
      </c>
      <c r="Y295" s="211">
        <f>IF(Q295="Other dry cargo", Alukset_fx!$Q$52, IF(OR(Q295="Dry bulk",Q295="Bulk carrier"),Alukset_fx!$Q$35,IF(OR(Q295="Tanker",Q295="Gas tanker",Q295="Oil tanker"),Alukset_fx!$Q$57,IF(Q295="Chemical tanker",Alukset_fx!$Q$56,IF(OR(Q295="Tugboat",Q295="Barge"),0,IF(Q295="Other vessel",Alukset_fx!$Q$54,IF(Q295="Container ship",Alukset_fx!$Q$37,IF(OR(Q295="RoPax",Q295="RoRo",Q295="Vehicle carrier"),Alukset_fx!$Q$55,0))))))))</f>
        <v>0</v>
      </c>
      <c r="Z295" t="str">
        <f t="shared" si="56"/>
        <v>MDO/MGO</v>
      </c>
      <c r="AA295" t="str">
        <f t="shared" si="57"/>
        <v>MSD</v>
      </c>
      <c r="AB295" t="str">
        <f t="shared" si="58"/>
        <v>MDO/MGO</v>
      </c>
      <c r="AC295" t="str">
        <f t="shared" si="59"/>
        <v>MSD</v>
      </c>
      <c r="AD295" t="str">
        <f t="shared" si="60"/>
        <v>MDO/MGO</v>
      </c>
      <c r="AE295" t="str">
        <f t="shared" si="61"/>
        <v>ST</v>
      </c>
      <c r="AG295">
        <f>Alukset_Käynnit!O302</f>
        <v>0</v>
      </c>
      <c r="AH295" s="207">
        <f>IF(AA295="SSD",((U295*Alukset_fx!$B$24)*Alukset_Käynnit_Lask!W295*(Alukset_fx!$K$49)/1000),IF(AA295="MSD",((U295*Alukset_fx!$B$24)*Alukset_Käynnit_Lask!W295*(Alukset_fx!$K$52)/1000),IF(AA295="HSD",((U295*Alukset_fx!$B$24)*Alukset_Käynnit_Lask!W295*(Alukset_fx!$K$55)/1000),0)))</f>
        <v>0</v>
      </c>
      <c r="AI295" s="207">
        <f>IF(AC295="MSD",((V295*Alukset_fx!$B$25)*Alukset_Käynnit_Lask!W295*(Alukset_fx!$L$52)/1000),IF(AC295="HSD",((V295*Alukset_fx!$B$25)*Alukset_Käynnit_Lask!W295*(Alukset_fx!$L$55)/1000),0))</f>
        <v>0</v>
      </c>
      <c r="AJ295" s="207">
        <f>X295*W295*Alukset_fx!$K$61/1000</f>
        <v>0</v>
      </c>
      <c r="AK295">
        <v>0</v>
      </c>
      <c r="AL295" s="207">
        <f>IF(AG295="Käytetty",0,IF(AC295="MSD",((V295*Alukset_fx!$O$25)*Alukset_Käynnit_Lask!O295*(Alukset_fx!$L$52)/1000),IF(AC295="HSD",((V295*Alukset_fx!$O$25)*Alukset_Käynnit_Lask!O295*(Alukset_fx!$L$55)/1000),0)))</f>
        <v>0</v>
      </c>
      <c r="AM295" s="207">
        <f>IF(AG295="Käytetty",0,Y295*O295*Alukset_fx!$K$61/1000)</f>
        <v>0</v>
      </c>
      <c r="AN295" s="213">
        <f t="shared" si="62"/>
        <v>0</v>
      </c>
    </row>
    <row r="296" spans="1:40" x14ac:dyDescent="0.25">
      <c r="A296" s="203">
        <f>Alukset_Käynnit!A303</f>
        <v>0</v>
      </c>
      <c r="B296" s="203">
        <f>Alukset_Käynnit!B303</f>
        <v>0</v>
      </c>
      <c r="C296" s="262">
        <f>Alukset_Käynnit!C303</f>
        <v>0</v>
      </c>
      <c r="D296" s="266">
        <f>Alukset_Käynnit!D303</f>
        <v>0</v>
      </c>
      <c r="E296" s="262">
        <f>Alukset_Käynnit!E303</f>
        <v>0</v>
      </c>
      <c r="F296" s="262">
        <f>Alukset_Käynnit!F303</f>
        <v>0</v>
      </c>
      <c r="G296" s="262">
        <f>Alukset_Käynnit!G303</f>
        <v>0</v>
      </c>
      <c r="H296" s="262">
        <f>Alukset_Käynnit!H303</f>
        <v>0</v>
      </c>
      <c r="I296" s="262">
        <f>Alukset_Käynnit!I303</f>
        <v>0</v>
      </c>
      <c r="J296" s="262">
        <f>Alukset_Käynnit!J303</f>
        <v>0</v>
      </c>
      <c r="K296" s="262">
        <f>Alukset_Käynnit!K303</f>
        <v>0</v>
      </c>
      <c r="L296" s="205">
        <f>Alukset_Käynnit!L303</f>
        <v>0</v>
      </c>
      <c r="N296" s="273">
        <f t="shared" si="63"/>
        <v>0</v>
      </c>
      <c r="O296" s="274">
        <f t="shared" si="64"/>
        <v>0</v>
      </c>
      <c r="Q296" s="204">
        <f t="shared" si="53"/>
        <v>0</v>
      </c>
      <c r="R296" s="202">
        <f>IF(Q296="Other dry cargo",L296*Alukset_fx!$B$71,IF(OR(Q296="Dry bulk",Q296="Bulk carrier"),L296*Alukset_fx!$B$69,IF(Q296="Tugboat",L296*Alukset_fx!$B$76,IF(OR(Q296="Tanker",Q296="Gas tanker",Q296="Chemical tanker",Q296="Oil tanker"),L296*Alukset_fx!$B$68,IF(OR(Q296="RoRo",Q296="Vehicle carrier"),L296*Alukset_fx!$B$72,IF(Q296="RoPax",L296*Alukset_fx!$B$73,IF(Q296="Container ship",L296*Alukset_fx!$B$70,IF(Q296="Barge",0,L296*Alukset_fx!$B$75))))))))</f>
        <v>0</v>
      </c>
      <c r="S296" s="210">
        <f>IF(L296=0,IF(Q296="Other dry cargo",Alukset_fx!$H$73*(Alukset_Käynnit_Lask!K296^Alukset_fx!$I$73),IF(OR(Q296="Dry Bulk",Q296="Bulk carrier"),Alukset_fx!$H$71*(Alukset_Käynnit_Lask!K296^Alukset_fx!$I$71),IF(Q296="Tugboat",Alukset_fx!$H$78*(Alukset_Käynnit_Lask!K296^Alukset_fx!$I$78),IF(OR(Q296="Tanker",Q296="Gas tanker",Q296="Chemical tanker",Q296="Oil tanker"),Alukset_fx!$H$70*(Alukset_Käynnit_Lask!K296^Alukset_fx!$I$70),IF(Q296="Container ship",Alukset_fx!$H$72*(Alukset_Käynnit_Lask!K296^Alukset_fx!$I$72),IF(Q296="Barge",0,IF(Q296="RoPax",Alukset_fx!$H$75*(Alukset_Käynnit_Lask!K296^Alukset_fx!$I$75),IF(OR(Q296="RoRo",Q296="Vehicle carrier"),Alukset_fx!$H$74*(Alukset_Käynnit_Lask!K296^Alukset_fx!$I$74),Alukset_fx!$H$77*(Alukset_Käynnit_Lask!K296^Alukset_fx!$I$77))))))))),"-")</f>
        <v>0</v>
      </c>
      <c r="T296" s="208">
        <f>IF(R296=0,IF(Q296="Other dry cargo",S296*Alukset_fx!$B$71,IF(OR(Q296="Dry bulk",Q296="Bulk carrier"),S296*Alukset_fx!$B$69,IF(Q296="Tugboat",S296*Alukset_fx!$B$76,IF(OR(Q296="Tanker",Q296="Gas tanker",Q296="Chemical tanker",Q296="Oil tanker"),S296*Alukset_fx!$B$68,IF(OR(Q296="RoRo",Q296="Vehicle carrier"),S296*Alukset_fx!$B$72,IF(Q296="RoPax",S296*Alukset_fx!$B$73,IF(Q296="Container ship",S296*Alukset_fx!$B$70,S296*Alukset_fx!$B$75))))))),"-")</f>
        <v>0</v>
      </c>
      <c r="U296" s="208">
        <f t="shared" si="54"/>
        <v>0</v>
      </c>
      <c r="V296" s="208">
        <f t="shared" si="55"/>
        <v>0</v>
      </c>
      <c r="W296" s="202">
        <f>Alukset_Käynnit!N303</f>
        <v>0</v>
      </c>
      <c r="X296" s="211">
        <f>IF(Q296="Other dry cargo", Alukset_fx!$C$52, IF(OR(Q296="Dry bulk",Q296="Bulk carrier"),Alukset_fx!$C$35,IF(OR(Q296="Tanker",Q296="Gas tanker",Q296="Oil tanker"),Alukset_fx!$C$57,IF(Q296="Chemical tanker",Alukset_fx!$C$56,IF(OR(Q296="Tugboat",Q296="Barge"),0,IF(Q296="Other vessel",Alukset_fx!$C$54,IF(Q296="Container ship",Alukset_fx!$C$37,IF(OR(Q296="RoPax",Q296="RoRo",Q296="Vehicle carrier"),Alukset_fx!$C$55,0))))))))</f>
        <v>0</v>
      </c>
      <c r="Y296" s="211">
        <f>IF(Q296="Other dry cargo", Alukset_fx!$Q$52, IF(OR(Q296="Dry bulk",Q296="Bulk carrier"),Alukset_fx!$Q$35,IF(OR(Q296="Tanker",Q296="Gas tanker",Q296="Oil tanker"),Alukset_fx!$Q$57,IF(Q296="Chemical tanker",Alukset_fx!$Q$56,IF(OR(Q296="Tugboat",Q296="Barge"),0,IF(Q296="Other vessel",Alukset_fx!$Q$54,IF(Q296="Container ship",Alukset_fx!$Q$37,IF(OR(Q296="RoPax",Q296="RoRo",Q296="Vehicle carrier"),Alukset_fx!$Q$55,0))))))))</f>
        <v>0</v>
      </c>
      <c r="Z296" t="str">
        <f t="shared" si="56"/>
        <v>MDO/MGO</v>
      </c>
      <c r="AA296" t="str">
        <f t="shared" si="57"/>
        <v>MSD</v>
      </c>
      <c r="AB296" t="str">
        <f t="shared" si="58"/>
        <v>MDO/MGO</v>
      </c>
      <c r="AC296" t="str">
        <f t="shared" si="59"/>
        <v>MSD</v>
      </c>
      <c r="AD296" t="str">
        <f t="shared" si="60"/>
        <v>MDO/MGO</v>
      </c>
      <c r="AE296" t="str">
        <f t="shared" si="61"/>
        <v>ST</v>
      </c>
      <c r="AG296">
        <f>Alukset_Käynnit!O303</f>
        <v>0</v>
      </c>
      <c r="AH296" s="207">
        <f>IF(AA296="SSD",((U296*Alukset_fx!$B$24)*Alukset_Käynnit_Lask!W296*(Alukset_fx!$K$49)/1000),IF(AA296="MSD",((U296*Alukset_fx!$B$24)*Alukset_Käynnit_Lask!W296*(Alukset_fx!$K$52)/1000),IF(AA296="HSD",((U296*Alukset_fx!$B$24)*Alukset_Käynnit_Lask!W296*(Alukset_fx!$K$55)/1000),0)))</f>
        <v>0</v>
      </c>
      <c r="AI296" s="207">
        <f>IF(AC296="MSD",((V296*Alukset_fx!$B$25)*Alukset_Käynnit_Lask!W296*(Alukset_fx!$L$52)/1000),IF(AC296="HSD",((V296*Alukset_fx!$B$25)*Alukset_Käynnit_Lask!W296*(Alukset_fx!$L$55)/1000),0))</f>
        <v>0</v>
      </c>
      <c r="AJ296" s="207">
        <f>X296*W296*Alukset_fx!$K$61/1000</f>
        <v>0</v>
      </c>
      <c r="AK296">
        <v>0</v>
      </c>
      <c r="AL296" s="207">
        <f>IF(AG296="Käytetty",0,IF(AC296="MSD",((V296*Alukset_fx!$O$25)*Alukset_Käynnit_Lask!O296*(Alukset_fx!$L$52)/1000),IF(AC296="HSD",((V296*Alukset_fx!$O$25)*Alukset_Käynnit_Lask!O296*(Alukset_fx!$L$55)/1000),0)))</f>
        <v>0</v>
      </c>
      <c r="AM296" s="207">
        <f>IF(AG296="Käytetty",0,Y296*O296*Alukset_fx!$K$61/1000)</f>
        <v>0</v>
      </c>
      <c r="AN296" s="213">
        <f t="shared" si="62"/>
        <v>0</v>
      </c>
    </row>
    <row r="297" spans="1:40" x14ac:dyDescent="0.25">
      <c r="A297" s="203">
        <f>Alukset_Käynnit!A304</f>
        <v>0</v>
      </c>
      <c r="B297" s="203">
        <f>Alukset_Käynnit!B304</f>
        <v>0</v>
      </c>
      <c r="C297" s="262">
        <f>Alukset_Käynnit!C304</f>
        <v>0</v>
      </c>
      <c r="D297" s="266">
        <f>Alukset_Käynnit!D304</f>
        <v>0</v>
      </c>
      <c r="E297" s="262">
        <f>Alukset_Käynnit!E304</f>
        <v>0</v>
      </c>
      <c r="F297" s="262">
        <f>Alukset_Käynnit!F304</f>
        <v>0</v>
      </c>
      <c r="G297" s="262">
        <f>Alukset_Käynnit!G304</f>
        <v>0</v>
      </c>
      <c r="H297" s="262">
        <f>Alukset_Käynnit!H304</f>
        <v>0</v>
      </c>
      <c r="I297" s="262">
        <f>Alukset_Käynnit!I304</f>
        <v>0</v>
      </c>
      <c r="J297" s="262">
        <f>Alukset_Käynnit!J304</f>
        <v>0</v>
      </c>
      <c r="K297" s="262">
        <f>Alukset_Käynnit!K304</f>
        <v>0</v>
      </c>
      <c r="L297" s="205">
        <f>Alukset_Käynnit!L304</f>
        <v>0</v>
      </c>
      <c r="N297" s="273">
        <f t="shared" si="63"/>
        <v>0</v>
      </c>
      <c r="O297" s="274">
        <f t="shared" si="64"/>
        <v>0</v>
      </c>
      <c r="Q297" s="204">
        <f t="shared" si="53"/>
        <v>0</v>
      </c>
      <c r="R297" s="202">
        <f>IF(Q297="Other dry cargo",L297*Alukset_fx!$B$71,IF(OR(Q297="Dry bulk",Q297="Bulk carrier"),L297*Alukset_fx!$B$69,IF(Q297="Tugboat",L297*Alukset_fx!$B$76,IF(OR(Q297="Tanker",Q297="Gas tanker",Q297="Chemical tanker",Q297="Oil tanker"),L297*Alukset_fx!$B$68,IF(OR(Q297="RoRo",Q297="Vehicle carrier"),L297*Alukset_fx!$B$72,IF(Q297="RoPax",L297*Alukset_fx!$B$73,IF(Q297="Container ship",L297*Alukset_fx!$B$70,IF(Q297="Barge",0,L297*Alukset_fx!$B$75))))))))</f>
        <v>0</v>
      </c>
      <c r="S297" s="210">
        <f>IF(L297=0,IF(Q297="Other dry cargo",Alukset_fx!$H$73*(Alukset_Käynnit_Lask!K297^Alukset_fx!$I$73),IF(OR(Q297="Dry Bulk",Q297="Bulk carrier"),Alukset_fx!$H$71*(Alukset_Käynnit_Lask!K297^Alukset_fx!$I$71),IF(Q297="Tugboat",Alukset_fx!$H$78*(Alukset_Käynnit_Lask!K297^Alukset_fx!$I$78),IF(OR(Q297="Tanker",Q297="Gas tanker",Q297="Chemical tanker",Q297="Oil tanker"),Alukset_fx!$H$70*(Alukset_Käynnit_Lask!K297^Alukset_fx!$I$70),IF(Q297="Container ship",Alukset_fx!$H$72*(Alukset_Käynnit_Lask!K297^Alukset_fx!$I$72),IF(Q297="Barge",0,IF(Q297="RoPax",Alukset_fx!$H$75*(Alukset_Käynnit_Lask!K297^Alukset_fx!$I$75),IF(OR(Q297="RoRo",Q297="Vehicle carrier"),Alukset_fx!$H$74*(Alukset_Käynnit_Lask!K297^Alukset_fx!$I$74),Alukset_fx!$H$77*(Alukset_Käynnit_Lask!K297^Alukset_fx!$I$77))))))))),"-")</f>
        <v>0</v>
      </c>
      <c r="T297" s="208">
        <f>IF(R297=0,IF(Q297="Other dry cargo",S297*Alukset_fx!$B$71,IF(OR(Q297="Dry bulk",Q297="Bulk carrier"),S297*Alukset_fx!$B$69,IF(Q297="Tugboat",S297*Alukset_fx!$B$76,IF(OR(Q297="Tanker",Q297="Gas tanker",Q297="Chemical tanker",Q297="Oil tanker"),S297*Alukset_fx!$B$68,IF(OR(Q297="RoRo",Q297="Vehicle carrier"),S297*Alukset_fx!$B$72,IF(Q297="RoPax",S297*Alukset_fx!$B$73,IF(Q297="Container ship",S297*Alukset_fx!$B$70,S297*Alukset_fx!$B$75))))))),"-")</f>
        <v>0</v>
      </c>
      <c r="U297" s="208">
        <f t="shared" si="54"/>
        <v>0</v>
      </c>
      <c r="V297" s="208">
        <f t="shared" si="55"/>
        <v>0</v>
      </c>
      <c r="W297" s="202">
        <f>Alukset_Käynnit!N304</f>
        <v>0</v>
      </c>
      <c r="X297" s="211">
        <f>IF(Q297="Other dry cargo", Alukset_fx!$C$52, IF(OR(Q297="Dry bulk",Q297="Bulk carrier"),Alukset_fx!$C$35,IF(OR(Q297="Tanker",Q297="Gas tanker",Q297="Oil tanker"),Alukset_fx!$C$57,IF(Q297="Chemical tanker",Alukset_fx!$C$56,IF(OR(Q297="Tugboat",Q297="Barge"),0,IF(Q297="Other vessel",Alukset_fx!$C$54,IF(Q297="Container ship",Alukset_fx!$C$37,IF(OR(Q297="RoPax",Q297="RoRo",Q297="Vehicle carrier"),Alukset_fx!$C$55,0))))))))</f>
        <v>0</v>
      </c>
      <c r="Y297" s="211">
        <f>IF(Q297="Other dry cargo", Alukset_fx!$Q$52, IF(OR(Q297="Dry bulk",Q297="Bulk carrier"),Alukset_fx!$Q$35,IF(OR(Q297="Tanker",Q297="Gas tanker",Q297="Oil tanker"),Alukset_fx!$Q$57,IF(Q297="Chemical tanker",Alukset_fx!$Q$56,IF(OR(Q297="Tugboat",Q297="Barge"),0,IF(Q297="Other vessel",Alukset_fx!$Q$54,IF(Q297="Container ship",Alukset_fx!$Q$37,IF(OR(Q297="RoPax",Q297="RoRo",Q297="Vehicle carrier"),Alukset_fx!$Q$55,0))))))))</f>
        <v>0</v>
      </c>
      <c r="Z297" t="str">
        <f t="shared" si="56"/>
        <v>MDO/MGO</v>
      </c>
      <c r="AA297" t="str">
        <f t="shared" si="57"/>
        <v>MSD</v>
      </c>
      <c r="AB297" t="str">
        <f t="shared" si="58"/>
        <v>MDO/MGO</v>
      </c>
      <c r="AC297" t="str">
        <f t="shared" si="59"/>
        <v>MSD</v>
      </c>
      <c r="AD297" t="str">
        <f t="shared" si="60"/>
        <v>MDO/MGO</v>
      </c>
      <c r="AE297" t="str">
        <f t="shared" si="61"/>
        <v>ST</v>
      </c>
      <c r="AG297">
        <f>Alukset_Käynnit!O304</f>
        <v>0</v>
      </c>
      <c r="AH297" s="207">
        <f>IF(AA297="SSD",((U297*Alukset_fx!$B$24)*Alukset_Käynnit_Lask!W297*(Alukset_fx!$K$49)/1000),IF(AA297="MSD",((U297*Alukset_fx!$B$24)*Alukset_Käynnit_Lask!W297*(Alukset_fx!$K$52)/1000),IF(AA297="HSD",((U297*Alukset_fx!$B$24)*Alukset_Käynnit_Lask!W297*(Alukset_fx!$K$55)/1000),0)))</f>
        <v>0</v>
      </c>
      <c r="AI297" s="207">
        <f>IF(AC297="MSD",((V297*Alukset_fx!$B$25)*Alukset_Käynnit_Lask!W297*(Alukset_fx!$L$52)/1000),IF(AC297="HSD",((V297*Alukset_fx!$B$25)*Alukset_Käynnit_Lask!W297*(Alukset_fx!$L$55)/1000),0))</f>
        <v>0</v>
      </c>
      <c r="AJ297" s="207">
        <f>X297*W297*Alukset_fx!$K$61/1000</f>
        <v>0</v>
      </c>
      <c r="AK297">
        <v>0</v>
      </c>
      <c r="AL297" s="207">
        <f>IF(AG297="Käytetty",0,IF(AC297="MSD",((V297*Alukset_fx!$O$25)*Alukset_Käynnit_Lask!O297*(Alukset_fx!$L$52)/1000),IF(AC297="HSD",((V297*Alukset_fx!$O$25)*Alukset_Käynnit_Lask!O297*(Alukset_fx!$L$55)/1000),0)))</f>
        <v>0</v>
      </c>
      <c r="AM297" s="207">
        <f>IF(AG297="Käytetty",0,Y297*O297*Alukset_fx!$K$61/1000)</f>
        <v>0</v>
      </c>
      <c r="AN297" s="213">
        <f t="shared" si="62"/>
        <v>0</v>
      </c>
    </row>
    <row r="298" spans="1:40" x14ac:dyDescent="0.25">
      <c r="A298" s="203">
        <f>Alukset_Käynnit!A305</f>
        <v>0</v>
      </c>
      <c r="B298" s="203">
        <f>Alukset_Käynnit!B305</f>
        <v>0</v>
      </c>
      <c r="C298" s="262">
        <f>Alukset_Käynnit!C305</f>
        <v>0</v>
      </c>
      <c r="D298" s="266">
        <f>Alukset_Käynnit!D305</f>
        <v>0</v>
      </c>
      <c r="E298" s="262">
        <f>Alukset_Käynnit!E305</f>
        <v>0</v>
      </c>
      <c r="F298" s="262">
        <f>Alukset_Käynnit!F305</f>
        <v>0</v>
      </c>
      <c r="G298" s="262">
        <f>Alukset_Käynnit!G305</f>
        <v>0</v>
      </c>
      <c r="H298" s="262">
        <f>Alukset_Käynnit!H305</f>
        <v>0</v>
      </c>
      <c r="I298" s="262">
        <f>Alukset_Käynnit!I305</f>
        <v>0</v>
      </c>
      <c r="J298" s="262">
        <f>Alukset_Käynnit!J305</f>
        <v>0</v>
      </c>
      <c r="K298" s="262">
        <f>Alukset_Käynnit!K305</f>
        <v>0</v>
      </c>
      <c r="L298" s="205">
        <f>Alukset_Käynnit!L305</f>
        <v>0</v>
      </c>
      <c r="N298" s="273">
        <f t="shared" si="63"/>
        <v>0</v>
      </c>
      <c r="O298" s="274">
        <f t="shared" si="64"/>
        <v>0</v>
      </c>
      <c r="Q298" s="204">
        <f t="shared" si="53"/>
        <v>0</v>
      </c>
      <c r="R298" s="202">
        <f>IF(Q298="Other dry cargo",L298*Alukset_fx!$B$71,IF(OR(Q298="Dry bulk",Q298="Bulk carrier"),L298*Alukset_fx!$B$69,IF(Q298="Tugboat",L298*Alukset_fx!$B$76,IF(OR(Q298="Tanker",Q298="Gas tanker",Q298="Chemical tanker",Q298="Oil tanker"),L298*Alukset_fx!$B$68,IF(OR(Q298="RoRo",Q298="Vehicle carrier"),L298*Alukset_fx!$B$72,IF(Q298="RoPax",L298*Alukset_fx!$B$73,IF(Q298="Container ship",L298*Alukset_fx!$B$70,IF(Q298="Barge",0,L298*Alukset_fx!$B$75))))))))</f>
        <v>0</v>
      </c>
      <c r="S298" s="210">
        <f>IF(L298=0,IF(Q298="Other dry cargo",Alukset_fx!$H$73*(Alukset_Käynnit_Lask!K298^Alukset_fx!$I$73),IF(OR(Q298="Dry Bulk",Q298="Bulk carrier"),Alukset_fx!$H$71*(Alukset_Käynnit_Lask!K298^Alukset_fx!$I$71),IF(Q298="Tugboat",Alukset_fx!$H$78*(Alukset_Käynnit_Lask!K298^Alukset_fx!$I$78),IF(OR(Q298="Tanker",Q298="Gas tanker",Q298="Chemical tanker",Q298="Oil tanker"),Alukset_fx!$H$70*(Alukset_Käynnit_Lask!K298^Alukset_fx!$I$70),IF(Q298="Container ship",Alukset_fx!$H$72*(Alukset_Käynnit_Lask!K298^Alukset_fx!$I$72),IF(Q298="Barge",0,IF(Q298="RoPax",Alukset_fx!$H$75*(Alukset_Käynnit_Lask!K298^Alukset_fx!$I$75),IF(OR(Q298="RoRo",Q298="Vehicle carrier"),Alukset_fx!$H$74*(Alukset_Käynnit_Lask!K298^Alukset_fx!$I$74),Alukset_fx!$H$77*(Alukset_Käynnit_Lask!K298^Alukset_fx!$I$77))))))))),"-")</f>
        <v>0</v>
      </c>
      <c r="T298" s="208">
        <f>IF(R298=0,IF(Q298="Other dry cargo",S298*Alukset_fx!$B$71,IF(OR(Q298="Dry bulk",Q298="Bulk carrier"),S298*Alukset_fx!$B$69,IF(Q298="Tugboat",S298*Alukset_fx!$B$76,IF(OR(Q298="Tanker",Q298="Gas tanker",Q298="Chemical tanker",Q298="Oil tanker"),S298*Alukset_fx!$B$68,IF(OR(Q298="RoRo",Q298="Vehicle carrier"),S298*Alukset_fx!$B$72,IF(Q298="RoPax",S298*Alukset_fx!$B$73,IF(Q298="Container ship",S298*Alukset_fx!$B$70,S298*Alukset_fx!$B$75))))))),"-")</f>
        <v>0</v>
      </c>
      <c r="U298" s="208">
        <f t="shared" si="54"/>
        <v>0</v>
      </c>
      <c r="V298" s="208">
        <f t="shared" si="55"/>
        <v>0</v>
      </c>
      <c r="W298" s="202">
        <f>Alukset_Käynnit!N305</f>
        <v>0</v>
      </c>
      <c r="X298" s="211">
        <f>IF(Q298="Other dry cargo", Alukset_fx!$C$52, IF(OR(Q298="Dry bulk",Q298="Bulk carrier"),Alukset_fx!$C$35,IF(OR(Q298="Tanker",Q298="Gas tanker",Q298="Oil tanker"),Alukset_fx!$C$57,IF(Q298="Chemical tanker",Alukset_fx!$C$56,IF(OR(Q298="Tugboat",Q298="Barge"),0,IF(Q298="Other vessel",Alukset_fx!$C$54,IF(Q298="Container ship",Alukset_fx!$C$37,IF(OR(Q298="RoPax",Q298="RoRo",Q298="Vehicle carrier"),Alukset_fx!$C$55,0))))))))</f>
        <v>0</v>
      </c>
      <c r="Y298" s="211">
        <f>IF(Q298="Other dry cargo", Alukset_fx!$Q$52, IF(OR(Q298="Dry bulk",Q298="Bulk carrier"),Alukset_fx!$Q$35,IF(OR(Q298="Tanker",Q298="Gas tanker",Q298="Oil tanker"),Alukset_fx!$Q$57,IF(Q298="Chemical tanker",Alukset_fx!$Q$56,IF(OR(Q298="Tugboat",Q298="Barge"),0,IF(Q298="Other vessel",Alukset_fx!$Q$54,IF(Q298="Container ship",Alukset_fx!$Q$37,IF(OR(Q298="RoPax",Q298="RoRo",Q298="Vehicle carrier"),Alukset_fx!$Q$55,0))))))))</f>
        <v>0</v>
      </c>
      <c r="Z298" t="str">
        <f t="shared" si="56"/>
        <v>MDO/MGO</v>
      </c>
      <c r="AA298" t="str">
        <f t="shared" si="57"/>
        <v>MSD</v>
      </c>
      <c r="AB298" t="str">
        <f t="shared" si="58"/>
        <v>MDO/MGO</v>
      </c>
      <c r="AC298" t="str">
        <f t="shared" si="59"/>
        <v>MSD</v>
      </c>
      <c r="AD298" t="str">
        <f t="shared" si="60"/>
        <v>MDO/MGO</v>
      </c>
      <c r="AE298" t="str">
        <f t="shared" si="61"/>
        <v>ST</v>
      </c>
      <c r="AG298">
        <f>Alukset_Käynnit!O305</f>
        <v>0</v>
      </c>
      <c r="AH298" s="207">
        <f>IF(AA298="SSD",((U298*Alukset_fx!$B$24)*Alukset_Käynnit_Lask!W298*(Alukset_fx!$K$49)/1000),IF(AA298="MSD",((U298*Alukset_fx!$B$24)*Alukset_Käynnit_Lask!W298*(Alukset_fx!$K$52)/1000),IF(AA298="HSD",((U298*Alukset_fx!$B$24)*Alukset_Käynnit_Lask!W298*(Alukset_fx!$K$55)/1000),0)))</f>
        <v>0</v>
      </c>
      <c r="AI298" s="207">
        <f>IF(AC298="MSD",((V298*Alukset_fx!$B$25)*Alukset_Käynnit_Lask!W298*(Alukset_fx!$L$52)/1000),IF(AC298="HSD",((V298*Alukset_fx!$B$25)*Alukset_Käynnit_Lask!W298*(Alukset_fx!$L$55)/1000),0))</f>
        <v>0</v>
      </c>
      <c r="AJ298" s="207">
        <f>X298*W298*Alukset_fx!$K$61/1000</f>
        <v>0</v>
      </c>
      <c r="AK298">
        <v>0</v>
      </c>
      <c r="AL298" s="207">
        <f>IF(AG298="Käytetty",0,IF(AC298="MSD",((V298*Alukset_fx!$O$25)*Alukset_Käynnit_Lask!O298*(Alukset_fx!$L$52)/1000),IF(AC298="HSD",((V298*Alukset_fx!$O$25)*Alukset_Käynnit_Lask!O298*(Alukset_fx!$L$55)/1000),0)))</f>
        <v>0</v>
      </c>
      <c r="AM298" s="207">
        <f>IF(AG298="Käytetty",0,Y298*O298*Alukset_fx!$K$61/1000)</f>
        <v>0</v>
      </c>
      <c r="AN298" s="213">
        <f t="shared" si="62"/>
        <v>0</v>
      </c>
    </row>
    <row r="299" spans="1:40" x14ac:dyDescent="0.25">
      <c r="A299" s="203">
        <f>Alukset_Käynnit!A306</f>
        <v>0</v>
      </c>
      <c r="B299" s="203">
        <f>Alukset_Käynnit!B306</f>
        <v>0</v>
      </c>
      <c r="C299" s="262">
        <f>Alukset_Käynnit!C306</f>
        <v>0</v>
      </c>
      <c r="D299" s="266">
        <f>Alukset_Käynnit!D306</f>
        <v>0</v>
      </c>
      <c r="E299" s="262">
        <f>Alukset_Käynnit!E306</f>
        <v>0</v>
      </c>
      <c r="F299" s="262">
        <f>Alukset_Käynnit!F306</f>
        <v>0</v>
      </c>
      <c r="G299" s="262">
        <f>Alukset_Käynnit!G306</f>
        <v>0</v>
      </c>
      <c r="H299" s="262">
        <f>Alukset_Käynnit!H306</f>
        <v>0</v>
      </c>
      <c r="I299" s="262">
        <f>Alukset_Käynnit!I306</f>
        <v>0</v>
      </c>
      <c r="J299" s="262">
        <f>Alukset_Käynnit!J306</f>
        <v>0</v>
      </c>
      <c r="K299" s="262">
        <f>Alukset_Käynnit!K306</f>
        <v>0</v>
      </c>
      <c r="L299" s="205">
        <f>Alukset_Käynnit!L306</f>
        <v>0</v>
      </c>
      <c r="N299" s="273">
        <f t="shared" si="63"/>
        <v>0</v>
      </c>
      <c r="O299" s="274">
        <f t="shared" si="64"/>
        <v>0</v>
      </c>
      <c r="Q299" s="204">
        <f t="shared" si="53"/>
        <v>0</v>
      </c>
      <c r="R299" s="202">
        <f>IF(Q299="Other dry cargo",L299*Alukset_fx!$B$71,IF(OR(Q299="Dry bulk",Q299="Bulk carrier"),L299*Alukset_fx!$B$69,IF(Q299="Tugboat",L299*Alukset_fx!$B$76,IF(OR(Q299="Tanker",Q299="Gas tanker",Q299="Chemical tanker",Q299="Oil tanker"),L299*Alukset_fx!$B$68,IF(OR(Q299="RoRo",Q299="Vehicle carrier"),L299*Alukset_fx!$B$72,IF(Q299="RoPax",L299*Alukset_fx!$B$73,IF(Q299="Container ship",L299*Alukset_fx!$B$70,IF(Q299="Barge",0,L299*Alukset_fx!$B$75))))))))</f>
        <v>0</v>
      </c>
      <c r="S299" s="210">
        <f>IF(L299=0,IF(Q299="Other dry cargo",Alukset_fx!$H$73*(Alukset_Käynnit_Lask!K299^Alukset_fx!$I$73),IF(OR(Q299="Dry Bulk",Q299="Bulk carrier"),Alukset_fx!$H$71*(Alukset_Käynnit_Lask!K299^Alukset_fx!$I$71),IF(Q299="Tugboat",Alukset_fx!$H$78*(Alukset_Käynnit_Lask!K299^Alukset_fx!$I$78),IF(OR(Q299="Tanker",Q299="Gas tanker",Q299="Chemical tanker",Q299="Oil tanker"),Alukset_fx!$H$70*(Alukset_Käynnit_Lask!K299^Alukset_fx!$I$70),IF(Q299="Container ship",Alukset_fx!$H$72*(Alukset_Käynnit_Lask!K299^Alukset_fx!$I$72),IF(Q299="Barge",0,IF(Q299="RoPax",Alukset_fx!$H$75*(Alukset_Käynnit_Lask!K299^Alukset_fx!$I$75),IF(OR(Q299="RoRo",Q299="Vehicle carrier"),Alukset_fx!$H$74*(Alukset_Käynnit_Lask!K299^Alukset_fx!$I$74),Alukset_fx!$H$77*(Alukset_Käynnit_Lask!K299^Alukset_fx!$I$77))))))))),"-")</f>
        <v>0</v>
      </c>
      <c r="T299" s="208">
        <f>IF(R299=0,IF(Q299="Other dry cargo",S299*Alukset_fx!$B$71,IF(OR(Q299="Dry bulk",Q299="Bulk carrier"),S299*Alukset_fx!$B$69,IF(Q299="Tugboat",S299*Alukset_fx!$B$76,IF(OR(Q299="Tanker",Q299="Gas tanker",Q299="Chemical tanker",Q299="Oil tanker"),S299*Alukset_fx!$B$68,IF(OR(Q299="RoRo",Q299="Vehicle carrier"),S299*Alukset_fx!$B$72,IF(Q299="RoPax",S299*Alukset_fx!$B$73,IF(Q299="Container ship",S299*Alukset_fx!$B$70,S299*Alukset_fx!$B$75))))))),"-")</f>
        <v>0</v>
      </c>
      <c r="U299" s="208">
        <f t="shared" si="54"/>
        <v>0</v>
      </c>
      <c r="V299" s="208">
        <f t="shared" si="55"/>
        <v>0</v>
      </c>
      <c r="W299" s="202">
        <f>Alukset_Käynnit!N306</f>
        <v>0</v>
      </c>
      <c r="X299" s="211">
        <f>IF(Q299="Other dry cargo", Alukset_fx!$C$52, IF(OR(Q299="Dry bulk",Q299="Bulk carrier"),Alukset_fx!$C$35,IF(OR(Q299="Tanker",Q299="Gas tanker",Q299="Oil tanker"),Alukset_fx!$C$57,IF(Q299="Chemical tanker",Alukset_fx!$C$56,IF(OR(Q299="Tugboat",Q299="Barge"),0,IF(Q299="Other vessel",Alukset_fx!$C$54,IF(Q299="Container ship",Alukset_fx!$C$37,IF(OR(Q299="RoPax",Q299="RoRo",Q299="Vehicle carrier"),Alukset_fx!$C$55,0))))))))</f>
        <v>0</v>
      </c>
      <c r="Y299" s="211">
        <f>IF(Q299="Other dry cargo", Alukset_fx!$Q$52, IF(OR(Q299="Dry bulk",Q299="Bulk carrier"),Alukset_fx!$Q$35,IF(OR(Q299="Tanker",Q299="Gas tanker",Q299="Oil tanker"),Alukset_fx!$Q$57,IF(Q299="Chemical tanker",Alukset_fx!$Q$56,IF(OR(Q299="Tugboat",Q299="Barge"),0,IF(Q299="Other vessel",Alukset_fx!$Q$54,IF(Q299="Container ship",Alukset_fx!$Q$37,IF(OR(Q299="RoPax",Q299="RoRo",Q299="Vehicle carrier"),Alukset_fx!$Q$55,0))))))))</f>
        <v>0</v>
      </c>
      <c r="Z299" t="str">
        <f t="shared" si="56"/>
        <v>MDO/MGO</v>
      </c>
      <c r="AA299" t="str">
        <f t="shared" si="57"/>
        <v>MSD</v>
      </c>
      <c r="AB299" t="str">
        <f t="shared" si="58"/>
        <v>MDO/MGO</v>
      </c>
      <c r="AC299" t="str">
        <f t="shared" si="59"/>
        <v>MSD</v>
      </c>
      <c r="AD299" t="str">
        <f t="shared" si="60"/>
        <v>MDO/MGO</v>
      </c>
      <c r="AE299" t="str">
        <f t="shared" si="61"/>
        <v>ST</v>
      </c>
      <c r="AG299">
        <f>Alukset_Käynnit!O306</f>
        <v>0</v>
      </c>
      <c r="AH299" s="207">
        <f>IF(AA299="SSD",((U299*Alukset_fx!$B$24)*Alukset_Käynnit_Lask!W299*(Alukset_fx!$K$49)/1000),IF(AA299="MSD",((U299*Alukset_fx!$B$24)*Alukset_Käynnit_Lask!W299*(Alukset_fx!$K$52)/1000),IF(AA299="HSD",((U299*Alukset_fx!$B$24)*Alukset_Käynnit_Lask!W299*(Alukset_fx!$K$55)/1000),0)))</f>
        <v>0</v>
      </c>
      <c r="AI299" s="207">
        <f>IF(AC299="MSD",((V299*Alukset_fx!$B$25)*Alukset_Käynnit_Lask!W299*(Alukset_fx!$L$52)/1000),IF(AC299="HSD",((V299*Alukset_fx!$B$25)*Alukset_Käynnit_Lask!W299*(Alukset_fx!$L$55)/1000),0))</f>
        <v>0</v>
      </c>
      <c r="AJ299" s="207">
        <f>X299*W299*Alukset_fx!$K$61/1000</f>
        <v>0</v>
      </c>
      <c r="AK299">
        <v>0</v>
      </c>
      <c r="AL299" s="207">
        <f>IF(AG299="Käytetty",0,IF(AC299="MSD",((V299*Alukset_fx!$O$25)*Alukset_Käynnit_Lask!O299*(Alukset_fx!$L$52)/1000),IF(AC299="HSD",((V299*Alukset_fx!$O$25)*Alukset_Käynnit_Lask!O299*(Alukset_fx!$L$55)/1000),0)))</f>
        <v>0</v>
      </c>
      <c r="AM299" s="207">
        <f>IF(AG299="Käytetty",0,Y299*O299*Alukset_fx!$K$61/1000)</f>
        <v>0</v>
      </c>
      <c r="AN299" s="213">
        <f t="shared" si="62"/>
        <v>0</v>
      </c>
    </row>
    <row r="300" spans="1:40" x14ac:dyDescent="0.25">
      <c r="A300" s="203">
        <f>Alukset_Käynnit!A307</f>
        <v>0</v>
      </c>
      <c r="B300" s="203">
        <f>Alukset_Käynnit!B307</f>
        <v>0</v>
      </c>
      <c r="C300" s="262">
        <f>Alukset_Käynnit!C307</f>
        <v>0</v>
      </c>
      <c r="D300" s="266">
        <f>Alukset_Käynnit!D307</f>
        <v>0</v>
      </c>
      <c r="E300" s="262">
        <f>Alukset_Käynnit!E307</f>
        <v>0</v>
      </c>
      <c r="F300" s="262">
        <f>Alukset_Käynnit!F307</f>
        <v>0</v>
      </c>
      <c r="G300" s="262">
        <f>Alukset_Käynnit!G307</f>
        <v>0</v>
      </c>
      <c r="H300" s="262">
        <f>Alukset_Käynnit!H307</f>
        <v>0</v>
      </c>
      <c r="I300" s="262">
        <f>Alukset_Käynnit!I307</f>
        <v>0</v>
      </c>
      <c r="J300" s="262">
        <f>Alukset_Käynnit!J307</f>
        <v>0</v>
      </c>
      <c r="K300" s="262">
        <f>Alukset_Käynnit!K307</f>
        <v>0</v>
      </c>
      <c r="L300" s="205">
        <f>Alukset_Käynnit!L307</f>
        <v>0</v>
      </c>
      <c r="N300" s="273">
        <f t="shared" si="63"/>
        <v>0</v>
      </c>
      <c r="O300" s="274">
        <f t="shared" si="64"/>
        <v>0</v>
      </c>
      <c r="Q300" s="204">
        <f t="shared" si="53"/>
        <v>0</v>
      </c>
      <c r="R300" s="202">
        <f>IF(Q300="Other dry cargo",L300*Alukset_fx!$B$71,IF(OR(Q300="Dry bulk",Q300="Bulk carrier"),L300*Alukset_fx!$B$69,IF(Q300="Tugboat",L300*Alukset_fx!$B$76,IF(OR(Q300="Tanker",Q300="Gas tanker",Q300="Chemical tanker",Q300="Oil tanker"),L300*Alukset_fx!$B$68,IF(OR(Q300="RoRo",Q300="Vehicle carrier"),L300*Alukset_fx!$B$72,IF(Q300="RoPax",L300*Alukset_fx!$B$73,IF(Q300="Container ship",L300*Alukset_fx!$B$70,IF(Q300="Barge",0,L300*Alukset_fx!$B$75))))))))</f>
        <v>0</v>
      </c>
      <c r="S300" s="210">
        <f>IF(L300=0,IF(Q300="Other dry cargo",Alukset_fx!$H$73*(Alukset_Käynnit_Lask!K300^Alukset_fx!$I$73),IF(OR(Q300="Dry Bulk",Q300="Bulk carrier"),Alukset_fx!$H$71*(Alukset_Käynnit_Lask!K300^Alukset_fx!$I$71),IF(Q300="Tugboat",Alukset_fx!$H$78*(Alukset_Käynnit_Lask!K300^Alukset_fx!$I$78),IF(OR(Q300="Tanker",Q300="Gas tanker",Q300="Chemical tanker",Q300="Oil tanker"),Alukset_fx!$H$70*(Alukset_Käynnit_Lask!K300^Alukset_fx!$I$70),IF(Q300="Container ship",Alukset_fx!$H$72*(Alukset_Käynnit_Lask!K300^Alukset_fx!$I$72),IF(Q300="Barge",0,IF(Q300="RoPax",Alukset_fx!$H$75*(Alukset_Käynnit_Lask!K300^Alukset_fx!$I$75),IF(OR(Q300="RoRo",Q300="Vehicle carrier"),Alukset_fx!$H$74*(Alukset_Käynnit_Lask!K300^Alukset_fx!$I$74),Alukset_fx!$H$77*(Alukset_Käynnit_Lask!K300^Alukset_fx!$I$77))))))))),"-")</f>
        <v>0</v>
      </c>
      <c r="T300" s="208">
        <f>IF(R300=0,IF(Q300="Other dry cargo",S300*Alukset_fx!$B$71,IF(OR(Q300="Dry bulk",Q300="Bulk carrier"),S300*Alukset_fx!$B$69,IF(Q300="Tugboat",S300*Alukset_fx!$B$76,IF(OR(Q300="Tanker",Q300="Gas tanker",Q300="Chemical tanker",Q300="Oil tanker"),S300*Alukset_fx!$B$68,IF(OR(Q300="RoRo",Q300="Vehicle carrier"),S300*Alukset_fx!$B$72,IF(Q300="RoPax",S300*Alukset_fx!$B$73,IF(Q300="Container ship",S300*Alukset_fx!$B$70,S300*Alukset_fx!$B$75))))))),"-")</f>
        <v>0</v>
      </c>
      <c r="U300" s="208">
        <f t="shared" si="54"/>
        <v>0</v>
      </c>
      <c r="V300" s="208">
        <f t="shared" si="55"/>
        <v>0</v>
      </c>
      <c r="W300" s="202">
        <f>Alukset_Käynnit!N307</f>
        <v>0</v>
      </c>
      <c r="X300" s="211">
        <f>IF(Q300="Other dry cargo", Alukset_fx!$C$52, IF(OR(Q300="Dry bulk",Q300="Bulk carrier"),Alukset_fx!$C$35,IF(OR(Q300="Tanker",Q300="Gas tanker",Q300="Oil tanker"),Alukset_fx!$C$57,IF(Q300="Chemical tanker",Alukset_fx!$C$56,IF(OR(Q300="Tugboat",Q300="Barge"),0,IF(Q300="Other vessel",Alukset_fx!$C$54,IF(Q300="Container ship",Alukset_fx!$C$37,IF(OR(Q300="RoPax",Q300="RoRo",Q300="Vehicle carrier"),Alukset_fx!$C$55,0))))))))</f>
        <v>0</v>
      </c>
      <c r="Y300" s="211">
        <f>IF(Q300="Other dry cargo", Alukset_fx!$Q$52, IF(OR(Q300="Dry bulk",Q300="Bulk carrier"),Alukset_fx!$Q$35,IF(OR(Q300="Tanker",Q300="Gas tanker",Q300="Oil tanker"),Alukset_fx!$Q$57,IF(Q300="Chemical tanker",Alukset_fx!$Q$56,IF(OR(Q300="Tugboat",Q300="Barge"),0,IF(Q300="Other vessel",Alukset_fx!$Q$54,IF(Q300="Container ship",Alukset_fx!$Q$37,IF(OR(Q300="RoPax",Q300="RoRo",Q300="Vehicle carrier"),Alukset_fx!$Q$55,0))))))))</f>
        <v>0</v>
      </c>
      <c r="Z300" t="str">
        <f t="shared" si="56"/>
        <v>MDO/MGO</v>
      </c>
      <c r="AA300" t="str">
        <f t="shared" si="57"/>
        <v>MSD</v>
      </c>
      <c r="AB300" t="str">
        <f t="shared" si="58"/>
        <v>MDO/MGO</v>
      </c>
      <c r="AC300" t="str">
        <f t="shared" si="59"/>
        <v>MSD</v>
      </c>
      <c r="AD300" t="str">
        <f t="shared" si="60"/>
        <v>MDO/MGO</v>
      </c>
      <c r="AE300" t="str">
        <f t="shared" si="61"/>
        <v>ST</v>
      </c>
      <c r="AG300">
        <f>Alukset_Käynnit!O307</f>
        <v>0</v>
      </c>
      <c r="AH300" s="207">
        <f>IF(AA300="SSD",((U300*Alukset_fx!$B$24)*Alukset_Käynnit_Lask!W300*(Alukset_fx!$K$49)/1000),IF(AA300="MSD",((U300*Alukset_fx!$B$24)*Alukset_Käynnit_Lask!W300*(Alukset_fx!$K$52)/1000),IF(AA300="HSD",((U300*Alukset_fx!$B$24)*Alukset_Käynnit_Lask!W300*(Alukset_fx!$K$55)/1000),0)))</f>
        <v>0</v>
      </c>
      <c r="AI300" s="207">
        <f>IF(AC300="MSD",((V300*Alukset_fx!$B$25)*Alukset_Käynnit_Lask!W300*(Alukset_fx!$L$52)/1000),IF(AC300="HSD",((V300*Alukset_fx!$B$25)*Alukset_Käynnit_Lask!W300*(Alukset_fx!$L$55)/1000),0))</f>
        <v>0</v>
      </c>
      <c r="AJ300" s="207">
        <f>X300*W300*Alukset_fx!$K$61/1000</f>
        <v>0</v>
      </c>
      <c r="AK300">
        <v>0</v>
      </c>
      <c r="AL300" s="207">
        <f>IF(AG300="Käytetty",0,IF(AC300="MSD",((V300*Alukset_fx!$O$25)*Alukset_Käynnit_Lask!O300*(Alukset_fx!$L$52)/1000),IF(AC300="HSD",((V300*Alukset_fx!$O$25)*Alukset_Käynnit_Lask!O300*(Alukset_fx!$L$55)/1000),0)))</f>
        <v>0</v>
      </c>
      <c r="AM300" s="207">
        <f>IF(AG300="Käytetty",0,Y300*O300*Alukset_fx!$K$61/1000)</f>
        <v>0</v>
      </c>
      <c r="AN300" s="213">
        <f t="shared" si="62"/>
        <v>0</v>
      </c>
    </row>
    <row r="301" spans="1:40" x14ac:dyDescent="0.25">
      <c r="A301" s="203">
        <f>Alukset_Käynnit!A308</f>
        <v>0</v>
      </c>
      <c r="B301" s="203">
        <f>Alukset_Käynnit!B308</f>
        <v>0</v>
      </c>
      <c r="C301" s="262">
        <f>Alukset_Käynnit!C308</f>
        <v>0</v>
      </c>
      <c r="D301" s="266">
        <f>Alukset_Käynnit!D308</f>
        <v>0</v>
      </c>
      <c r="E301" s="262">
        <f>Alukset_Käynnit!E308</f>
        <v>0</v>
      </c>
      <c r="F301" s="262">
        <f>Alukset_Käynnit!F308</f>
        <v>0</v>
      </c>
      <c r="G301" s="262">
        <f>Alukset_Käynnit!G308</f>
        <v>0</v>
      </c>
      <c r="H301" s="262">
        <f>Alukset_Käynnit!H308</f>
        <v>0</v>
      </c>
      <c r="I301" s="262">
        <f>Alukset_Käynnit!I308</f>
        <v>0</v>
      </c>
      <c r="J301" s="262">
        <f>Alukset_Käynnit!J308</f>
        <v>0</v>
      </c>
      <c r="K301" s="262">
        <f>Alukset_Käynnit!K308</f>
        <v>0</v>
      </c>
      <c r="L301" s="205">
        <f>Alukset_Käynnit!L308</f>
        <v>0</v>
      </c>
      <c r="N301" s="273">
        <f t="shared" si="63"/>
        <v>0</v>
      </c>
      <c r="O301" s="274">
        <f t="shared" si="64"/>
        <v>0</v>
      </c>
      <c r="Q301" s="204">
        <f t="shared" si="53"/>
        <v>0</v>
      </c>
      <c r="R301" s="202">
        <f>IF(Q301="Other dry cargo",L301*Alukset_fx!$B$71,IF(OR(Q301="Dry bulk",Q301="Bulk carrier"),L301*Alukset_fx!$B$69,IF(Q301="Tugboat",L301*Alukset_fx!$B$76,IF(OR(Q301="Tanker",Q301="Gas tanker",Q301="Chemical tanker",Q301="Oil tanker"),L301*Alukset_fx!$B$68,IF(OR(Q301="RoRo",Q301="Vehicle carrier"),L301*Alukset_fx!$B$72,IF(Q301="RoPax",L301*Alukset_fx!$B$73,IF(Q301="Container ship",L301*Alukset_fx!$B$70,IF(Q301="Barge",0,L301*Alukset_fx!$B$75))))))))</f>
        <v>0</v>
      </c>
      <c r="S301" s="210">
        <f>IF(L301=0,IF(Q301="Other dry cargo",Alukset_fx!$H$73*(Alukset_Käynnit_Lask!K301^Alukset_fx!$I$73),IF(OR(Q301="Dry Bulk",Q301="Bulk carrier"),Alukset_fx!$H$71*(Alukset_Käynnit_Lask!K301^Alukset_fx!$I$71),IF(Q301="Tugboat",Alukset_fx!$H$78*(Alukset_Käynnit_Lask!K301^Alukset_fx!$I$78),IF(OR(Q301="Tanker",Q301="Gas tanker",Q301="Chemical tanker",Q301="Oil tanker"),Alukset_fx!$H$70*(Alukset_Käynnit_Lask!K301^Alukset_fx!$I$70),IF(Q301="Container ship",Alukset_fx!$H$72*(Alukset_Käynnit_Lask!K301^Alukset_fx!$I$72),IF(Q301="Barge",0,IF(Q301="RoPax",Alukset_fx!$H$75*(Alukset_Käynnit_Lask!K301^Alukset_fx!$I$75),IF(OR(Q301="RoRo",Q301="Vehicle carrier"),Alukset_fx!$H$74*(Alukset_Käynnit_Lask!K301^Alukset_fx!$I$74),Alukset_fx!$H$77*(Alukset_Käynnit_Lask!K301^Alukset_fx!$I$77))))))))),"-")</f>
        <v>0</v>
      </c>
      <c r="T301" s="208">
        <f>IF(R301=0,IF(Q301="Other dry cargo",S301*Alukset_fx!$B$71,IF(OR(Q301="Dry bulk",Q301="Bulk carrier"),S301*Alukset_fx!$B$69,IF(Q301="Tugboat",S301*Alukset_fx!$B$76,IF(OR(Q301="Tanker",Q301="Gas tanker",Q301="Chemical tanker",Q301="Oil tanker"),S301*Alukset_fx!$B$68,IF(OR(Q301="RoRo",Q301="Vehicle carrier"),S301*Alukset_fx!$B$72,IF(Q301="RoPax",S301*Alukset_fx!$B$73,IF(Q301="Container ship",S301*Alukset_fx!$B$70,S301*Alukset_fx!$B$75))))))),"-")</f>
        <v>0</v>
      </c>
      <c r="U301" s="208">
        <f t="shared" si="54"/>
        <v>0</v>
      </c>
      <c r="V301" s="208">
        <f t="shared" si="55"/>
        <v>0</v>
      </c>
      <c r="W301" s="202">
        <f>Alukset_Käynnit!N308</f>
        <v>0</v>
      </c>
      <c r="X301" s="211">
        <f>IF(Q301="Other dry cargo", Alukset_fx!$C$52, IF(OR(Q301="Dry bulk",Q301="Bulk carrier"),Alukset_fx!$C$35,IF(OR(Q301="Tanker",Q301="Gas tanker",Q301="Oil tanker"),Alukset_fx!$C$57,IF(Q301="Chemical tanker",Alukset_fx!$C$56,IF(OR(Q301="Tugboat",Q301="Barge"),0,IF(Q301="Other vessel",Alukset_fx!$C$54,IF(Q301="Container ship",Alukset_fx!$C$37,IF(OR(Q301="RoPax",Q301="RoRo",Q301="Vehicle carrier"),Alukset_fx!$C$55,0))))))))</f>
        <v>0</v>
      </c>
      <c r="Y301" s="211">
        <f>IF(Q301="Other dry cargo", Alukset_fx!$Q$52, IF(OR(Q301="Dry bulk",Q301="Bulk carrier"),Alukset_fx!$Q$35,IF(OR(Q301="Tanker",Q301="Gas tanker",Q301="Oil tanker"),Alukset_fx!$Q$57,IF(Q301="Chemical tanker",Alukset_fx!$Q$56,IF(OR(Q301="Tugboat",Q301="Barge"),0,IF(Q301="Other vessel",Alukset_fx!$Q$54,IF(Q301="Container ship",Alukset_fx!$Q$37,IF(OR(Q301="RoPax",Q301="RoRo",Q301="Vehicle carrier"),Alukset_fx!$Q$55,0))))))))</f>
        <v>0</v>
      </c>
      <c r="Z301" t="str">
        <f t="shared" si="56"/>
        <v>MDO/MGO</v>
      </c>
      <c r="AA301" t="str">
        <f t="shared" si="57"/>
        <v>MSD</v>
      </c>
      <c r="AB301" t="str">
        <f t="shared" si="58"/>
        <v>MDO/MGO</v>
      </c>
      <c r="AC301" t="str">
        <f t="shared" si="59"/>
        <v>MSD</v>
      </c>
      <c r="AD301" t="str">
        <f t="shared" si="60"/>
        <v>MDO/MGO</v>
      </c>
      <c r="AE301" t="str">
        <f t="shared" si="61"/>
        <v>ST</v>
      </c>
      <c r="AG301">
        <f>Alukset_Käynnit!O308</f>
        <v>0</v>
      </c>
      <c r="AH301" s="207">
        <f>IF(AA301="SSD",((U301*Alukset_fx!$B$24)*Alukset_Käynnit_Lask!W301*(Alukset_fx!$K$49)/1000),IF(AA301="MSD",((U301*Alukset_fx!$B$24)*Alukset_Käynnit_Lask!W301*(Alukset_fx!$K$52)/1000),IF(AA301="HSD",((U301*Alukset_fx!$B$24)*Alukset_Käynnit_Lask!W301*(Alukset_fx!$K$55)/1000),0)))</f>
        <v>0</v>
      </c>
      <c r="AI301" s="207">
        <f>IF(AC301="MSD",((V301*Alukset_fx!$B$25)*Alukset_Käynnit_Lask!W301*(Alukset_fx!$L$52)/1000),IF(AC301="HSD",((V301*Alukset_fx!$B$25)*Alukset_Käynnit_Lask!W301*(Alukset_fx!$L$55)/1000),0))</f>
        <v>0</v>
      </c>
      <c r="AJ301" s="207">
        <f>X301*W301*Alukset_fx!$K$61/1000</f>
        <v>0</v>
      </c>
      <c r="AK301">
        <v>0</v>
      </c>
      <c r="AL301" s="207">
        <f>IF(AG301="Käytetty",0,IF(AC301="MSD",((V301*Alukset_fx!$O$25)*Alukset_Käynnit_Lask!O301*(Alukset_fx!$L$52)/1000),IF(AC301="HSD",((V301*Alukset_fx!$O$25)*Alukset_Käynnit_Lask!O301*(Alukset_fx!$L$55)/1000),0)))</f>
        <v>0</v>
      </c>
      <c r="AM301" s="207">
        <f>IF(AG301="Käytetty",0,Y301*O301*Alukset_fx!$K$61/1000)</f>
        <v>0</v>
      </c>
      <c r="AN301" s="213">
        <f t="shared" si="62"/>
        <v>0</v>
      </c>
    </row>
    <row r="302" spans="1:40" x14ac:dyDescent="0.25">
      <c r="A302" s="203">
        <f>Alukset_Käynnit!A309</f>
        <v>0</v>
      </c>
      <c r="B302" s="203">
        <f>Alukset_Käynnit!B309</f>
        <v>0</v>
      </c>
      <c r="C302" s="262">
        <f>Alukset_Käynnit!C309</f>
        <v>0</v>
      </c>
      <c r="D302" s="266">
        <f>Alukset_Käynnit!D309</f>
        <v>0</v>
      </c>
      <c r="E302" s="262">
        <f>Alukset_Käynnit!E309</f>
        <v>0</v>
      </c>
      <c r="F302" s="262">
        <f>Alukset_Käynnit!F309</f>
        <v>0</v>
      </c>
      <c r="G302" s="262">
        <f>Alukset_Käynnit!G309</f>
        <v>0</v>
      </c>
      <c r="H302" s="262">
        <f>Alukset_Käynnit!H309</f>
        <v>0</v>
      </c>
      <c r="I302" s="262">
        <f>Alukset_Käynnit!I309</f>
        <v>0</v>
      </c>
      <c r="J302" s="262">
        <f>Alukset_Käynnit!J309</f>
        <v>0</v>
      </c>
      <c r="K302" s="262">
        <f>Alukset_Käynnit!K309</f>
        <v>0</v>
      </c>
      <c r="L302" s="205">
        <f>Alukset_Käynnit!L309</f>
        <v>0</v>
      </c>
      <c r="N302" s="273">
        <f t="shared" si="63"/>
        <v>0</v>
      </c>
      <c r="O302" s="274">
        <f t="shared" si="64"/>
        <v>0</v>
      </c>
      <c r="Q302" s="204">
        <f t="shared" si="53"/>
        <v>0</v>
      </c>
      <c r="R302" s="202">
        <f>IF(Q302="Other dry cargo",L302*Alukset_fx!$B$71,IF(OR(Q302="Dry bulk",Q302="Bulk carrier"),L302*Alukset_fx!$B$69,IF(Q302="Tugboat",L302*Alukset_fx!$B$76,IF(OR(Q302="Tanker",Q302="Gas tanker",Q302="Chemical tanker",Q302="Oil tanker"),L302*Alukset_fx!$B$68,IF(OR(Q302="RoRo",Q302="Vehicle carrier"),L302*Alukset_fx!$B$72,IF(Q302="RoPax",L302*Alukset_fx!$B$73,IF(Q302="Container ship",L302*Alukset_fx!$B$70,IF(Q302="Barge",0,L302*Alukset_fx!$B$75))))))))</f>
        <v>0</v>
      </c>
      <c r="S302" s="210">
        <f>IF(L302=0,IF(Q302="Other dry cargo",Alukset_fx!$H$73*(Alukset_Käynnit_Lask!K302^Alukset_fx!$I$73),IF(OR(Q302="Dry Bulk",Q302="Bulk carrier"),Alukset_fx!$H$71*(Alukset_Käynnit_Lask!K302^Alukset_fx!$I$71),IF(Q302="Tugboat",Alukset_fx!$H$78*(Alukset_Käynnit_Lask!K302^Alukset_fx!$I$78),IF(OR(Q302="Tanker",Q302="Gas tanker",Q302="Chemical tanker",Q302="Oil tanker"),Alukset_fx!$H$70*(Alukset_Käynnit_Lask!K302^Alukset_fx!$I$70),IF(Q302="Container ship",Alukset_fx!$H$72*(Alukset_Käynnit_Lask!K302^Alukset_fx!$I$72),IF(Q302="Barge",0,IF(Q302="RoPax",Alukset_fx!$H$75*(Alukset_Käynnit_Lask!K302^Alukset_fx!$I$75),IF(OR(Q302="RoRo",Q302="Vehicle carrier"),Alukset_fx!$H$74*(Alukset_Käynnit_Lask!K302^Alukset_fx!$I$74),Alukset_fx!$H$77*(Alukset_Käynnit_Lask!K302^Alukset_fx!$I$77))))))))),"-")</f>
        <v>0</v>
      </c>
      <c r="T302" s="208">
        <f>IF(R302=0,IF(Q302="Other dry cargo",S302*Alukset_fx!$B$71,IF(OR(Q302="Dry bulk",Q302="Bulk carrier"),S302*Alukset_fx!$B$69,IF(Q302="Tugboat",S302*Alukset_fx!$B$76,IF(OR(Q302="Tanker",Q302="Gas tanker",Q302="Chemical tanker",Q302="Oil tanker"),S302*Alukset_fx!$B$68,IF(OR(Q302="RoRo",Q302="Vehicle carrier"),S302*Alukset_fx!$B$72,IF(Q302="RoPax",S302*Alukset_fx!$B$73,IF(Q302="Container ship",S302*Alukset_fx!$B$70,S302*Alukset_fx!$B$75))))))),"-")</f>
        <v>0</v>
      </c>
      <c r="U302" s="208">
        <f t="shared" si="54"/>
        <v>0</v>
      </c>
      <c r="V302" s="208">
        <f t="shared" si="55"/>
        <v>0</v>
      </c>
      <c r="W302" s="202">
        <f>Alukset_Käynnit!N309</f>
        <v>0</v>
      </c>
      <c r="X302" s="211">
        <f>IF(Q302="Other dry cargo", Alukset_fx!$C$52, IF(OR(Q302="Dry bulk",Q302="Bulk carrier"),Alukset_fx!$C$35,IF(OR(Q302="Tanker",Q302="Gas tanker",Q302="Oil tanker"),Alukset_fx!$C$57,IF(Q302="Chemical tanker",Alukset_fx!$C$56,IF(OR(Q302="Tugboat",Q302="Barge"),0,IF(Q302="Other vessel",Alukset_fx!$C$54,IF(Q302="Container ship",Alukset_fx!$C$37,IF(OR(Q302="RoPax",Q302="RoRo",Q302="Vehicle carrier"),Alukset_fx!$C$55,0))))))))</f>
        <v>0</v>
      </c>
      <c r="Y302" s="211">
        <f>IF(Q302="Other dry cargo", Alukset_fx!$Q$52, IF(OR(Q302="Dry bulk",Q302="Bulk carrier"),Alukset_fx!$Q$35,IF(OR(Q302="Tanker",Q302="Gas tanker",Q302="Oil tanker"),Alukset_fx!$Q$57,IF(Q302="Chemical tanker",Alukset_fx!$Q$56,IF(OR(Q302="Tugboat",Q302="Barge"),0,IF(Q302="Other vessel",Alukset_fx!$Q$54,IF(Q302="Container ship",Alukset_fx!$Q$37,IF(OR(Q302="RoPax",Q302="RoRo",Q302="Vehicle carrier"),Alukset_fx!$Q$55,0))))))))</f>
        <v>0</v>
      </c>
      <c r="Z302" t="str">
        <f t="shared" si="56"/>
        <v>MDO/MGO</v>
      </c>
      <c r="AA302" t="str">
        <f t="shared" si="57"/>
        <v>MSD</v>
      </c>
      <c r="AB302" t="str">
        <f t="shared" si="58"/>
        <v>MDO/MGO</v>
      </c>
      <c r="AC302" t="str">
        <f t="shared" si="59"/>
        <v>MSD</v>
      </c>
      <c r="AD302" t="str">
        <f t="shared" si="60"/>
        <v>MDO/MGO</v>
      </c>
      <c r="AE302" t="str">
        <f t="shared" si="61"/>
        <v>ST</v>
      </c>
      <c r="AG302">
        <f>Alukset_Käynnit!O309</f>
        <v>0</v>
      </c>
      <c r="AH302" s="207">
        <f>IF(AA302="SSD",((U302*Alukset_fx!$B$24)*Alukset_Käynnit_Lask!W302*(Alukset_fx!$K$49)/1000),IF(AA302="MSD",((U302*Alukset_fx!$B$24)*Alukset_Käynnit_Lask!W302*(Alukset_fx!$K$52)/1000),IF(AA302="HSD",((U302*Alukset_fx!$B$24)*Alukset_Käynnit_Lask!W302*(Alukset_fx!$K$55)/1000),0)))</f>
        <v>0</v>
      </c>
      <c r="AI302" s="207">
        <f>IF(AC302="MSD",((V302*Alukset_fx!$B$25)*Alukset_Käynnit_Lask!W302*(Alukset_fx!$L$52)/1000),IF(AC302="HSD",((V302*Alukset_fx!$B$25)*Alukset_Käynnit_Lask!W302*(Alukset_fx!$L$55)/1000),0))</f>
        <v>0</v>
      </c>
      <c r="AJ302" s="207">
        <f>X302*W302*Alukset_fx!$K$61/1000</f>
        <v>0</v>
      </c>
      <c r="AK302">
        <v>0</v>
      </c>
      <c r="AL302" s="207">
        <f>IF(AG302="Käytetty",0,IF(AC302="MSD",((V302*Alukset_fx!$O$25)*Alukset_Käynnit_Lask!O302*(Alukset_fx!$L$52)/1000),IF(AC302="HSD",((V302*Alukset_fx!$O$25)*Alukset_Käynnit_Lask!O302*(Alukset_fx!$L$55)/1000),0)))</f>
        <v>0</v>
      </c>
      <c r="AM302" s="207">
        <f>IF(AG302="Käytetty",0,Y302*O302*Alukset_fx!$K$61/1000)</f>
        <v>0</v>
      </c>
      <c r="AN302" s="213">
        <f t="shared" si="62"/>
        <v>0</v>
      </c>
    </row>
    <row r="303" spans="1:40" x14ac:dyDescent="0.25">
      <c r="A303" s="203">
        <f>Alukset_Käynnit!A310</f>
        <v>0</v>
      </c>
      <c r="B303" s="203">
        <f>Alukset_Käynnit!B310</f>
        <v>0</v>
      </c>
      <c r="C303" s="262">
        <f>Alukset_Käynnit!C310</f>
        <v>0</v>
      </c>
      <c r="D303" s="266">
        <f>Alukset_Käynnit!D310</f>
        <v>0</v>
      </c>
      <c r="E303" s="262">
        <f>Alukset_Käynnit!E310</f>
        <v>0</v>
      </c>
      <c r="F303" s="262">
        <f>Alukset_Käynnit!F310</f>
        <v>0</v>
      </c>
      <c r="G303" s="262">
        <f>Alukset_Käynnit!G310</f>
        <v>0</v>
      </c>
      <c r="H303" s="262">
        <f>Alukset_Käynnit!H310</f>
        <v>0</v>
      </c>
      <c r="I303" s="262">
        <f>Alukset_Käynnit!I310</f>
        <v>0</v>
      </c>
      <c r="J303" s="262">
        <f>Alukset_Käynnit!J310</f>
        <v>0</v>
      </c>
      <c r="K303" s="262">
        <f>Alukset_Käynnit!K310</f>
        <v>0</v>
      </c>
      <c r="L303" s="205">
        <f>Alukset_Käynnit!L310</f>
        <v>0</v>
      </c>
      <c r="N303" s="273">
        <f t="shared" si="63"/>
        <v>0</v>
      </c>
      <c r="O303" s="274">
        <f t="shared" si="64"/>
        <v>0</v>
      </c>
      <c r="Q303" s="204">
        <f t="shared" si="53"/>
        <v>0</v>
      </c>
      <c r="R303" s="202">
        <f>IF(Q303="Other dry cargo",L303*Alukset_fx!$B$71,IF(OR(Q303="Dry bulk",Q303="Bulk carrier"),L303*Alukset_fx!$B$69,IF(Q303="Tugboat",L303*Alukset_fx!$B$76,IF(OR(Q303="Tanker",Q303="Gas tanker",Q303="Chemical tanker",Q303="Oil tanker"),L303*Alukset_fx!$B$68,IF(OR(Q303="RoRo",Q303="Vehicle carrier"),L303*Alukset_fx!$B$72,IF(Q303="RoPax",L303*Alukset_fx!$B$73,IF(Q303="Container ship",L303*Alukset_fx!$B$70,IF(Q303="Barge",0,L303*Alukset_fx!$B$75))))))))</f>
        <v>0</v>
      </c>
      <c r="S303" s="210">
        <f>IF(L303=0,IF(Q303="Other dry cargo",Alukset_fx!$H$73*(Alukset_Käynnit_Lask!K303^Alukset_fx!$I$73),IF(OR(Q303="Dry Bulk",Q303="Bulk carrier"),Alukset_fx!$H$71*(Alukset_Käynnit_Lask!K303^Alukset_fx!$I$71),IF(Q303="Tugboat",Alukset_fx!$H$78*(Alukset_Käynnit_Lask!K303^Alukset_fx!$I$78),IF(OR(Q303="Tanker",Q303="Gas tanker",Q303="Chemical tanker",Q303="Oil tanker"),Alukset_fx!$H$70*(Alukset_Käynnit_Lask!K303^Alukset_fx!$I$70),IF(Q303="Container ship",Alukset_fx!$H$72*(Alukset_Käynnit_Lask!K303^Alukset_fx!$I$72),IF(Q303="Barge",0,IF(Q303="RoPax",Alukset_fx!$H$75*(Alukset_Käynnit_Lask!K303^Alukset_fx!$I$75),IF(OR(Q303="RoRo",Q303="Vehicle carrier"),Alukset_fx!$H$74*(Alukset_Käynnit_Lask!K303^Alukset_fx!$I$74),Alukset_fx!$H$77*(Alukset_Käynnit_Lask!K303^Alukset_fx!$I$77))))))))),"-")</f>
        <v>0</v>
      </c>
      <c r="T303" s="208">
        <f>IF(R303=0,IF(Q303="Other dry cargo",S303*Alukset_fx!$B$71,IF(OR(Q303="Dry bulk",Q303="Bulk carrier"),S303*Alukset_fx!$B$69,IF(Q303="Tugboat",S303*Alukset_fx!$B$76,IF(OR(Q303="Tanker",Q303="Gas tanker",Q303="Chemical tanker",Q303="Oil tanker"),S303*Alukset_fx!$B$68,IF(OR(Q303="RoRo",Q303="Vehicle carrier"),S303*Alukset_fx!$B$72,IF(Q303="RoPax",S303*Alukset_fx!$B$73,IF(Q303="Container ship",S303*Alukset_fx!$B$70,S303*Alukset_fx!$B$75))))))),"-")</f>
        <v>0</v>
      </c>
      <c r="U303" s="208">
        <f t="shared" si="54"/>
        <v>0</v>
      </c>
      <c r="V303" s="208">
        <f t="shared" si="55"/>
        <v>0</v>
      </c>
      <c r="W303" s="202">
        <f>Alukset_Käynnit!N310</f>
        <v>0</v>
      </c>
      <c r="X303" s="211">
        <f>IF(Q303="Other dry cargo", Alukset_fx!$C$52, IF(OR(Q303="Dry bulk",Q303="Bulk carrier"),Alukset_fx!$C$35,IF(OR(Q303="Tanker",Q303="Gas tanker",Q303="Oil tanker"),Alukset_fx!$C$57,IF(Q303="Chemical tanker",Alukset_fx!$C$56,IF(OR(Q303="Tugboat",Q303="Barge"),0,IF(Q303="Other vessel",Alukset_fx!$C$54,IF(Q303="Container ship",Alukset_fx!$C$37,IF(OR(Q303="RoPax",Q303="RoRo",Q303="Vehicle carrier"),Alukset_fx!$C$55,0))))))))</f>
        <v>0</v>
      </c>
      <c r="Y303" s="211">
        <f>IF(Q303="Other dry cargo", Alukset_fx!$Q$52, IF(OR(Q303="Dry bulk",Q303="Bulk carrier"),Alukset_fx!$Q$35,IF(OR(Q303="Tanker",Q303="Gas tanker",Q303="Oil tanker"),Alukset_fx!$Q$57,IF(Q303="Chemical tanker",Alukset_fx!$Q$56,IF(OR(Q303="Tugboat",Q303="Barge"),0,IF(Q303="Other vessel",Alukset_fx!$Q$54,IF(Q303="Container ship",Alukset_fx!$Q$37,IF(OR(Q303="RoPax",Q303="RoRo",Q303="Vehicle carrier"),Alukset_fx!$Q$55,0))))))))</f>
        <v>0</v>
      </c>
      <c r="Z303" t="str">
        <f t="shared" si="56"/>
        <v>MDO/MGO</v>
      </c>
      <c r="AA303" t="str">
        <f t="shared" si="57"/>
        <v>MSD</v>
      </c>
      <c r="AB303" t="str">
        <f t="shared" si="58"/>
        <v>MDO/MGO</v>
      </c>
      <c r="AC303" t="str">
        <f t="shared" si="59"/>
        <v>MSD</v>
      </c>
      <c r="AD303" t="str">
        <f t="shared" si="60"/>
        <v>MDO/MGO</v>
      </c>
      <c r="AE303" t="str">
        <f t="shared" si="61"/>
        <v>ST</v>
      </c>
      <c r="AG303">
        <f>Alukset_Käynnit!O310</f>
        <v>0</v>
      </c>
      <c r="AH303" s="207">
        <f>IF(AA303="SSD",((U303*Alukset_fx!$B$24)*Alukset_Käynnit_Lask!W303*(Alukset_fx!$K$49)/1000),IF(AA303="MSD",((U303*Alukset_fx!$B$24)*Alukset_Käynnit_Lask!W303*(Alukset_fx!$K$52)/1000),IF(AA303="HSD",((U303*Alukset_fx!$B$24)*Alukset_Käynnit_Lask!W303*(Alukset_fx!$K$55)/1000),0)))</f>
        <v>0</v>
      </c>
      <c r="AI303" s="207">
        <f>IF(AC303="MSD",((V303*Alukset_fx!$B$25)*Alukset_Käynnit_Lask!W303*(Alukset_fx!$L$52)/1000),IF(AC303="HSD",((V303*Alukset_fx!$B$25)*Alukset_Käynnit_Lask!W303*(Alukset_fx!$L$55)/1000),0))</f>
        <v>0</v>
      </c>
      <c r="AJ303" s="207">
        <f>X303*W303*Alukset_fx!$K$61/1000</f>
        <v>0</v>
      </c>
      <c r="AK303">
        <v>0</v>
      </c>
      <c r="AL303" s="207">
        <f>IF(AG303="Käytetty",0,IF(AC303="MSD",((V303*Alukset_fx!$O$25)*Alukset_Käynnit_Lask!O303*(Alukset_fx!$L$52)/1000),IF(AC303="HSD",((V303*Alukset_fx!$O$25)*Alukset_Käynnit_Lask!O303*(Alukset_fx!$L$55)/1000),0)))</f>
        <v>0</v>
      </c>
      <c r="AM303" s="207">
        <f>IF(AG303="Käytetty",0,Y303*O303*Alukset_fx!$K$61/1000)</f>
        <v>0</v>
      </c>
      <c r="AN303" s="213">
        <f t="shared" si="62"/>
        <v>0</v>
      </c>
    </row>
    <row r="304" spans="1:40" x14ac:dyDescent="0.25">
      <c r="A304" s="203">
        <f>Alukset_Käynnit!A311</f>
        <v>0</v>
      </c>
      <c r="B304" s="203">
        <f>Alukset_Käynnit!B311</f>
        <v>0</v>
      </c>
      <c r="C304" s="262">
        <f>Alukset_Käynnit!C311</f>
        <v>0</v>
      </c>
      <c r="D304" s="266">
        <f>Alukset_Käynnit!D311</f>
        <v>0</v>
      </c>
      <c r="E304" s="262">
        <f>Alukset_Käynnit!E311</f>
        <v>0</v>
      </c>
      <c r="F304" s="262">
        <f>Alukset_Käynnit!F311</f>
        <v>0</v>
      </c>
      <c r="G304" s="262">
        <f>Alukset_Käynnit!G311</f>
        <v>0</v>
      </c>
      <c r="H304" s="262">
        <f>Alukset_Käynnit!H311</f>
        <v>0</v>
      </c>
      <c r="I304" s="262">
        <f>Alukset_Käynnit!I311</f>
        <v>0</v>
      </c>
      <c r="J304" s="262">
        <f>Alukset_Käynnit!J311</f>
        <v>0</v>
      </c>
      <c r="K304" s="262">
        <f>Alukset_Käynnit!K311</f>
        <v>0</v>
      </c>
      <c r="L304" s="205">
        <f>Alukset_Käynnit!L311</f>
        <v>0</v>
      </c>
      <c r="N304" s="273">
        <f t="shared" si="63"/>
        <v>0</v>
      </c>
      <c r="O304" s="274">
        <f t="shared" si="64"/>
        <v>0</v>
      </c>
      <c r="Q304" s="204">
        <f t="shared" si="53"/>
        <v>0</v>
      </c>
      <c r="R304" s="202">
        <f>IF(Q304="Other dry cargo",L304*Alukset_fx!$B$71,IF(OR(Q304="Dry bulk",Q304="Bulk carrier"),L304*Alukset_fx!$B$69,IF(Q304="Tugboat",L304*Alukset_fx!$B$76,IF(OR(Q304="Tanker",Q304="Gas tanker",Q304="Chemical tanker",Q304="Oil tanker"),L304*Alukset_fx!$B$68,IF(OR(Q304="RoRo",Q304="Vehicle carrier"),L304*Alukset_fx!$B$72,IF(Q304="RoPax",L304*Alukset_fx!$B$73,IF(Q304="Container ship",L304*Alukset_fx!$B$70,IF(Q304="Barge",0,L304*Alukset_fx!$B$75))))))))</f>
        <v>0</v>
      </c>
      <c r="S304" s="210">
        <f>IF(L304=0,IF(Q304="Other dry cargo",Alukset_fx!$H$73*(Alukset_Käynnit_Lask!K304^Alukset_fx!$I$73),IF(OR(Q304="Dry Bulk",Q304="Bulk carrier"),Alukset_fx!$H$71*(Alukset_Käynnit_Lask!K304^Alukset_fx!$I$71),IF(Q304="Tugboat",Alukset_fx!$H$78*(Alukset_Käynnit_Lask!K304^Alukset_fx!$I$78),IF(OR(Q304="Tanker",Q304="Gas tanker",Q304="Chemical tanker",Q304="Oil tanker"),Alukset_fx!$H$70*(Alukset_Käynnit_Lask!K304^Alukset_fx!$I$70),IF(Q304="Container ship",Alukset_fx!$H$72*(Alukset_Käynnit_Lask!K304^Alukset_fx!$I$72),IF(Q304="Barge",0,IF(Q304="RoPax",Alukset_fx!$H$75*(Alukset_Käynnit_Lask!K304^Alukset_fx!$I$75),IF(OR(Q304="RoRo",Q304="Vehicle carrier"),Alukset_fx!$H$74*(Alukset_Käynnit_Lask!K304^Alukset_fx!$I$74),Alukset_fx!$H$77*(Alukset_Käynnit_Lask!K304^Alukset_fx!$I$77))))))))),"-")</f>
        <v>0</v>
      </c>
      <c r="T304" s="208">
        <f>IF(R304=0,IF(Q304="Other dry cargo",S304*Alukset_fx!$B$71,IF(OR(Q304="Dry bulk",Q304="Bulk carrier"),S304*Alukset_fx!$B$69,IF(Q304="Tugboat",S304*Alukset_fx!$B$76,IF(OR(Q304="Tanker",Q304="Gas tanker",Q304="Chemical tanker",Q304="Oil tanker"),S304*Alukset_fx!$B$68,IF(OR(Q304="RoRo",Q304="Vehicle carrier"),S304*Alukset_fx!$B$72,IF(Q304="RoPax",S304*Alukset_fx!$B$73,IF(Q304="Container ship",S304*Alukset_fx!$B$70,S304*Alukset_fx!$B$75))))))),"-")</f>
        <v>0</v>
      </c>
      <c r="U304" s="208">
        <f t="shared" si="54"/>
        <v>0</v>
      </c>
      <c r="V304" s="208">
        <f t="shared" si="55"/>
        <v>0</v>
      </c>
      <c r="W304" s="202">
        <f>Alukset_Käynnit!N311</f>
        <v>0</v>
      </c>
      <c r="X304" s="211">
        <f>IF(Q304="Other dry cargo", Alukset_fx!$C$52, IF(OR(Q304="Dry bulk",Q304="Bulk carrier"),Alukset_fx!$C$35,IF(OR(Q304="Tanker",Q304="Gas tanker",Q304="Oil tanker"),Alukset_fx!$C$57,IF(Q304="Chemical tanker",Alukset_fx!$C$56,IF(OR(Q304="Tugboat",Q304="Barge"),0,IF(Q304="Other vessel",Alukset_fx!$C$54,IF(Q304="Container ship",Alukset_fx!$C$37,IF(OR(Q304="RoPax",Q304="RoRo",Q304="Vehicle carrier"),Alukset_fx!$C$55,0))))))))</f>
        <v>0</v>
      </c>
      <c r="Y304" s="211">
        <f>IF(Q304="Other dry cargo", Alukset_fx!$Q$52, IF(OR(Q304="Dry bulk",Q304="Bulk carrier"),Alukset_fx!$Q$35,IF(OR(Q304="Tanker",Q304="Gas tanker",Q304="Oil tanker"),Alukset_fx!$Q$57,IF(Q304="Chemical tanker",Alukset_fx!$Q$56,IF(OR(Q304="Tugboat",Q304="Barge"),0,IF(Q304="Other vessel",Alukset_fx!$Q$54,IF(Q304="Container ship",Alukset_fx!$Q$37,IF(OR(Q304="RoPax",Q304="RoRo",Q304="Vehicle carrier"),Alukset_fx!$Q$55,0))))))))</f>
        <v>0</v>
      </c>
      <c r="Z304" t="str">
        <f t="shared" si="56"/>
        <v>MDO/MGO</v>
      </c>
      <c r="AA304" t="str">
        <f t="shared" si="57"/>
        <v>MSD</v>
      </c>
      <c r="AB304" t="str">
        <f t="shared" si="58"/>
        <v>MDO/MGO</v>
      </c>
      <c r="AC304" t="str">
        <f t="shared" si="59"/>
        <v>MSD</v>
      </c>
      <c r="AD304" t="str">
        <f t="shared" si="60"/>
        <v>MDO/MGO</v>
      </c>
      <c r="AE304" t="str">
        <f t="shared" si="61"/>
        <v>ST</v>
      </c>
      <c r="AG304">
        <f>Alukset_Käynnit!O311</f>
        <v>0</v>
      </c>
      <c r="AH304" s="207">
        <f>IF(AA304="SSD",((U304*Alukset_fx!$B$24)*Alukset_Käynnit_Lask!W304*(Alukset_fx!$K$49)/1000),IF(AA304="MSD",((U304*Alukset_fx!$B$24)*Alukset_Käynnit_Lask!W304*(Alukset_fx!$K$52)/1000),IF(AA304="HSD",((U304*Alukset_fx!$B$24)*Alukset_Käynnit_Lask!W304*(Alukset_fx!$K$55)/1000),0)))</f>
        <v>0</v>
      </c>
      <c r="AI304" s="207">
        <f>IF(AC304="MSD",((V304*Alukset_fx!$B$25)*Alukset_Käynnit_Lask!W304*(Alukset_fx!$L$52)/1000),IF(AC304="HSD",((V304*Alukset_fx!$B$25)*Alukset_Käynnit_Lask!W304*(Alukset_fx!$L$55)/1000),0))</f>
        <v>0</v>
      </c>
      <c r="AJ304" s="207">
        <f>X304*W304*Alukset_fx!$K$61/1000</f>
        <v>0</v>
      </c>
      <c r="AK304">
        <v>0</v>
      </c>
      <c r="AL304" s="207">
        <f>IF(AG304="Käytetty",0,IF(AC304="MSD",((V304*Alukset_fx!$O$25)*Alukset_Käynnit_Lask!O304*(Alukset_fx!$L$52)/1000),IF(AC304="HSD",((V304*Alukset_fx!$O$25)*Alukset_Käynnit_Lask!O304*(Alukset_fx!$L$55)/1000),0)))</f>
        <v>0</v>
      </c>
      <c r="AM304" s="207">
        <f>IF(AG304="Käytetty",0,Y304*O304*Alukset_fx!$K$61/1000)</f>
        <v>0</v>
      </c>
      <c r="AN304" s="213">
        <f t="shared" si="62"/>
        <v>0</v>
      </c>
    </row>
    <row r="305" spans="1:40" x14ac:dyDescent="0.25">
      <c r="A305" s="203">
        <f>Alukset_Käynnit!A312</f>
        <v>0</v>
      </c>
      <c r="B305" s="203">
        <f>Alukset_Käynnit!B312</f>
        <v>0</v>
      </c>
      <c r="C305" s="262">
        <f>Alukset_Käynnit!C312</f>
        <v>0</v>
      </c>
      <c r="D305" s="266">
        <f>Alukset_Käynnit!D312</f>
        <v>0</v>
      </c>
      <c r="E305" s="262">
        <f>Alukset_Käynnit!E312</f>
        <v>0</v>
      </c>
      <c r="F305" s="262">
        <f>Alukset_Käynnit!F312</f>
        <v>0</v>
      </c>
      <c r="G305" s="262">
        <f>Alukset_Käynnit!G312</f>
        <v>0</v>
      </c>
      <c r="H305" s="262">
        <f>Alukset_Käynnit!H312</f>
        <v>0</v>
      </c>
      <c r="I305" s="262">
        <f>Alukset_Käynnit!I312</f>
        <v>0</v>
      </c>
      <c r="J305" s="262">
        <f>Alukset_Käynnit!J312</f>
        <v>0</v>
      </c>
      <c r="K305" s="262">
        <f>Alukset_Käynnit!K312</f>
        <v>0</v>
      </c>
      <c r="L305" s="205">
        <f>Alukset_Käynnit!L312</f>
        <v>0</v>
      </c>
      <c r="N305" s="273">
        <f t="shared" si="63"/>
        <v>0</v>
      </c>
      <c r="O305" s="274">
        <f t="shared" si="64"/>
        <v>0</v>
      </c>
      <c r="Q305" s="204">
        <f t="shared" si="53"/>
        <v>0</v>
      </c>
      <c r="R305" s="202">
        <f>IF(Q305="Other dry cargo",L305*Alukset_fx!$B$71,IF(OR(Q305="Dry bulk",Q305="Bulk carrier"),L305*Alukset_fx!$B$69,IF(Q305="Tugboat",L305*Alukset_fx!$B$76,IF(OR(Q305="Tanker",Q305="Gas tanker",Q305="Chemical tanker",Q305="Oil tanker"),L305*Alukset_fx!$B$68,IF(OR(Q305="RoRo",Q305="Vehicle carrier"),L305*Alukset_fx!$B$72,IF(Q305="RoPax",L305*Alukset_fx!$B$73,IF(Q305="Container ship",L305*Alukset_fx!$B$70,IF(Q305="Barge",0,L305*Alukset_fx!$B$75))))))))</f>
        <v>0</v>
      </c>
      <c r="S305" s="210">
        <f>IF(L305=0,IF(Q305="Other dry cargo",Alukset_fx!$H$73*(Alukset_Käynnit_Lask!K305^Alukset_fx!$I$73),IF(OR(Q305="Dry Bulk",Q305="Bulk carrier"),Alukset_fx!$H$71*(Alukset_Käynnit_Lask!K305^Alukset_fx!$I$71),IF(Q305="Tugboat",Alukset_fx!$H$78*(Alukset_Käynnit_Lask!K305^Alukset_fx!$I$78),IF(OR(Q305="Tanker",Q305="Gas tanker",Q305="Chemical tanker",Q305="Oil tanker"),Alukset_fx!$H$70*(Alukset_Käynnit_Lask!K305^Alukset_fx!$I$70),IF(Q305="Container ship",Alukset_fx!$H$72*(Alukset_Käynnit_Lask!K305^Alukset_fx!$I$72),IF(Q305="Barge",0,IF(Q305="RoPax",Alukset_fx!$H$75*(Alukset_Käynnit_Lask!K305^Alukset_fx!$I$75),IF(OR(Q305="RoRo",Q305="Vehicle carrier"),Alukset_fx!$H$74*(Alukset_Käynnit_Lask!K305^Alukset_fx!$I$74),Alukset_fx!$H$77*(Alukset_Käynnit_Lask!K305^Alukset_fx!$I$77))))))))),"-")</f>
        <v>0</v>
      </c>
      <c r="T305" s="208">
        <f>IF(R305=0,IF(Q305="Other dry cargo",S305*Alukset_fx!$B$71,IF(OR(Q305="Dry bulk",Q305="Bulk carrier"),S305*Alukset_fx!$B$69,IF(Q305="Tugboat",S305*Alukset_fx!$B$76,IF(OR(Q305="Tanker",Q305="Gas tanker",Q305="Chemical tanker",Q305="Oil tanker"),S305*Alukset_fx!$B$68,IF(OR(Q305="RoRo",Q305="Vehicle carrier"),S305*Alukset_fx!$B$72,IF(Q305="RoPax",S305*Alukset_fx!$B$73,IF(Q305="Container ship",S305*Alukset_fx!$B$70,S305*Alukset_fx!$B$75))))))),"-")</f>
        <v>0</v>
      </c>
      <c r="U305" s="208">
        <f t="shared" si="54"/>
        <v>0</v>
      </c>
      <c r="V305" s="208">
        <f t="shared" si="55"/>
        <v>0</v>
      </c>
      <c r="W305" s="202">
        <f>Alukset_Käynnit!N312</f>
        <v>0</v>
      </c>
      <c r="X305" s="211">
        <f>IF(Q305="Other dry cargo", Alukset_fx!$C$52, IF(OR(Q305="Dry bulk",Q305="Bulk carrier"),Alukset_fx!$C$35,IF(OR(Q305="Tanker",Q305="Gas tanker",Q305="Oil tanker"),Alukset_fx!$C$57,IF(Q305="Chemical tanker",Alukset_fx!$C$56,IF(OR(Q305="Tugboat",Q305="Barge"),0,IF(Q305="Other vessel",Alukset_fx!$C$54,IF(Q305="Container ship",Alukset_fx!$C$37,IF(OR(Q305="RoPax",Q305="RoRo",Q305="Vehicle carrier"),Alukset_fx!$C$55,0))))))))</f>
        <v>0</v>
      </c>
      <c r="Y305" s="211">
        <f>IF(Q305="Other dry cargo", Alukset_fx!$Q$52, IF(OR(Q305="Dry bulk",Q305="Bulk carrier"),Alukset_fx!$Q$35,IF(OR(Q305="Tanker",Q305="Gas tanker",Q305="Oil tanker"),Alukset_fx!$Q$57,IF(Q305="Chemical tanker",Alukset_fx!$Q$56,IF(OR(Q305="Tugboat",Q305="Barge"),0,IF(Q305="Other vessel",Alukset_fx!$Q$54,IF(Q305="Container ship",Alukset_fx!$Q$37,IF(OR(Q305="RoPax",Q305="RoRo",Q305="Vehicle carrier"),Alukset_fx!$Q$55,0))))))))</f>
        <v>0</v>
      </c>
      <c r="Z305" t="str">
        <f t="shared" si="56"/>
        <v>MDO/MGO</v>
      </c>
      <c r="AA305" t="str">
        <f t="shared" si="57"/>
        <v>MSD</v>
      </c>
      <c r="AB305" t="str">
        <f t="shared" si="58"/>
        <v>MDO/MGO</v>
      </c>
      <c r="AC305" t="str">
        <f t="shared" si="59"/>
        <v>MSD</v>
      </c>
      <c r="AD305" t="str">
        <f t="shared" si="60"/>
        <v>MDO/MGO</v>
      </c>
      <c r="AE305" t="str">
        <f t="shared" si="61"/>
        <v>ST</v>
      </c>
      <c r="AG305">
        <f>Alukset_Käynnit!O312</f>
        <v>0</v>
      </c>
      <c r="AH305" s="207">
        <f>IF(AA305="SSD",((U305*Alukset_fx!$B$24)*Alukset_Käynnit_Lask!W305*(Alukset_fx!$K$49)/1000),IF(AA305="MSD",((U305*Alukset_fx!$B$24)*Alukset_Käynnit_Lask!W305*(Alukset_fx!$K$52)/1000),IF(AA305="HSD",((U305*Alukset_fx!$B$24)*Alukset_Käynnit_Lask!W305*(Alukset_fx!$K$55)/1000),0)))</f>
        <v>0</v>
      </c>
      <c r="AI305" s="207">
        <f>IF(AC305="MSD",((V305*Alukset_fx!$B$25)*Alukset_Käynnit_Lask!W305*(Alukset_fx!$L$52)/1000),IF(AC305="HSD",((V305*Alukset_fx!$B$25)*Alukset_Käynnit_Lask!W305*(Alukset_fx!$L$55)/1000),0))</f>
        <v>0</v>
      </c>
      <c r="AJ305" s="207">
        <f>X305*W305*Alukset_fx!$K$61/1000</f>
        <v>0</v>
      </c>
      <c r="AK305">
        <v>0</v>
      </c>
      <c r="AL305" s="207">
        <f>IF(AG305="Käytetty",0,IF(AC305="MSD",((V305*Alukset_fx!$O$25)*Alukset_Käynnit_Lask!O305*(Alukset_fx!$L$52)/1000),IF(AC305="HSD",((V305*Alukset_fx!$O$25)*Alukset_Käynnit_Lask!O305*(Alukset_fx!$L$55)/1000),0)))</f>
        <v>0</v>
      </c>
      <c r="AM305" s="207">
        <f>IF(AG305="Käytetty",0,Y305*O305*Alukset_fx!$K$61/1000)</f>
        <v>0</v>
      </c>
      <c r="AN305" s="213">
        <f t="shared" si="62"/>
        <v>0</v>
      </c>
    </row>
    <row r="306" spans="1:40" x14ac:dyDescent="0.25">
      <c r="A306" s="203">
        <f>Alukset_Käynnit!A313</f>
        <v>0</v>
      </c>
      <c r="B306" s="203">
        <f>Alukset_Käynnit!B313</f>
        <v>0</v>
      </c>
      <c r="C306" s="262">
        <f>Alukset_Käynnit!C313</f>
        <v>0</v>
      </c>
      <c r="D306" s="266">
        <f>Alukset_Käynnit!D313</f>
        <v>0</v>
      </c>
      <c r="E306" s="262">
        <f>Alukset_Käynnit!E313</f>
        <v>0</v>
      </c>
      <c r="F306" s="262">
        <f>Alukset_Käynnit!F313</f>
        <v>0</v>
      </c>
      <c r="G306" s="262">
        <f>Alukset_Käynnit!G313</f>
        <v>0</v>
      </c>
      <c r="H306" s="262">
        <f>Alukset_Käynnit!H313</f>
        <v>0</v>
      </c>
      <c r="I306" s="262">
        <f>Alukset_Käynnit!I313</f>
        <v>0</v>
      </c>
      <c r="J306" s="262">
        <f>Alukset_Käynnit!J313</f>
        <v>0</v>
      </c>
      <c r="K306" s="262">
        <f>Alukset_Käynnit!K313</f>
        <v>0</v>
      </c>
      <c r="L306" s="205">
        <f>Alukset_Käynnit!L313</f>
        <v>0</v>
      </c>
      <c r="N306" s="273">
        <f t="shared" si="63"/>
        <v>0</v>
      </c>
      <c r="O306" s="274">
        <f t="shared" si="64"/>
        <v>0</v>
      </c>
      <c r="Q306" s="204">
        <f t="shared" si="53"/>
        <v>0</v>
      </c>
      <c r="R306" s="202">
        <f>IF(Q306="Other dry cargo",L306*Alukset_fx!$B$71,IF(OR(Q306="Dry bulk",Q306="Bulk carrier"),L306*Alukset_fx!$B$69,IF(Q306="Tugboat",L306*Alukset_fx!$B$76,IF(OR(Q306="Tanker",Q306="Gas tanker",Q306="Chemical tanker",Q306="Oil tanker"),L306*Alukset_fx!$B$68,IF(OR(Q306="RoRo",Q306="Vehicle carrier"),L306*Alukset_fx!$B$72,IF(Q306="RoPax",L306*Alukset_fx!$B$73,IF(Q306="Container ship",L306*Alukset_fx!$B$70,IF(Q306="Barge",0,L306*Alukset_fx!$B$75))))))))</f>
        <v>0</v>
      </c>
      <c r="S306" s="210">
        <f>IF(L306=0,IF(Q306="Other dry cargo",Alukset_fx!$H$73*(Alukset_Käynnit_Lask!K306^Alukset_fx!$I$73),IF(OR(Q306="Dry Bulk",Q306="Bulk carrier"),Alukset_fx!$H$71*(Alukset_Käynnit_Lask!K306^Alukset_fx!$I$71),IF(Q306="Tugboat",Alukset_fx!$H$78*(Alukset_Käynnit_Lask!K306^Alukset_fx!$I$78),IF(OR(Q306="Tanker",Q306="Gas tanker",Q306="Chemical tanker",Q306="Oil tanker"),Alukset_fx!$H$70*(Alukset_Käynnit_Lask!K306^Alukset_fx!$I$70),IF(Q306="Container ship",Alukset_fx!$H$72*(Alukset_Käynnit_Lask!K306^Alukset_fx!$I$72),IF(Q306="Barge",0,IF(Q306="RoPax",Alukset_fx!$H$75*(Alukset_Käynnit_Lask!K306^Alukset_fx!$I$75),IF(OR(Q306="RoRo",Q306="Vehicle carrier"),Alukset_fx!$H$74*(Alukset_Käynnit_Lask!K306^Alukset_fx!$I$74),Alukset_fx!$H$77*(Alukset_Käynnit_Lask!K306^Alukset_fx!$I$77))))))))),"-")</f>
        <v>0</v>
      </c>
      <c r="T306" s="208">
        <f>IF(R306=0,IF(Q306="Other dry cargo",S306*Alukset_fx!$B$71,IF(OR(Q306="Dry bulk",Q306="Bulk carrier"),S306*Alukset_fx!$B$69,IF(Q306="Tugboat",S306*Alukset_fx!$B$76,IF(OR(Q306="Tanker",Q306="Gas tanker",Q306="Chemical tanker",Q306="Oil tanker"),S306*Alukset_fx!$B$68,IF(OR(Q306="RoRo",Q306="Vehicle carrier"),S306*Alukset_fx!$B$72,IF(Q306="RoPax",S306*Alukset_fx!$B$73,IF(Q306="Container ship",S306*Alukset_fx!$B$70,S306*Alukset_fx!$B$75))))))),"-")</f>
        <v>0</v>
      </c>
      <c r="U306" s="208">
        <f t="shared" si="54"/>
        <v>0</v>
      </c>
      <c r="V306" s="208">
        <f t="shared" si="55"/>
        <v>0</v>
      </c>
      <c r="W306" s="202">
        <f>Alukset_Käynnit!N313</f>
        <v>0</v>
      </c>
      <c r="X306" s="211">
        <f>IF(Q306="Other dry cargo", Alukset_fx!$C$52, IF(OR(Q306="Dry bulk",Q306="Bulk carrier"),Alukset_fx!$C$35,IF(OR(Q306="Tanker",Q306="Gas tanker",Q306="Oil tanker"),Alukset_fx!$C$57,IF(Q306="Chemical tanker",Alukset_fx!$C$56,IF(OR(Q306="Tugboat",Q306="Barge"),0,IF(Q306="Other vessel",Alukset_fx!$C$54,IF(Q306="Container ship",Alukset_fx!$C$37,IF(OR(Q306="RoPax",Q306="RoRo",Q306="Vehicle carrier"),Alukset_fx!$C$55,0))))))))</f>
        <v>0</v>
      </c>
      <c r="Y306" s="211">
        <f>IF(Q306="Other dry cargo", Alukset_fx!$Q$52, IF(OR(Q306="Dry bulk",Q306="Bulk carrier"),Alukset_fx!$Q$35,IF(OR(Q306="Tanker",Q306="Gas tanker",Q306="Oil tanker"),Alukset_fx!$Q$57,IF(Q306="Chemical tanker",Alukset_fx!$Q$56,IF(OR(Q306="Tugboat",Q306="Barge"),0,IF(Q306="Other vessel",Alukset_fx!$Q$54,IF(Q306="Container ship",Alukset_fx!$Q$37,IF(OR(Q306="RoPax",Q306="RoRo",Q306="Vehicle carrier"),Alukset_fx!$Q$55,0))))))))</f>
        <v>0</v>
      </c>
      <c r="Z306" t="str">
        <f t="shared" si="56"/>
        <v>MDO/MGO</v>
      </c>
      <c r="AA306" t="str">
        <f t="shared" si="57"/>
        <v>MSD</v>
      </c>
      <c r="AB306" t="str">
        <f t="shared" si="58"/>
        <v>MDO/MGO</v>
      </c>
      <c r="AC306" t="str">
        <f t="shared" si="59"/>
        <v>MSD</v>
      </c>
      <c r="AD306" t="str">
        <f t="shared" si="60"/>
        <v>MDO/MGO</v>
      </c>
      <c r="AE306" t="str">
        <f t="shared" si="61"/>
        <v>ST</v>
      </c>
      <c r="AG306">
        <f>Alukset_Käynnit!O313</f>
        <v>0</v>
      </c>
      <c r="AH306" s="207">
        <f>IF(AA306="SSD",((U306*Alukset_fx!$B$24)*Alukset_Käynnit_Lask!W306*(Alukset_fx!$K$49)/1000),IF(AA306="MSD",((U306*Alukset_fx!$B$24)*Alukset_Käynnit_Lask!W306*(Alukset_fx!$K$52)/1000),IF(AA306="HSD",((U306*Alukset_fx!$B$24)*Alukset_Käynnit_Lask!W306*(Alukset_fx!$K$55)/1000),0)))</f>
        <v>0</v>
      </c>
      <c r="AI306" s="207">
        <f>IF(AC306="MSD",((V306*Alukset_fx!$B$25)*Alukset_Käynnit_Lask!W306*(Alukset_fx!$L$52)/1000),IF(AC306="HSD",((V306*Alukset_fx!$B$25)*Alukset_Käynnit_Lask!W306*(Alukset_fx!$L$55)/1000),0))</f>
        <v>0</v>
      </c>
      <c r="AJ306" s="207">
        <f>X306*W306*Alukset_fx!$K$61/1000</f>
        <v>0</v>
      </c>
      <c r="AK306">
        <v>0</v>
      </c>
      <c r="AL306" s="207">
        <f>IF(AG306="Käytetty",0,IF(AC306="MSD",((V306*Alukset_fx!$O$25)*Alukset_Käynnit_Lask!O306*(Alukset_fx!$L$52)/1000),IF(AC306="HSD",((V306*Alukset_fx!$O$25)*Alukset_Käynnit_Lask!O306*(Alukset_fx!$L$55)/1000),0)))</f>
        <v>0</v>
      </c>
      <c r="AM306" s="207">
        <f>IF(AG306="Käytetty",0,Y306*O306*Alukset_fx!$K$61/1000)</f>
        <v>0</v>
      </c>
      <c r="AN306" s="213">
        <f t="shared" si="62"/>
        <v>0</v>
      </c>
    </row>
    <row r="307" spans="1:40" x14ac:dyDescent="0.25">
      <c r="A307" s="203">
        <f>Alukset_Käynnit!A314</f>
        <v>0</v>
      </c>
      <c r="B307" s="203">
        <f>Alukset_Käynnit!B314</f>
        <v>0</v>
      </c>
      <c r="C307" s="262">
        <f>Alukset_Käynnit!C314</f>
        <v>0</v>
      </c>
      <c r="D307" s="266">
        <f>Alukset_Käynnit!D314</f>
        <v>0</v>
      </c>
      <c r="E307" s="262">
        <f>Alukset_Käynnit!E314</f>
        <v>0</v>
      </c>
      <c r="F307" s="262">
        <f>Alukset_Käynnit!F314</f>
        <v>0</v>
      </c>
      <c r="G307" s="262">
        <f>Alukset_Käynnit!G314</f>
        <v>0</v>
      </c>
      <c r="H307" s="262">
        <f>Alukset_Käynnit!H314</f>
        <v>0</v>
      </c>
      <c r="I307" s="262">
        <f>Alukset_Käynnit!I314</f>
        <v>0</v>
      </c>
      <c r="J307" s="262">
        <f>Alukset_Käynnit!J314</f>
        <v>0</v>
      </c>
      <c r="K307" s="262">
        <f>Alukset_Käynnit!K314</f>
        <v>0</v>
      </c>
      <c r="L307" s="205">
        <f>Alukset_Käynnit!L314</f>
        <v>0</v>
      </c>
      <c r="N307" s="273">
        <f t="shared" si="63"/>
        <v>0</v>
      </c>
      <c r="O307" s="274">
        <f t="shared" si="64"/>
        <v>0</v>
      </c>
      <c r="Q307" s="204">
        <f t="shared" si="53"/>
        <v>0</v>
      </c>
      <c r="R307" s="202">
        <f>IF(Q307="Other dry cargo",L307*Alukset_fx!$B$71,IF(OR(Q307="Dry bulk",Q307="Bulk carrier"),L307*Alukset_fx!$B$69,IF(Q307="Tugboat",L307*Alukset_fx!$B$76,IF(OR(Q307="Tanker",Q307="Gas tanker",Q307="Chemical tanker",Q307="Oil tanker"),L307*Alukset_fx!$B$68,IF(OR(Q307="RoRo",Q307="Vehicle carrier"),L307*Alukset_fx!$B$72,IF(Q307="RoPax",L307*Alukset_fx!$B$73,IF(Q307="Container ship",L307*Alukset_fx!$B$70,IF(Q307="Barge",0,L307*Alukset_fx!$B$75))))))))</f>
        <v>0</v>
      </c>
      <c r="S307" s="210">
        <f>IF(L307=0,IF(Q307="Other dry cargo",Alukset_fx!$H$73*(Alukset_Käynnit_Lask!K307^Alukset_fx!$I$73),IF(OR(Q307="Dry Bulk",Q307="Bulk carrier"),Alukset_fx!$H$71*(Alukset_Käynnit_Lask!K307^Alukset_fx!$I$71),IF(Q307="Tugboat",Alukset_fx!$H$78*(Alukset_Käynnit_Lask!K307^Alukset_fx!$I$78),IF(OR(Q307="Tanker",Q307="Gas tanker",Q307="Chemical tanker",Q307="Oil tanker"),Alukset_fx!$H$70*(Alukset_Käynnit_Lask!K307^Alukset_fx!$I$70),IF(Q307="Container ship",Alukset_fx!$H$72*(Alukset_Käynnit_Lask!K307^Alukset_fx!$I$72),IF(Q307="Barge",0,IF(Q307="RoPax",Alukset_fx!$H$75*(Alukset_Käynnit_Lask!K307^Alukset_fx!$I$75),IF(OR(Q307="RoRo",Q307="Vehicle carrier"),Alukset_fx!$H$74*(Alukset_Käynnit_Lask!K307^Alukset_fx!$I$74),Alukset_fx!$H$77*(Alukset_Käynnit_Lask!K307^Alukset_fx!$I$77))))))))),"-")</f>
        <v>0</v>
      </c>
      <c r="T307" s="208">
        <f>IF(R307=0,IF(Q307="Other dry cargo",S307*Alukset_fx!$B$71,IF(OR(Q307="Dry bulk",Q307="Bulk carrier"),S307*Alukset_fx!$B$69,IF(Q307="Tugboat",S307*Alukset_fx!$B$76,IF(OR(Q307="Tanker",Q307="Gas tanker",Q307="Chemical tanker",Q307="Oil tanker"),S307*Alukset_fx!$B$68,IF(OR(Q307="RoRo",Q307="Vehicle carrier"),S307*Alukset_fx!$B$72,IF(Q307="RoPax",S307*Alukset_fx!$B$73,IF(Q307="Container ship",S307*Alukset_fx!$B$70,S307*Alukset_fx!$B$75))))))),"-")</f>
        <v>0</v>
      </c>
      <c r="U307" s="208">
        <f t="shared" si="54"/>
        <v>0</v>
      </c>
      <c r="V307" s="208">
        <f t="shared" si="55"/>
        <v>0</v>
      </c>
      <c r="W307" s="202">
        <f>Alukset_Käynnit!N314</f>
        <v>0</v>
      </c>
      <c r="X307" s="211">
        <f>IF(Q307="Other dry cargo", Alukset_fx!$C$52, IF(OR(Q307="Dry bulk",Q307="Bulk carrier"),Alukset_fx!$C$35,IF(OR(Q307="Tanker",Q307="Gas tanker",Q307="Oil tanker"),Alukset_fx!$C$57,IF(Q307="Chemical tanker",Alukset_fx!$C$56,IF(OR(Q307="Tugboat",Q307="Barge"),0,IF(Q307="Other vessel",Alukset_fx!$C$54,IF(Q307="Container ship",Alukset_fx!$C$37,IF(OR(Q307="RoPax",Q307="RoRo",Q307="Vehicle carrier"),Alukset_fx!$C$55,0))))))))</f>
        <v>0</v>
      </c>
      <c r="Y307" s="211">
        <f>IF(Q307="Other dry cargo", Alukset_fx!$Q$52, IF(OR(Q307="Dry bulk",Q307="Bulk carrier"),Alukset_fx!$Q$35,IF(OR(Q307="Tanker",Q307="Gas tanker",Q307="Oil tanker"),Alukset_fx!$Q$57,IF(Q307="Chemical tanker",Alukset_fx!$Q$56,IF(OR(Q307="Tugboat",Q307="Barge"),0,IF(Q307="Other vessel",Alukset_fx!$Q$54,IF(Q307="Container ship",Alukset_fx!$Q$37,IF(OR(Q307="RoPax",Q307="RoRo",Q307="Vehicle carrier"),Alukset_fx!$Q$55,0))))))))</f>
        <v>0</v>
      </c>
      <c r="Z307" t="str">
        <f t="shared" si="56"/>
        <v>MDO/MGO</v>
      </c>
      <c r="AA307" t="str">
        <f t="shared" si="57"/>
        <v>MSD</v>
      </c>
      <c r="AB307" t="str">
        <f t="shared" si="58"/>
        <v>MDO/MGO</v>
      </c>
      <c r="AC307" t="str">
        <f t="shared" si="59"/>
        <v>MSD</v>
      </c>
      <c r="AD307" t="str">
        <f t="shared" si="60"/>
        <v>MDO/MGO</v>
      </c>
      <c r="AE307" t="str">
        <f t="shared" si="61"/>
        <v>ST</v>
      </c>
      <c r="AG307">
        <f>Alukset_Käynnit!O314</f>
        <v>0</v>
      </c>
      <c r="AH307" s="207">
        <f>IF(AA307="SSD",((U307*Alukset_fx!$B$24)*Alukset_Käynnit_Lask!W307*(Alukset_fx!$K$49)/1000),IF(AA307="MSD",((U307*Alukset_fx!$B$24)*Alukset_Käynnit_Lask!W307*(Alukset_fx!$K$52)/1000),IF(AA307="HSD",((U307*Alukset_fx!$B$24)*Alukset_Käynnit_Lask!W307*(Alukset_fx!$K$55)/1000),0)))</f>
        <v>0</v>
      </c>
      <c r="AI307" s="207">
        <f>IF(AC307="MSD",((V307*Alukset_fx!$B$25)*Alukset_Käynnit_Lask!W307*(Alukset_fx!$L$52)/1000),IF(AC307="HSD",((V307*Alukset_fx!$B$25)*Alukset_Käynnit_Lask!W307*(Alukset_fx!$L$55)/1000),0))</f>
        <v>0</v>
      </c>
      <c r="AJ307" s="207">
        <f>X307*W307*Alukset_fx!$K$61/1000</f>
        <v>0</v>
      </c>
      <c r="AK307">
        <v>0</v>
      </c>
      <c r="AL307" s="207">
        <f>IF(AG307="Käytetty",0,IF(AC307="MSD",((V307*Alukset_fx!$O$25)*Alukset_Käynnit_Lask!O307*(Alukset_fx!$L$52)/1000),IF(AC307="HSD",((V307*Alukset_fx!$O$25)*Alukset_Käynnit_Lask!O307*(Alukset_fx!$L$55)/1000),0)))</f>
        <v>0</v>
      </c>
      <c r="AM307" s="207">
        <f>IF(AG307="Käytetty",0,Y307*O307*Alukset_fx!$K$61/1000)</f>
        <v>0</v>
      </c>
      <c r="AN307" s="213">
        <f t="shared" si="62"/>
        <v>0</v>
      </c>
    </row>
    <row r="308" spans="1:40" x14ac:dyDescent="0.25">
      <c r="A308" s="203">
        <f>Alukset_Käynnit!A315</f>
        <v>0</v>
      </c>
      <c r="B308" s="203">
        <f>Alukset_Käynnit!B315</f>
        <v>0</v>
      </c>
      <c r="C308" s="262">
        <f>Alukset_Käynnit!C315</f>
        <v>0</v>
      </c>
      <c r="D308" s="266">
        <f>Alukset_Käynnit!D315</f>
        <v>0</v>
      </c>
      <c r="E308" s="262">
        <f>Alukset_Käynnit!E315</f>
        <v>0</v>
      </c>
      <c r="F308" s="262">
        <f>Alukset_Käynnit!F315</f>
        <v>0</v>
      </c>
      <c r="G308" s="262">
        <f>Alukset_Käynnit!G315</f>
        <v>0</v>
      </c>
      <c r="H308" s="262">
        <f>Alukset_Käynnit!H315</f>
        <v>0</v>
      </c>
      <c r="I308" s="262">
        <f>Alukset_Käynnit!I315</f>
        <v>0</v>
      </c>
      <c r="J308" s="262">
        <f>Alukset_Käynnit!J315</f>
        <v>0</v>
      </c>
      <c r="K308" s="262">
        <f>Alukset_Käynnit!K315</f>
        <v>0</v>
      </c>
      <c r="L308" s="205">
        <f>Alukset_Käynnit!L315</f>
        <v>0</v>
      </c>
      <c r="N308" s="273">
        <f t="shared" si="63"/>
        <v>0</v>
      </c>
      <c r="O308" s="274">
        <f t="shared" si="64"/>
        <v>0</v>
      </c>
      <c r="Q308" s="204">
        <f t="shared" si="53"/>
        <v>0</v>
      </c>
      <c r="R308" s="202">
        <f>IF(Q308="Other dry cargo",L308*Alukset_fx!$B$71,IF(OR(Q308="Dry bulk",Q308="Bulk carrier"),L308*Alukset_fx!$B$69,IF(Q308="Tugboat",L308*Alukset_fx!$B$76,IF(OR(Q308="Tanker",Q308="Gas tanker",Q308="Chemical tanker",Q308="Oil tanker"),L308*Alukset_fx!$B$68,IF(OR(Q308="RoRo",Q308="Vehicle carrier"),L308*Alukset_fx!$B$72,IF(Q308="RoPax",L308*Alukset_fx!$B$73,IF(Q308="Container ship",L308*Alukset_fx!$B$70,IF(Q308="Barge",0,L308*Alukset_fx!$B$75))))))))</f>
        <v>0</v>
      </c>
      <c r="S308" s="210">
        <f>IF(L308=0,IF(Q308="Other dry cargo",Alukset_fx!$H$73*(Alukset_Käynnit_Lask!K308^Alukset_fx!$I$73),IF(OR(Q308="Dry Bulk",Q308="Bulk carrier"),Alukset_fx!$H$71*(Alukset_Käynnit_Lask!K308^Alukset_fx!$I$71),IF(Q308="Tugboat",Alukset_fx!$H$78*(Alukset_Käynnit_Lask!K308^Alukset_fx!$I$78),IF(OR(Q308="Tanker",Q308="Gas tanker",Q308="Chemical tanker",Q308="Oil tanker"),Alukset_fx!$H$70*(Alukset_Käynnit_Lask!K308^Alukset_fx!$I$70),IF(Q308="Container ship",Alukset_fx!$H$72*(Alukset_Käynnit_Lask!K308^Alukset_fx!$I$72),IF(Q308="Barge",0,IF(Q308="RoPax",Alukset_fx!$H$75*(Alukset_Käynnit_Lask!K308^Alukset_fx!$I$75),IF(OR(Q308="RoRo",Q308="Vehicle carrier"),Alukset_fx!$H$74*(Alukset_Käynnit_Lask!K308^Alukset_fx!$I$74),Alukset_fx!$H$77*(Alukset_Käynnit_Lask!K308^Alukset_fx!$I$77))))))))),"-")</f>
        <v>0</v>
      </c>
      <c r="T308" s="208">
        <f>IF(R308=0,IF(Q308="Other dry cargo",S308*Alukset_fx!$B$71,IF(OR(Q308="Dry bulk",Q308="Bulk carrier"),S308*Alukset_fx!$B$69,IF(Q308="Tugboat",S308*Alukset_fx!$B$76,IF(OR(Q308="Tanker",Q308="Gas tanker",Q308="Chemical tanker",Q308="Oil tanker"),S308*Alukset_fx!$B$68,IF(OR(Q308="RoRo",Q308="Vehicle carrier"),S308*Alukset_fx!$B$72,IF(Q308="RoPax",S308*Alukset_fx!$B$73,IF(Q308="Container ship",S308*Alukset_fx!$B$70,S308*Alukset_fx!$B$75))))))),"-")</f>
        <v>0</v>
      </c>
      <c r="U308" s="208">
        <f t="shared" si="54"/>
        <v>0</v>
      </c>
      <c r="V308" s="208">
        <f t="shared" si="55"/>
        <v>0</v>
      </c>
      <c r="W308" s="202">
        <f>Alukset_Käynnit!N315</f>
        <v>0</v>
      </c>
      <c r="X308" s="211">
        <f>IF(Q308="Other dry cargo", Alukset_fx!$C$52, IF(OR(Q308="Dry bulk",Q308="Bulk carrier"),Alukset_fx!$C$35,IF(OR(Q308="Tanker",Q308="Gas tanker",Q308="Oil tanker"),Alukset_fx!$C$57,IF(Q308="Chemical tanker",Alukset_fx!$C$56,IF(OR(Q308="Tugboat",Q308="Barge"),0,IF(Q308="Other vessel",Alukset_fx!$C$54,IF(Q308="Container ship",Alukset_fx!$C$37,IF(OR(Q308="RoPax",Q308="RoRo",Q308="Vehicle carrier"),Alukset_fx!$C$55,0))))))))</f>
        <v>0</v>
      </c>
      <c r="Y308" s="211">
        <f>IF(Q308="Other dry cargo", Alukset_fx!$Q$52, IF(OR(Q308="Dry bulk",Q308="Bulk carrier"),Alukset_fx!$Q$35,IF(OR(Q308="Tanker",Q308="Gas tanker",Q308="Oil tanker"),Alukset_fx!$Q$57,IF(Q308="Chemical tanker",Alukset_fx!$Q$56,IF(OR(Q308="Tugboat",Q308="Barge"),0,IF(Q308="Other vessel",Alukset_fx!$Q$54,IF(Q308="Container ship",Alukset_fx!$Q$37,IF(OR(Q308="RoPax",Q308="RoRo",Q308="Vehicle carrier"),Alukset_fx!$Q$55,0))))))))</f>
        <v>0</v>
      </c>
      <c r="Z308" t="str">
        <f t="shared" si="56"/>
        <v>MDO/MGO</v>
      </c>
      <c r="AA308" t="str">
        <f t="shared" si="57"/>
        <v>MSD</v>
      </c>
      <c r="AB308" t="str">
        <f t="shared" si="58"/>
        <v>MDO/MGO</v>
      </c>
      <c r="AC308" t="str">
        <f t="shared" si="59"/>
        <v>MSD</v>
      </c>
      <c r="AD308" t="str">
        <f t="shared" si="60"/>
        <v>MDO/MGO</v>
      </c>
      <c r="AE308" t="str">
        <f t="shared" si="61"/>
        <v>ST</v>
      </c>
      <c r="AG308">
        <f>Alukset_Käynnit!O315</f>
        <v>0</v>
      </c>
      <c r="AH308" s="207">
        <f>IF(AA308="SSD",((U308*Alukset_fx!$B$24)*Alukset_Käynnit_Lask!W308*(Alukset_fx!$K$49)/1000),IF(AA308="MSD",((U308*Alukset_fx!$B$24)*Alukset_Käynnit_Lask!W308*(Alukset_fx!$K$52)/1000),IF(AA308="HSD",((U308*Alukset_fx!$B$24)*Alukset_Käynnit_Lask!W308*(Alukset_fx!$K$55)/1000),0)))</f>
        <v>0</v>
      </c>
      <c r="AI308" s="207">
        <f>IF(AC308="MSD",((V308*Alukset_fx!$B$25)*Alukset_Käynnit_Lask!W308*(Alukset_fx!$L$52)/1000),IF(AC308="HSD",((V308*Alukset_fx!$B$25)*Alukset_Käynnit_Lask!W308*(Alukset_fx!$L$55)/1000),0))</f>
        <v>0</v>
      </c>
      <c r="AJ308" s="207">
        <f>X308*W308*Alukset_fx!$K$61/1000</f>
        <v>0</v>
      </c>
      <c r="AK308">
        <v>0</v>
      </c>
      <c r="AL308" s="207">
        <f>IF(AG308="Käytetty",0,IF(AC308="MSD",((V308*Alukset_fx!$O$25)*Alukset_Käynnit_Lask!O308*(Alukset_fx!$L$52)/1000),IF(AC308="HSD",((V308*Alukset_fx!$O$25)*Alukset_Käynnit_Lask!O308*(Alukset_fx!$L$55)/1000),0)))</f>
        <v>0</v>
      </c>
      <c r="AM308" s="207">
        <f>IF(AG308="Käytetty",0,Y308*O308*Alukset_fx!$K$61/1000)</f>
        <v>0</v>
      </c>
      <c r="AN308" s="213">
        <f t="shared" si="62"/>
        <v>0</v>
      </c>
    </row>
    <row r="309" spans="1:40" x14ac:dyDescent="0.25">
      <c r="A309" s="203">
        <f>Alukset_Käynnit!A316</f>
        <v>0</v>
      </c>
      <c r="B309" s="203">
        <f>Alukset_Käynnit!B316</f>
        <v>0</v>
      </c>
      <c r="C309" s="262">
        <f>Alukset_Käynnit!C316</f>
        <v>0</v>
      </c>
      <c r="D309" s="266">
        <f>Alukset_Käynnit!D316</f>
        <v>0</v>
      </c>
      <c r="E309" s="262">
        <f>Alukset_Käynnit!E316</f>
        <v>0</v>
      </c>
      <c r="F309" s="262">
        <f>Alukset_Käynnit!F316</f>
        <v>0</v>
      </c>
      <c r="G309" s="262">
        <f>Alukset_Käynnit!G316</f>
        <v>0</v>
      </c>
      <c r="H309" s="262">
        <f>Alukset_Käynnit!H316</f>
        <v>0</v>
      </c>
      <c r="I309" s="262">
        <f>Alukset_Käynnit!I316</f>
        <v>0</v>
      </c>
      <c r="J309" s="262">
        <f>Alukset_Käynnit!J316</f>
        <v>0</v>
      </c>
      <c r="K309" s="262">
        <f>Alukset_Käynnit!K316</f>
        <v>0</v>
      </c>
      <c r="L309" s="205">
        <f>Alukset_Käynnit!L316</f>
        <v>0</v>
      </c>
      <c r="N309" s="273">
        <f t="shared" si="63"/>
        <v>0</v>
      </c>
      <c r="O309" s="274">
        <f t="shared" si="64"/>
        <v>0</v>
      </c>
      <c r="Q309" s="204">
        <f t="shared" si="53"/>
        <v>0</v>
      </c>
      <c r="R309" s="202">
        <f>IF(Q309="Other dry cargo",L309*Alukset_fx!$B$71,IF(OR(Q309="Dry bulk",Q309="Bulk carrier"),L309*Alukset_fx!$B$69,IF(Q309="Tugboat",L309*Alukset_fx!$B$76,IF(OR(Q309="Tanker",Q309="Gas tanker",Q309="Chemical tanker",Q309="Oil tanker"),L309*Alukset_fx!$B$68,IF(OR(Q309="RoRo",Q309="Vehicle carrier"),L309*Alukset_fx!$B$72,IF(Q309="RoPax",L309*Alukset_fx!$B$73,IF(Q309="Container ship",L309*Alukset_fx!$B$70,IF(Q309="Barge",0,L309*Alukset_fx!$B$75))))))))</f>
        <v>0</v>
      </c>
      <c r="S309" s="210">
        <f>IF(L309=0,IF(Q309="Other dry cargo",Alukset_fx!$H$73*(Alukset_Käynnit_Lask!K309^Alukset_fx!$I$73),IF(OR(Q309="Dry Bulk",Q309="Bulk carrier"),Alukset_fx!$H$71*(Alukset_Käynnit_Lask!K309^Alukset_fx!$I$71),IF(Q309="Tugboat",Alukset_fx!$H$78*(Alukset_Käynnit_Lask!K309^Alukset_fx!$I$78),IF(OR(Q309="Tanker",Q309="Gas tanker",Q309="Chemical tanker",Q309="Oil tanker"),Alukset_fx!$H$70*(Alukset_Käynnit_Lask!K309^Alukset_fx!$I$70),IF(Q309="Container ship",Alukset_fx!$H$72*(Alukset_Käynnit_Lask!K309^Alukset_fx!$I$72),IF(Q309="Barge",0,IF(Q309="RoPax",Alukset_fx!$H$75*(Alukset_Käynnit_Lask!K309^Alukset_fx!$I$75),IF(OR(Q309="RoRo",Q309="Vehicle carrier"),Alukset_fx!$H$74*(Alukset_Käynnit_Lask!K309^Alukset_fx!$I$74),Alukset_fx!$H$77*(Alukset_Käynnit_Lask!K309^Alukset_fx!$I$77))))))))),"-")</f>
        <v>0</v>
      </c>
      <c r="T309" s="208">
        <f>IF(R309=0,IF(Q309="Other dry cargo",S309*Alukset_fx!$B$71,IF(OR(Q309="Dry bulk",Q309="Bulk carrier"),S309*Alukset_fx!$B$69,IF(Q309="Tugboat",S309*Alukset_fx!$B$76,IF(OR(Q309="Tanker",Q309="Gas tanker",Q309="Chemical tanker",Q309="Oil tanker"),S309*Alukset_fx!$B$68,IF(OR(Q309="RoRo",Q309="Vehicle carrier"),S309*Alukset_fx!$B$72,IF(Q309="RoPax",S309*Alukset_fx!$B$73,IF(Q309="Container ship",S309*Alukset_fx!$B$70,S309*Alukset_fx!$B$75))))))),"-")</f>
        <v>0</v>
      </c>
      <c r="U309" s="208">
        <f t="shared" si="54"/>
        <v>0</v>
      </c>
      <c r="V309" s="208">
        <f t="shared" si="55"/>
        <v>0</v>
      </c>
      <c r="W309" s="202">
        <f>Alukset_Käynnit!N316</f>
        <v>0</v>
      </c>
      <c r="X309" s="211">
        <f>IF(Q309="Other dry cargo", Alukset_fx!$C$52, IF(OR(Q309="Dry bulk",Q309="Bulk carrier"),Alukset_fx!$C$35,IF(OR(Q309="Tanker",Q309="Gas tanker",Q309="Oil tanker"),Alukset_fx!$C$57,IF(Q309="Chemical tanker",Alukset_fx!$C$56,IF(OR(Q309="Tugboat",Q309="Barge"),0,IF(Q309="Other vessel",Alukset_fx!$C$54,IF(Q309="Container ship",Alukset_fx!$C$37,IF(OR(Q309="RoPax",Q309="RoRo",Q309="Vehicle carrier"),Alukset_fx!$C$55,0))))))))</f>
        <v>0</v>
      </c>
      <c r="Y309" s="211">
        <f>IF(Q309="Other dry cargo", Alukset_fx!$Q$52, IF(OR(Q309="Dry bulk",Q309="Bulk carrier"),Alukset_fx!$Q$35,IF(OR(Q309="Tanker",Q309="Gas tanker",Q309="Oil tanker"),Alukset_fx!$Q$57,IF(Q309="Chemical tanker",Alukset_fx!$Q$56,IF(OR(Q309="Tugboat",Q309="Barge"),0,IF(Q309="Other vessel",Alukset_fx!$Q$54,IF(Q309="Container ship",Alukset_fx!$Q$37,IF(OR(Q309="RoPax",Q309="RoRo",Q309="Vehicle carrier"),Alukset_fx!$Q$55,0))))))))</f>
        <v>0</v>
      </c>
      <c r="Z309" t="str">
        <f t="shared" si="56"/>
        <v>MDO/MGO</v>
      </c>
      <c r="AA309" t="str">
        <f t="shared" si="57"/>
        <v>MSD</v>
      </c>
      <c r="AB309" t="str">
        <f t="shared" si="58"/>
        <v>MDO/MGO</v>
      </c>
      <c r="AC309" t="str">
        <f t="shared" si="59"/>
        <v>MSD</v>
      </c>
      <c r="AD309" t="str">
        <f t="shared" si="60"/>
        <v>MDO/MGO</v>
      </c>
      <c r="AE309" t="str">
        <f t="shared" si="61"/>
        <v>ST</v>
      </c>
      <c r="AG309">
        <f>Alukset_Käynnit!O316</f>
        <v>0</v>
      </c>
      <c r="AH309" s="207">
        <f>IF(AA309="SSD",((U309*Alukset_fx!$B$24)*Alukset_Käynnit_Lask!W309*(Alukset_fx!$K$49)/1000),IF(AA309="MSD",((U309*Alukset_fx!$B$24)*Alukset_Käynnit_Lask!W309*(Alukset_fx!$K$52)/1000),IF(AA309="HSD",((U309*Alukset_fx!$B$24)*Alukset_Käynnit_Lask!W309*(Alukset_fx!$K$55)/1000),0)))</f>
        <v>0</v>
      </c>
      <c r="AI309" s="207">
        <f>IF(AC309="MSD",((V309*Alukset_fx!$B$25)*Alukset_Käynnit_Lask!W309*(Alukset_fx!$L$52)/1000),IF(AC309="HSD",((V309*Alukset_fx!$B$25)*Alukset_Käynnit_Lask!W309*(Alukset_fx!$L$55)/1000),0))</f>
        <v>0</v>
      </c>
      <c r="AJ309" s="207">
        <f>X309*W309*Alukset_fx!$K$61/1000</f>
        <v>0</v>
      </c>
      <c r="AK309">
        <v>0</v>
      </c>
      <c r="AL309" s="207">
        <f>IF(AG309="Käytetty",0,IF(AC309="MSD",((V309*Alukset_fx!$O$25)*Alukset_Käynnit_Lask!O309*(Alukset_fx!$L$52)/1000),IF(AC309="HSD",((V309*Alukset_fx!$O$25)*Alukset_Käynnit_Lask!O309*(Alukset_fx!$L$55)/1000),0)))</f>
        <v>0</v>
      </c>
      <c r="AM309" s="207">
        <f>IF(AG309="Käytetty",0,Y309*O309*Alukset_fx!$K$61/1000)</f>
        <v>0</v>
      </c>
      <c r="AN309" s="213">
        <f t="shared" si="62"/>
        <v>0</v>
      </c>
    </row>
    <row r="310" spans="1:40" x14ac:dyDescent="0.25">
      <c r="A310" s="203">
        <f>Alukset_Käynnit!A317</f>
        <v>0</v>
      </c>
      <c r="B310" s="203">
        <f>Alukset_Käynnit!B317</f>
        <v>0</v>
      </c>
      <c r="C310" s="262">
        <f>Alukset_Käynnit!C317</f>
        <v>0</v>
      </c>
      <c r="D310" s="266">
        <f>Alukset_Käynnit!D317</f>
        <v>0</v>
      </c>
      <c r="E310" s="262">
        <f>Alukset_Käynnit!E317</f>
        <v>0</v>
      </c>
      <c r="F310" s="262">
        <f>Alukset_Käynnit!F317</f>
        <v>0</v>
      </c>
      <c r="G310" s="262">
        <f>Alukset_Käynnit!G317</f>
        <v>0</v>
      </c>
      <c r="H310" s="262">
        <f>Alukset_Käynnit!H317</f>
        <v>0</v>
      </c>
      <c r="I310" s="262">
        <f>Alukset_Käynnit!I317</f>
        <v>0</v>
      </c>
      <c r="J310" s="262">
        <f>Alukset_Käynnit!J317</f>
        <v>0</v>
      </c>
      <c r="K310" s="262">
        <f>Alukset_Käynnit!K317</f>
        <v>0</v>
      </c>
      <c r="L310" s="205">
        <f>Alukset_Käynnit!L317</f>
        <v>0</v>
      </c>
      <c r="N310" s="273">
        <f t="shared" si="63"/>
        <v>0</v>
      </c>
      <c r="O310" s="274">
        <f t="shared" si="64"/>
        <v>0</v>
      </c>
      <c r="Q310" s="204">
        <f t="shared" si="53"/>
        <v>0</v>
      </c>
      <c r="R310" s="202">
        <f>IF(Q310="Other dry cargo",L310*Alukset_fx!$B$71,IF(OR(Q310="Dry bulk",Q310="Bulk carrier"),L310*Alukset_fx!$B$69,IF(Q310="Tugboat",L310*Alukset_fx!$B$76,IF(OR(Q310="Tanker",Q310="Gas tanker",Q310="Chemical tanker",Q310="Oil tanker"),L310*Alukset_fx!$B$68,IF(OR(Q310="RoRo",Q310="Vehicle carrier"),L310*Alukset_fx!$B$72,IF(Q310="RoPax",L310*Alukset_fx!$B$73,IF(Q310="Container ship",L310*Alukset_fx!$B$70,IF(Q310="Barge",0,L310*Alukset_fx!$B$75))))))))</f>
        <v>0</v>
      </c>
      <c r="S310" s="210">
        <f>IF(L310=0,IF(Q310="Other dry cargo",Alukset_fx!$H$73*(Alukset_Käynnit_Lask!K310^Alukset_fx!$I$73),IF(OR(Q310="Dry Bulk",Q310="Bulk carrier"),Alukset_fx!$H$71*(Alukset_Käynnit_Lask!K310^Alukset_fx!$I$71),IF(Q310="Tugboat",Alukset_fx!$H$78*(Alukset_Käynnit_Lask!K310^Alukset_fx!$I$78),IF(OR(Q310="Tanker",Q310="Gas tanker",Q310="Chemical tanker",Q310="Oil tanker"),Alukset_fx!$H$70*(Alukset_Käynnit_Lask!K310^Alukset_fx!$I$70),IF(Q310="Container ship",Alukset_fx!$H$72*(Alukset_Käynnit_Lask!K310^Alukset_fx!$I$72),IF(Q310="Barge",0,IF(Q310="RoPax",Alukset_fx!$H$75*(Alukset_Käynnit_Lask!K310^Alukset_fx!$I$75),IF(OR(Q310="RoRo",Q310="Vehicle carrier"),Alukset_fx!$H$74*(Alukset_Käynnit_Lask!K310^Alukset_fx!$I$74),Alukset_fx!$H$77*(Alukset_Käynnit_Lask!K310^Alukset_fx!$I$77))))))))),"-")</f>
        <v>0</v>
      </c>
      <c r="T310" s="208">
        <f>IF(R310=0,IF(Q310="Other dry cargo",S310*Alukset_fx!$B$71,IF(OR(Q310="Dry bulk",Q310="Bulk carrier"),S310*Alukset_fx!$B$69,IF(Q310="Tugboat",S310*Alukset_fx!$B$76,IF(OR(Q310="Tanker",Q310="Gas tanker",Q310="Chemical tanker",Q310="Oil tanker"),S310*Alukset_fx!$B$68,IF(OR(Q310="RoRo",Q310="Vehicle carrier"),S310*Alukset_fx!$B$72,IF(Q310="RoPax",S310*Alukset_fx!$B$73,IF(Q310="Container ship",S310*Alukset_fx!$B$70,S310*Alukset_fx!$B$75))))))),"-")</f>
        <v>0</v>
      </c>
      <c r="U310" s="208">
        <f t="shared" si="54"/>
        <v>0</v>
      </c>
      <c r="V310" s="208">
        <f t="shared" si="55"/>
        <v>0</v>
      </c>
      <c r="W310" s="202">
        <f>Alukset_Käynnit!N317</f>
        <v>0</v>
      </c>
      <c r="X310" s="211">
        <f>IF(Q310="Other dry cargo", Alukset_fx!$C$52, IF(OR(Q310="Dry bulk",Q310="Bulk carrier"),Alukset_fx!$C$35,IF(OR(Q310="Tanker",Q310="Gas tanker",Q310="Oil tanker"),Alukset_fx!$C$57,IF(Q310="Chemical tanker",Alukset_fx!$C$56,IF(OR(Q310="Tugboat",Q310="Barge"),0,IF(Q310="Other vessel",Alukset_fx!$C$54,IF(Q310="Container ship",Alukset_fx!$C$37,IF(OR(Q310="RoPax",Q310="RoRo",Q310="Vehicle carrier"),Alukset_fx!$C$55,0))))))))</f>
        <v>0</v>
      </c>
      <c r="Y310" s="211">
        <f>IF(Q310="Other dry cargo", Alukset_fx!$Q$52, IF(OR(Q310="Dry bulk",Q310="Bulk carrier"),Alukset_fx!$Q$35,IF(OR(Q310="Tanker",Q310="Gas tanker",Q310="Oil tanker"),Alukset_fx!$Q$57,IF(Q310="Chemical tanker",Alukset_fx!$Q$56,IF(OR(Q310="Tugboat",Q310="Barge"),0,IF(Q310="Other vessel",Alukset_fx!$Q$54,IF(Q310="Container ship",Alukset_fx!$Q$37,IF(OR(Q310="RoPax",Q310="RoRo",Q310="Vehicle carrier"),Alukset_fx!$Q$55,0))))))))</f>
        <v>0</v>
      </c>
      <c r="Z310" t="str">
        <f t="shared" si="56"/>
        <v>MDO/MGO</v>
      </c>
      <c r="AA310" t="str">
        <f t="shared" si="57"/>
        <v>MSD</v>
      </c>
      <c r="AB310" t="str">
        <f t="shared" si="58"/>
        <v>MDO/MGO</v>
      </c>
      <c r="AC310" t="str">
        <f t="shared" si="59"/>
        <v>MSD</v>
      </c>
      <c r="AD310" t="str">
        <f t="shared" si="60"/>
        <v>MDO/MGO</v>
      </c>
      <c r="AE310" t="str">
        <f t="shared" si="61"/>
        <v>ST</v>
      </c>
      <c r="AG310">
        <f>Alukset_Käynnit!O317</f>
        <v>0</v>
      </c>
      <c r="AH310" s="207">
        <f>IF(AA310="SSD",((U310*Alukset_fx!$B$24)*Alukset_Käynnit_Lask!W310*(Alukset_fx!$K$49)/1000),IF(AA310="MSD",((U310*Alukset_fx!$B$24)*Alukset_Käynnit_Lask!W310*(Alukset_fx!$K$52)/1000),IF(AA310="HSD",((U310*Alukset_fx!$B$24)*Alukset_Käynnit_Lask!W310*(Alukset_fx!$K$55)/1000),0)))</f>
        <v>0</v>
      </c>
      <c r="AI310" s="207">
        <f>IF(AC310="MSD",((V310*Alukset_fx!$B$25)*Alukset_Käynnit_Lask!W310*(Alukset_fx!$L$52)/1000),IF(AC310="HSD",((V310*Alukset_fx!$B$25)*Alukset_Käynnit_Lask!W310*(Alukset_fx!$L$55)/1000),0))</f>
        <v>0</v>
      </c>
      <c r="AJ310" s="207">
        <f>X310*W310*Alukset_fx!$K$61/1000</f>
        <v>0</v>
      </c>
      <c r="AK310">
        <v>0</v>
      </c>
      <c r="AL310" s="207">
        <f>IF(AG310="Käytetty",0,IF(AC310="MSD",((V310*Alukset_fx!$O$25)*Alukset_Käynnit_Lask!O310*(Alukset_fx!$L$52)/1000),IF(AC310="HSD",((V310*Alukset_fx!$O$25)*Alukset_Käynnit_Lask!O310*(Alukset_fx!$L$55)/1000),0)))</f>
        <v>0</v>
      </c>
      <c r="AM310" s="207">
        <f>IF(AG310="Käytetty",0,Y310*O310*Alukset_fx!$K$61/1000)</f>
        <v>0</v>
      </c>
      <c r="AN310" s="213">
        <f t="shared" si="62"/>
        <v>0</v>
      </c>
    </row>
    <row r="311" spans="1:40" x14ac:dyDescent="0.25">
      <c r="A311" s="203">
        <f>Alukset_Käynnit!A318</f>
        <v>0</v>
      </c>
      <c r="B311" s="203">
        <f>Alukset_Käynnit!B318</f>
        <v>0</v>
      </c>
      <c r="C311" s="262">
        <f>Alukset_Käynnit!C318</f>
        <v>0</v>
      </c>
      <c r="D311" s="266">
        <f>Alukset_Käynnit!D318</f>
        <v>0</v>
      </c>
      <c r="E311" s="262">
        <f>Alukset_Käynnit!E318</f>
        <v>0</v>
      </c>
      <c r="F311" s="262">
        <f>Alukset_Käynnit!F318</f>
        <v>0</v>
      </c>
      <c r="G311" s="262">
        <f>Alukset_Käynnit!G318</f>
        <v>0</v>
      </c>
      <c r="H311" s="262">
        <f>Alukset_Käynnit!H318</f>
        <v>0</v>
      </c>
      <c r="I311" s="262">
        <f>Alukset_Käynnit!I318</f>
        <v>0</v>
      </c>
      <c r="J311" s="262">
        <f>Alukset_Käynnit!J318</f>
        <v>0</v>
      </c>
      <c r="K311" s="262">
        <f>Alukset_Käynnit!K318</f>
        <v>0</v>
      </c>
      <c r="L311" s="205">
        <f>Alukset_Käynnit!L318</f>
        <v>0</v>
      </c>
      <c r="N311" s="273">
        <f t="shared" si="63"/>
        <v>0</v>
      </c>
      <c r="O311" s="274">
        <f t="shared" si="64"/>
        <v>0</v>
      </c>
      <c r="Q311" s="204">
        <f t="shared" si="53"/>
        <v>0</v>
      </c>
      <c r="R311" s="202">
        <f>IF(Q311="Other dry cargo",L311*Alukset_fx!$B$71,IF(OR(Q311="Dry bulk",Q311="Bulk carrier"),L311*Alukset_fx!$B$69,IF(Q311="Tugboat",L311*Alukset_fx!$B$76,IF(OR(Q311="Tanker",Q311="Gas tanker",Q311="Chemical tanker",Q311="Oil tanker"),L311*Alukset_fx!$B$68,IF(OR(Q311="RoRo",Q311="Vehicle carrier"),L311*Alukset_fx!$B$72,IF(Q311="RoPax",L311*Alukset_fx!$B$73,IF(Q311="Container ship",L311*Alukset_fx!$B$70,IF(Q311="Barge",0,L311*Alukset_fx!$B$75))))))))</f>
        <v>0</v>
      </c>
      <c r="S311" s="210">
        <f>IF(L311=0,IF(Q311="Other dry cargo",Alukset_fx!$H$73*(Alukset_Käynnit_Lask!K311^Alukset_fx!$I$73),IF(OR(Q311="Dry Bulk",Q311="Bulk carrier"),Alukset_fx!$H$71*(Alukset_Käynnit_Lask!K311^Alukset_fx!$I$71),IF(Q311="Tugboat",Alukset_fx!$H$78*(Alukset_Käynnit_Lask!K311^Alukset_fx!$I$78),IF(OR(Q311="Tanker",Q311="Gas tanker",Q311="Chemical tanker",Q311="Oil tanker"),Alukset_fx!$H$70*(Alukset_Käynnit_Lask!K311^Alukset_fx!$I$70),IF(Q311="Container ship",Alukset_fx!$H$72*(Alukset_Käynnit_Lask!K311^Alukset_fx!$I$72),IF(Q311="Barge",0,IF(Q311="RoPax",Alukset_fx!$H$75*(Alukset_Käynnit_Lask!K311^Alukset_fx!$I$75),IF(OR(Q311="RoRo",Q311="Vehicle carrier"),Alukset_fx!$H$74*(Alukset_Käynnit_Lask!K311^Alukset_fx!$I$74),Alukset_fx!$H$77*(Alukset_Käynnit_Lask!K311^Alukset_fx!$I$77))))))))),"-")</f>
        <v>0</v>
      </c>
      <c r="T311" s="208">
        <f>IF(R311=0,IF(Q311="Other dry cargo",S311*Alukset_fx!$B$71,IF(OR(Q311="Dry bulk",Q311="Bulk carrier"),S311*Alukset_fx!$B$69,IF(Q311="Tugboat",S311*Alukset_fx!$B$76,IF(OR(Q311="Tanker",Q311="Gas tanker",Q311="Chemical tanker",Q311="Oil tanker"),S311*Alukset_fx!$B$68,IF(OR(Q311="RoRo",Q311="Vehicle carrier"),S311*Alukset_fx!$B$72,IF(Q311="RoPax",S311*Alukset_fx!$B$73,IF(Q311="Container ship",S311*Alukset_fx!$B$70,S311*Alukset_fx!$B$75))))))),"-")</f>
        <v>0</v>
      </c>
      <c r="U311" s="208">
        <f t="shared" si="54"/>
        <v>0</v>
      </c>
      <c r="V311" s="208">
        <f t="shared" si="55"/>
        <v>0</v>
      </c>
      <c r="W311" s="202">
        <f>Alukset_Käynnit!N318</f>
        <v>0</v>
      </c>
      <c r="X311" s="211">
        <f>IF(Q311="Other dry cargo", Alukset_fx!$C$52, IF(OR(Q311="Dry bulk",Q311="Bulk carrier"),Alukset_fx!$C$35,IF(OR(Q311="Tanker",Q311="Gas tanker",Q311="Oil tanker"),Alukset_fx!$C$57,IF(Q311="Chemical tanker",Alukset_fx!$C$56,IF(OR(Q311="Tugboat",Q311="Barge"),0,IF(Q311="Other vessel",Alukset_fx!$C$54,IF(Q311="Container ship",Alukset_fx!$C$37,IF(OR(Q311="RoPax",Q311="RoRo",Q311="Vehicle carrier"),Alukset_fx!$C$55,0))))))))</f>
        <v>0</v>
      </c>
      <c r="Y311" s="211">
        <f>IF(Q311="Other dry cargo", Alukset_fx!$Q$52, IF(OR(Q311="Dry bulk",Q311="Bulk carrier"),Alukset_fx!$Q$35,IF(OR(Q311="Tanker",Q311="Gas tanker",Q311="Oil tanker"),Alukset_fx!$Q$57,IF(Q311="Chemical tanker",Alukset_fx!$Q$56,IF(OR(Q311="Tugboat",Q311="Barge"),0,IF(Q311="Other vessel",Alukset_fx!$Q$54,IF(Q311="Container ship",Alukset_fx!$Q$37,IF(OR(Q311="RoPax",Q311="RoRo",Q311="Vehicle carrier"),Alukset_fx!$Q$55,0))))))))</f>
        <v>0</v>
      </c>
      <c r="Z311" t="str">
        <f t="shared" si="56"/>
        <v>MDO/MGO</v>
      </c>
      <c r="AA311" t="str">
        <f t="shared" si="57"/>
        <v>MSD</v>
      </c>
      <c r="AB311" t="str">
        <f t="shared" si="58"/>
        <v>MDO/MGO</v>
      </c>
      <c r="AC311" t="str">
        <f t="shared" si="59"/>
        <v>MSD</v>
      </c>
      <c r="AD311" t="str">
        <f t="shared" si="60"/>
        <v>MDO/MGO</v>
      </c>
      <c r="AE311" t="str">
        <f t="shared" si="61"/>
        <v>ST</v>
      </c>
      <c r="AG311">
        <f>Alukset_Käynnit!O318</f>
        <v>0</v>
      </c>
      <c r="AH311" s="207">
        <f>IF(AA311="SSD",((U311*Alukset_fx!$B$24)*Alukset_Käynnit_Lask!W311*(Alukset_fx!$K$49)/1000),IF(AA311="MSD",((U311*Alukset_fx!$B$24)*Alukset_Käynnit_Lask!W311*(Alukset_fx!$K$52)/1000),IF(AA311="HSD",((U311*Alukset_fx!$B$24)*Alukset_Käynnit_Lask!W311*(Alukset_fx!$K$55)/1000),0)))</f>
        <v>0</v>
      </c>
      <c r="AI311" s="207">
        <f>IF(AC311="MSD",((V311*Alukset_fx!$B$25)*Alukset_Käynnit_Lask!W311*(Alukset_fx!$L$52)/1000),IF(AC311="HSD",((V311*Alukset_fx!$B$25)*Alukset_Käynnit_Lask!W311*(Alukset_fx!$L$55)/1000),0))</f>
        <v>0</v>
      </c>
      <c r="AJ311" s="207">
        <f>X311*W311*Alukset_fx!$K$61/1000</f>
        <v>0</v>
      </c>
      <c r="AK311">
        <v>0</v>
      </c>
      <c r="AL311" s="207">
        <f>IF(AG311="Käytetty",0,IF(AC311="MSD",((V311*Alukset_fx!$O$25)*Alukset_Käynnit_Lask!O311*(Alukset_fx!$L$52)/1000),IF(AC311="HSD",((V311*Alukset_fx!$O$25)*Alukset_Käynnit_Lask!O311*(Alukset_fx!$L$55)/1000),0)))</f>
        <v>0</v>
      </c>
      <c r="AM311" s="207">
        <f>IF(AG311="Käytetty",0,Y311*O311*Alukset_fx!$K$61/1000)</f>
        <v>0</v>
      </c>
      <c r="AN311" s="213">
        <f t="shared" si="62"/>
        <v>0</v>
      </c>
    </row>
    <row r="312" spans="1:40" x14ac:dyDescent="0.25">
      <c r="A312" s="203">
        <f>Alukset_Käynnit!A319</f>
        <v>0</v>
      </c>
      <c r="B312" s="203">
        <f>Alukset_Käynnit!B319</f>
        <v>0</v>
      </c>
      <c r="C312" s="262">
        <f>Alukset_Käynnit!C319</f>
        <v>0</v>
      </c>
      <c r="D312" s="266">
        <f>Alukset_Käynnit!D319</f>
        <v>0</v>
      </c>
      <c r="E312" s="262">
        <f>Alukset_Käynnit!E319</f>
        <v>0</v>
      </c>
      <c r="F312" s="262">
        <f>Alukset_Käynnit!F319</f>
        <v>0</v>
      </c>
      <c r="G312" s="262">
        <f>Alukset_Käynnit!G319</f>
        <v>0</v>
      </c>
      <c r="H312" s="262">
        <f>Alukset_Käynnit!H319</f>
        <v>0</v>
      </c>
      <c r="I312" s="262">
        <f>Alukset_Käynnit!I319</f>
        <v>0</v>
      </c>
      <c r="J312" s="262">
        <f>Alukset_Käynnit!J319</f>
        <v>0</v>
      </c>
      <c r="K312" s="262">
        <f>Alukset_Käynnit!K319</f>
        <v>0</v>
      </c>
      <c r="L312" s="205">
        <f>Alukset_Käynnit!L319</f>
        <v>0</v>
      </c>
      <c r="N312" s="273">
        <f t="shared" si="63"/>
        <v>0</v>
      </c>
      <c r="O312" s="274">
        <f t="shared" si="64"/>
        <v>0</v>
      </c>
      <c r="Q312" s="204">
        <f t="shared" si="53"/>
        <v>0</v>
      </c>
      <c r="R312" s="202">
        <f>IF(Q312="Other dry cargo",L312*Alukset_fx!$B$71,IF(OR(Q312="Dry bulk",Q312="Bulk carrier"),L312*Alukset_fx!$B$69,IF(Q312="Tugboat",L312*Alukset_fx!$B$76,IF(OR(Q312="Tanker",Q312="Gas tanker",Q312="Chemical tanker",Q312="Oil tanker"),L312*Alukset_fx!$B$68,IF(OR(Q312="RoRo",Q312="Vehicle carrier"),L312*Alukset_fx!$B$72,IF(Q312="RoPax",L312*Alukset_fx!$B$73,IF(Q312="Container ship",L312*Alukset_fx!$B$70,IF(Q312="Barge",0,L312*Alukset_fx!$B$75))))))))</f>
        <v>0</v>
      </c>
      <c r="S312" s="210">
        <f>IF(L312=0,IF(Q312="Other dry cargo",Alukset_fx!$H$73*(Alukset_Käynnit_Lask!K312^Alukset_fx!$I$73),IF(OR(Q312="Dry Bulk",Q312="Bulk carrier"),Alukset_fx!$H$71*(Alukset_Käynnit_Lask!K312^Alukset_fx!$I$71),IF(Q312="Tugboat",Alukset_fx!$H$78*(Alukset_Käynnit_Lask!K312^Alukset_fx!$I$78),IF(OR(Q312="Tanker",Q312="Gas tanker",Q312="Chemical tanker",Q312="Oil tanker"),Alukset_fx!$H$70*(Alukset_Käynnit_Lask!K312^Alukset_fx!$I$70),IF(Q312="Container ship",Alukset_fx!$H$72*(Alukset_Käynnit_Lask!K312^Alukset_fx!$I$72),IF(Q312="Barge",0,IF(Q312="RoPax",Alukset_fx!$H$75*(Alukset_Käynnit_Lask!K312^Alukset_fx!$I$75),IF(OR(Q312="RoRo",Q312="Vehicle carrier"),Alukset_fx!$H$74*(Alukset_Käynnit_Lask!K312^Alukset_fx!$I$74),Alukset_fx!$H$77*(Alukset_Käynnit_Lask!K312^Alukset_fx!$I$77))))))))),"-")</f>
        <v>0</v>
      </c>
      <c r="T312" s="208">
        <f>IF(R312=0,IF(Q312="Other dry cargo",S312*Alukset_fx!$B$71,IF(OR(Q312="Dry bulk",Q312="Bulk carrier"),S312*Alukset_fx!$B$69,IF(Q312="Tugboat",S312*Alukset_fx!$B$76,IF(OR(Q312="Tanker",Q312="Gas tanker",Q312="Chemical tanker",Q312="Oil tanker"),S312*Alukset_fx!$B$68,IF(OR(Q312="RoRo",Q312="Vehicle carrier"),S312*Alukset_fx!$B$72,IF(Q312="RoPax",S312*Alukset_fx!$B$73,IF(Q312="Container ship",S312*Alukset_fx!$B$70,S312*Alukset_fx!$B$75))))))),"-")</f>
        <v>0</v>
      </c>
      <c r="U312" s="208">
        <f t="shared" si="54"/>
        <v>0</v>
      </c>
      <c r="V312" s="208">
        <f t="shared" si="55"/>
        <v>0</v>
      </c>
      <c r="W312" s="202">
        <f>Alukset_Käynnit!N319</f>
        <v>0</v>
      </c>
      <c r="X312" s="211">
        <f>IF(Q312="Other dry cargo", Alukset_fx!$C$52, IF(OR(Q312="Dry bulk",Q312="Bulk carrier"),Alukset_fx!$C$35,IF(OR(Q312="Tanker",Q312="Gas tanker",Q312="Oil tanker"),Alukset_fx!$C$57,IF(Q312="Chemical tanker",Alukset_fx!$C$56,IF(OR(Q312="Tugboat",Q312="Barge"),0,IF(Q312="Other vessel",Alukset_fx!$C$54,IF(Q312="Container ship",Alukset_fx!$C$37,IF(OR(Q312="RoPax",Q312="RoRo",Q312="Vehicle carrier"),Alukset_fx!$C$55,0))))))))</f>
        <v>0</v>
      </c>
      <c r="Y312" s="211">
        <f>IF(Q312="Other dry cargo", Alukset_fx!$Q$52, IF(OR(Q312="Dry bulk",Q312="Bulk carrier"),Alukset_fx!$Q$35,IF(OR(Q312="Tanker",Q312="Gas tanker",Q312="Oil tanker"),Alukset_fx!$Q$57,IF(Q312="Chemical tanker",Alukset_fx!$Q$56,IF(OR(Q312="Tugboat",Q312="Barge"),0,IF(Q312="Other vessel",Alukset_fx!$Q$54,IF(Q312="Container ship",Alukset_fx!$Q$37,IF(OR(Q312="RoPax",Q312="RoRo",Q312="Vehicle carrier"),Alukset_fx!$Q$55,0))))))))</f>
        <v>0</v>
      </c>
      <c r="Z312" t="str">
        <f t="shared" si="56"/>
        <v>MDO/MGO</v>
      </c>
      <c r="AA312" t="str">
        <f t="shared" si="57"/>
        <v>MSD</v>
      </c>
      <c r="AB312" t="str">
        <f t="shared" si="58"/>
        <v>MDO/MGO</v>
      </c>
      <c r="AC312" t="str">
        <f t="shared" si="59"/>
        <v>MSD</v>
      </c>
      <c r="AD312" t="str">
        <f t="shared" si="60"/>
        <v>MDO/MGO</v>
      </c>
      <c r="AE312" t="str">
        <f t="shared" si="61"/>
        <v>ST</v>
      </c>
      <c r="AG312">
        <f>Alukset_Käynnit!O319</f>
        <v>0</v>
      </c>
      <c r="AH312" s="207">
        <f>IF(AA312="SSD",((U312*Alukset_fx!$B$24)*Alukset_Käynnit_Lask!W312*(Alukset_fx!$K$49)/1000),IF(AA312="MSD",((U312*Alukset_fx!$B$24)*Alukset_Käynnit_Lask!W312*(Alukset_fx!$K$52)/1000),IF(AA312="HSD",((U312*Alukset_fx!$B$24)*Alukset_Käynnit_Lask!W312*(Alukset_fx!$K$55)/1000),0)))</f>
        <v>0</v>
      </c>
      <c r="AI312" s="207">
        <f>IF(AC312="MSD",((V312*Alukset_fx!$B$25)*Alukset_Käynnit_Lask!W312*(Alukset_fx!$L$52)/1000),IF(AC312="HSD",((V312*Alukset_fx!$B$25)*Alukset_Käynnit_Lask!W312*(Alukset_fx!$L$55)/1000),0))</f>
        <v>0</v>
      </c>
      <c r="AJ312" s="207">
        <f>X312*W312*Alukset_fx!$K$61/1000</f>
        <v>0</v>
      </c>
      <c r="AK312">
        <v>0</v>
      </c>
      <c r="AL312" s="207">
        <f>IF(AG312="Käytetty",0,IF(AC312="MSD",((V312*Alukset_fx!$O$25)*Alukset_Käynnit_Lask!O312*(Alukset_fx!$L$52)/1000),IF(AC312="HSD",((V312*Alukset_fx!$O$25)*Alukset_Käynnit_Lask!O312*(Alukset_fx!$L$55)/1000),0)))</f>
        <v>0</v>
      </c>
      <c r="AM312" s="207">
        <f>IF(AG312="Käytetty",0,Y312*O312*Alukset_fx!$K$61/1000)</f>
        <v>0</v>
      </c>
      <c r="AN312" s="213">
        <f t="shared" si="62"/>
        <v>0</v>
      </c>
    </row>
    <row r="313" spans="1:40" x14ac:dyDescent="0.25">
      <c r="A313" s="203">
        <f>Alukset_Käynnit!A320</f>
        <v>0</v>
      </c>
      <c r="B313" s="203">
        <f>Alukset_Käynnit!B320</f>
        <v>0</v>
      </c>
      <c r="C313" s="262">
        <f>Alukset_Käynnit!C320</f>
        <v>0</v>
      </c>
      <c r="D313" s="266">
        <f>Alukset_Käynnit!D320</f>
        <v>0</v>
      </c>
      <c r="E313" s="262">
        <f>Alukset_Käynnit!E320</f>
        <v>0</v>
      </c>
      <c r="F313" s="262">
        <f>Alukset_Käynnit!F320</f>
        <v>0</v>
      </c>
      <c r="G313" s="262">
        <f>Alukset_Käynnit!G320</f>
        <v>0</v>
      </c>
      <c r="H313" s="262">
        <f>Alukset_Käynnit!H320</f>
        <v>0</v>
      </c>
      <c r="I313" s="262">
        <f>Alukset_Käynnit!I320</f>
        <v>0</v>
      </c>
      <c r="J313" s="262">
        <f>Alukset_Käynnit!J320</f>
        <v>0</v>
      </c>
      <c r="K313" s="262">
        <f>Alukset_Käynnit!K320</f>
        <v>0</v>
      </c>
      <c r="L313" s="205">
        <f>Alukset_Käynnit!L320</f>
        <v>0</v>
      </c>
      <c r="N313" s="273">
        <f t="shared" si="63"/>
        <v>0</v>
      </c>
      <c r="O313" s="274">
        <f t="shared" si="64"/>
        <v>0</v>
      </c>
      <c r="Q313" s="204">
        <f t="shared" si="53"/>
        <v>0</v>
      </c>
      <c r="R313" s="202">
        <f>IF(Q313="Other dry cargo",L313*Alukset_fx!$B$71,IF(OR(Q313="Dry bulk",Q313="Bulk carrier"),L313*Alukset_fx!$B$69,IF(Q313="Tugboat",L313*Alukset_fx!$B$76,IF(OR(Q313="Tanker",Q313="Gas tanker",Q313="Chemical tanker",Q313="Oil tanker"),L313*Alukset_fx!$B$68,IF(OR(Q313="RoRo",Q313="Vehicle carrier"),L313*Alukset_fx!$B$72,IF(Q313="RoPax",L313*Alukset_fx!$B$73,IF(Q313="Container ship",L313*Alukset_fx!$B$70,IF(Q313="Barge",0,L313*Alukset_fx!$B$75))))))))</f>
        <v>0</v>
      </c>
      <c r="S313" s="210">
        <f>IF(L313=0,IF(Q313="Other dry cargo",Alukset_fx!$H$73*(Alukset_Käynnit_Lask!K313^Alukset_fx!$I$73),IF(OR(Q313="Dry Bulk",Q313="Bulk carrier"),Alukset_fx!$H$71*(Alukset_Käynnit_Lask!K313^Alukset_fx!$I$71),IF(Q313="Tugboat",Alukset_fx!$H$78*(Alukset_Käynnit_Lask!K313^Alukset_fx!$I$78),IF(OR(Q313="Tanker",Q313="Gas tanker",Q313="Chemical tanker",Q313="Oil tanker"),Alukset_fx!$H$70*(Alukset_Käynnit_Lask!K313^Alukset_fx!$I$70),IF(Q313="Container ship",Alukset_fx!$H$72*(Alukset_Käynnit_Lask!K313^Alukset_fx!$I$72),IF(Q313="Barge",0,IF(Q313="RoPax",Alukset_fx!$H$75*(Alukset_Käynnit_Lask!K313^Alukset_fx!$I$75),IF(OR(Q313="RoRo",Q313="Vehicle carrier"),Alukset_fx!$H$74*(Alukset_Käynnit_Lask!K313^Alukset_fx!$I$74),Alukset_fx!$H$77*(Alukset_Käynnit_Lask!K313^Alukset_fx!$I$77))))))))),"-")</f>
        <v>0</v>
      </c>
      <c r="T313" s="208">
        <f>IF(R313=0,IF(Q313="Other dry cargo",S313*Alukset_fx!$B$71,IF(OR(Q313="Dry bulk",Q313="Bulk carrier"),S313*Alukset_fx!$B$69,IF(Q313="Tugboat",S313*Alukset_fx!$B$76,IF(OR(Q313="Tanker",Q313="Gas tanker",Q313="Chemical tanker",Q313="Oil tanker"),S313*Alukset_fx!$B$68,IF(OR(Q313="RoRo",Q313="Vehicle carrier"),S313*Alukset_fx!$B$72,IF(Q313="RoPax",S313*Alukset_fx!$B$73,IF(Q313="Container ship",S313*Alukset_fx!$B$70,S313*Alukset_fx!$B$75))))))),"-")</f>
        <v>0</v>
      </c>
      <c r="U313" s="208">
        <f t="shared" si="54"/>
        <v>0</v>
      </c>
      <c r="V313" s="208">
        <f t="shared" si="55"/>
        <v>0</v>
      </c>
      <c r="W313" s="202">
        <f>Alukset_Käynnit!N320</f>
        <v>0</v>
      </c>
      <c r="X313" s="211">
        <f>IF(Q313="Other dry cargo", Alukset_fx!$C$52, IF(OR(Q313="Dry bulk",Q313="Bulk carrier"),Alukset_fx!$C$35,IF(OR(Q313="Tanker",Q313="Gas tanker",Q313="Oil tanker"),Alukset_fx!$C$57,IF(Q313="Chemical tanker",Alukset_fx!$C$56,IF(OR(Q313="Tugboat",Q313="Barge"),0,IF(Q313="Other vessel",Alukset_fx!$C$54,IF(Q313="Container ship",Alukset_fx!$C$37,IF(OR(Q313="RoPax",Q313="RoRo",Q313="Vehicle carrier"),Alukset_fx!$C$55,0))))))))</f>
        <v>0</v>
      </c>
      <c r="Y313" s="211">
        <f>IF(Q313="Other dry cargo", Alukset_fx!$Q$52, IF(OR(Q313="Dry bulk",Q313="Bulk carrier"),Alukset_fx!$Q$35,IF(OR(Q313="Tanker",Q313="Gas tanker",Q313="Oil tanker"),Alukset_fx!$Q$57,IF(Q313="Chemical tanker",Alukset_fx!$Q$56,IF(OR(Q313="Tugboat",Q313="Barge"),0,IF(Q313="Other vessel",Alukset_fx!$Q$54,IF(Q313="Container ship",Alukset_fx!$Q$37,IF(OR(Q313="RoPax",Q313="RoRo",Q313="Vehicle carrier"),Alukset_fx!$Q$55,0))))))))</f>
        <v>0</v>
      </c>
      <c r="Z313" t="str">
        <f t="shared" si="56"/>
        <v>MDO/MGO</v>
      </c>
      <c r="AA313" t="str">
        <f t="shared" si="57"/>
        <v>MSD</v>
      </c>
      <c r="AB313" t="str">
        <f t="shared" si="58"/>
        <v>MDO/MGO</v>
      </c>
      <c r="AC313" t="str">
        <f t="shared" si="59"/>
        <v>MSD</v>
      </c>
      <c r="AD313" t="str">
        <f t="shared" si="60"/>
        <v>MDO/MGO</v>
      </c>
      <c r="AE313" t="str">
        <f t="shared" si="61"/>
        <v>ST</v>
      </c>
      <c r="AG313">
        <f>Alukset_Käynnit!O320</f>
        <v>0</v>
      </c>
      <c r="AH313" s="207">
        <f>IF(AA313="SSD",((U313*Alukset_fx!$B$24)*Alukset_Käynnit_Lask!W313*(Alukset_fx!$K$49)/1000),IF(AA313="MSD",((U313*Alukset_fx!$B$24)*Alukset_Käynnit_Lask!W313*(Alukset_fx!$K$52)/1000),IF(AA313="HSD",((U313*Alukset_fx!$B$24)*Alukset_Käynnit_Lask!W313*(Alukset_fx!$K$55)/1000),0)))</f>
        <v>0</v>
      </c>
      <c r="AI313" s="207">
        <f>IF(AC313="MSD",((V313*Alukset_fx!$B$25)*Alukset_Käynnit_Lask!W313*(Alukset_fx!$L$52)/1000),IF(AC313="HSD",((V313*Alukset_fx!$B$25)*Alukset_Käynnit_Lask!W313*(Alukset_fx!$L$55)/1000),0))</f>
        <v>0</v>
      </c>
      <c r="AJ313" s="207">
        <f>X313*W313*Alukset_fx!$K$61/1000</f>
        <v>0</v>
      </c>
      <c r="AK313">
        <v>0</v>
      </c>
      <c r="AL313" s="207">
        <f>IF(AG313="Käytetty",0,IF(AC313="MSD",((V313*Alukset_fx!$O$25)*Alukset_Käynnit_Lask!O313*(Alukset_fx!$L$52)/1000),IF(AC313="HSD",((V313*Alukset_fx!$O$25)*Alukset_Käynnit_Lask!O313*(Alukset_fx!$L$55)/1000),0)))</f>
        <v>0</v>
      </c>
      <c r="AM313" s="207">
        <f>IF(AG313="Käytetty",0,Y313*O313*Alukset_fx!$K$61/1000)</f>
        <v>0</v>
      </c>
      <c r="AN313" s="213">
        <f t="shared" si="62"/>
        <v>0</v>
      </c>
    </row>
    <row r="314" spans="1:40" x14ac:dyDescent="0.25">
      <c r="A314" s="203">
        <f>Alukset_Käynnit!A321</f>
        <v>0</v>
      </c>
      <c r="B314" s="203">
        <f>Alukset_Käynnit!B321</f>
        <v>0</v>
      </c>
      <c r="C314" s="262">
        <f>Alukset_Käynnit!C321</f>
        <v>0</v>
      </c>
      <c r="D314" s="266">
        <f>Alukset_Käynnit!D321</f>
        <v>0</v>
      </c>
      <c r="E314" s="262">
        <f>Alukset_Käynnit!E321</f>
        <v>0</v>
      </c>
      <c r="F314" s="262">
        <f>Alukset_Käynnit!F321</f>
        <v>0</v>
      </c>
      <c r="G314" s="262">
        <f>Alukset_Käynnit!G321</f>
        <v>0</v>
      </c>
      <c r="H314" s="262">
        <f>Alukset_Käynnit!H321</f>
        <v>0</v>
      </c>
      <c r="I314" s="262">
        <f>Alukset_Käynnit!I321</f>
        <v>0</v>
      </c>
      <c r="J314" s="262">
        <f>Alukset_Käynnit!J321</f>
        <v>0</v>
      </c>
      <c r="K314" s="262">
        <f>Alukset_Käynnit!K321</f>
        <v>0</v>
      </c>
      <c r="L314" s="205">
        <f>Alukset_Käynnit!L321</f>
        <v>0</v>
      </c>
      <c r="N314" s="273">
        <f t="shared" si="63"/>
        <v>0</v>
      </c>
      <c r="O314" s="274">
        <f t="shared" si="64"/>
        <v>0</v>
      </c>
      <c r="Q314" s="204">
        <f t="shared" si="53"/>
        <v>0</v>
      </c>
      <c r="R314" s="202">
        <f>IF(Q314="Other dry cargo",L314*Alukset_fx!$B$71,IF(OR(Q314="Dry bulk",Q314="Bulk carrier"),L314*Alukset_fx!$B$69,IF(Q314="Tugboat",L314*Alukset_fx!$B$76,IF(OR(Q314="Tanker",Q314="Gas tanker",Q314="Chemical tanker",Q314="Oil tanker"),L314*Alukset_fx!$B$68,IF(OR(Q314="RoRo",Q314="Vehicle carrier"),L314*Alukset_fx!$B$72,IF(Q314="RoPax",L314*Alukset_fx!$B$73,IF(Q314="Container ship",L314*Alukset_fx!$B$70,IF(Q314="Barge",0,L314*Alukset_fx!$B$75))))))))</f>
        <v>0</v>
      </c>
      <c r="S314" s="210">
        <f>IF(L314=0,IF(Q314="Other dry cargo",Alukset_fx!$H$73*(Alukset_Käynnit_Lask!K314^Alukset_fx!$I$73),IF(OR(Q314="Dry Bulk",Q314="Bulk carrier"),Alukset_fx!$H$71*(Alukset_Käynnit_Lask!K314^Alukset_fx!$I$71),IF(Q314="Tugboat",Alukset_fx!$H$78*(Alukset_Käynnit_Lask!K314^Alukset_fx!$I$78),IF(OR(Q314="Tanker",Q314="Gas tanker",Q314="Chemical tanker",Q314="Oil tanker"),Alukset_fx!$H$70*(Alukset_Käynnit_Lask!K314^Alukset_fx!$I$70),IF(Q314="Container ship",Alukset_fx!$H$72*(Alukset_Käynnit_Lask!K314^Alukset_fx!$I$72),IF(Q314="Barge",0,IF(Q314="RoPax",Alukset_fx!$H$75*(Alukset_Käynnit_Lask!K314^Alukset_fx!$I$75),IF(OR(Q314="RoRo",Q314="Vehicle carrier"),Alukset_fx!$H$74*(Alukset_Käynnit_Lask!K314^Alukset_fx!$I$74),Alukset_fx!$H$77*(Alukset_Käynnit_Lask!K314^Alukset_fx!$I$77))))))))),"-")</f>
        <v>0</v>
      </c>
      <c r="T314" s="208">
        <f>IF(R314=0,IF(Q314="Other dry cargo",S314*Alukset_fx!$B$71,IF(OR(Q314="Dry bulk",Q314="Bulk carrier"),S314*Alukset_fx!$B$69,IF(Q314="Tugboat",S314*Alukset_fx!$B$76,IF(OR(Q314="Tanker",Q314="Gas tanker",Q314="Chemical tanker",Q314="Oil tanker"),S314*Alukset_fx!$B$68,IF(OR(Q314="RoRo",Q314="Vehicle carrier"),S314*Alukset_fx!$B$72,IF(Q314="RoPax",S314*Alukset_fx!$B$73,IF(Q314="Container ship",S314*Alukset_fx!$B$70,S314*Alukset_fx!$B$75))))))),"-")</f>
        <v>0</v>
      </c>
      <c r="U314" s="208">
        <f t="shared" si="54"/>
        <v>0</v>
      </c>
      <c r="V314" s="208">
        <f t="shared" si="55"/>
        <v>0</v>
      </c>
      <c r="W314" s="202">
        <f>Alukset_Käynnit!N321</f>
        <v>0</v>
      </c>
      <c r="X314" s="211">
        <f>IF(Q314="Other dry cargo", Alukset_fx!$C$52, IF(OR(Q314="Dry bulk",Q314="Bulk carrier"),Alukset_fx!$C$35,IF(OR(Q314="Tanker",Q314="Gas tanker",Q314="Oil tanker"),Alukset_fx!$C$57,IF(Q314="Chemical tanker",Alukset_fx!$C$56,IF(OR(Q314="Tugboat",Q314="Barge"),0,IF(Q314="Other vessel",Alukset_fx!$C$54,IF(Q314="Container ship",Alukset_fx!$C$37,IF(OR(Q314="RoPax",Q314="RoRo",Q314="Vehicle carrier"),Alukset_fx!$C$55,0))))))))</f>
        <v>0</v>
      </c>
      <c r="Y314" s="211">
        <f>IF(Q314="Other dry cargo", Alukset_fx!$Q$52, IF(OR(Q314="Dry bulk",Q314="Bulk carrier"),Alukset_fx!$Q$35,IF(OR(Q314="Tanker",Q314="Gas tanker",Q314="Oil tanker"),Alukset_fx!$Q$57,IF(Q314="Chemical tanker",Alukset_fx!$Q$56,IF(OR(Q314="Tugboat",Q314="Barge"),0,IF(Q314="Other vessel",Alukset_fx!$Q$54,IF(Q314="Container ship",Alukset_fx!$Q$37,IF(OR(Q314="RoPax",Q314="RoRo",Q314="Vehicle carrier"),Alukset_fx!$Q$55,0))))))))</f>
        <v>0</v>
      </c>
      <c r="Z314" t="str">
        <f t="shared" si="56"/>
        <v>MDO/MGO</v>
      </c>
      <c r="AA314" t="str">
        <f t="shared" si="57"/>
        <v>MSD</v>
      </c>
      <c r="AB314" t="str">
        <f t="shared" si="58"/>
        <v>MDO/MGO</v>
      </c>
      <c r="AC314" t="str">
        <f t="shared" si="59"/>
        <v>MSD</v>
      </c>
      <c r="AD314" t="str">
        <f t="shared" si="60"/>
        <v>MDO/MGO</v>
      </c>
      <c r="AE314" t="str">
        <f t="shared" si="61"/>
        <v>ST</v>
      </c>
      <c r="AG314">
        <f>Alukset_Käynnit!O321</f>
        <v>0</v>
      </c>
      <c r="AH314" s="207">
        <f>IF(AA314="SSD",((U314*Alukset_fx!$B$24)*Alukset_Käynnit_Lask!W314*(Alukset_fx!$K$49)/1000),IF(AA314="MSD",((U314*Alukset_fx!$B$24)*Alukset_Käynnit_Lask!W314*(Alukset_fx!$K$52)/1000),IF(AA314="HSD",((U314*Alukset_fx!$B$24)*Alukset_Käynnit_Lask!W314*(Alukset_fx!$K$55)/1000),0)))</f>
        <v>0</v>
      </c>
      <c r="AI314" s="207">
        <f>IF(AC314="MSD",((V314*Alukset_fx!$B$25)*Alukset_Käynnit_Lask!W314*(Alukset_fx!$L$52)/1000),IF(AC314="HSD",((V314*Alukset_fx!$B$25)*Alukset_Käynnit_Lask!W314*(Alukset_fx!$L$55)/1000),0))</f>
        <v>0</v>
      </c>
      <c r="AJ314" s="207">
        <f>X314*W314*Alukset_fx!$K$61/1000</f>
        <v>0</v>
      </c>
      <c r="AK314">
        <v>0</v>
      </c>
      <c r="AL314" s="207">
        <f>IF(AG314="Käytetty",0,IF(AC314="MSD",((V314*Alukset_fx!$O$25)*Alukset_Käynnit_Lask!O314*(Alukset_fx!$L$52)/1000),IF(AC314="HSD",((V314*Alukset_fx!$O$25)*Alukset_Käynnit_Lask!O314*(Alukset_fx!$L$55)/1000),0)))</f>
        <v>0</v>
      </c>
      <c r="AM314" s="207">
        <f>IF(AG314="Käytetty",0,Y314*O314*Alukset_fx!$K$61/1000)</f>
        <v>0</v>
      </c>
      <c r="AN314" s="213">
        <f t="shared" si="62"/>
        <v>0</v>
      </c>
    </row>
    <row r="315" spans="1:40" x14ac:dyDescent="0.25">
      <c r="A315" s="203">
        <f>Alukset_Käynnit!A322</f>
        <v>0</v>
      </c>
      <c r="B315" s="203">
        <f>Alukset_Käynnit!B322</f>
        <v>0</v>
      </c>
      <c r="C315" s="262">
        <f>Alukset_Käynnit!C322</f>
        <v>0</v>
      </c>
      <c r="D315" s="266">
        <f>Alukset_Käynnit!D322</f>
        <v>0</v>
      </c>
      <c r="E315" s="262">
        <f>Alukset_Käynnit!E322</f>
        <v>0</v>
      </c>
      <c r="F315" s="262">
        <f>Alukset_Käynnit!F322</f>
        <v>0</v>
      </c>
      <c r="G315" s="262">
        <f>Alukset_Käynnit!G322</f>
        <v>0</v>
      </c>
      <c r="H315" s="262">
        <f>Alukset_Käynnit!H322</f>
        <v>0</v>
      </c>
      <c r="I315" s="262">
        <f>Alukset_Käynnit!I322</f>
        <v>0</v>
      </c>
      <c r="J315" s="262">
        <f>Alukset_Käynnit!J322</f>
        <v>0</v>
      </c>
      <c r="K315" s="262">
        <f>Alukset_Käynnit!K322</f>
        <v>0</v>
      </c>
      <c r="L315" s="205">
        <f>Alukset_Käynnit!L322</f>
        <v>0</v>
      </c>
      <c r="N315" s="273">
        <f t="shared" si="63"/>
        <v>0</v>
      </c>
      <c r="O315" s="274">
        <f t="shared" si="64"/>
        <v>0</v>
      </c>
      <c r="Q315" s="204">
        <f t="shared" si="53"/>
        <v>0</v>
      </c>
      <c r="R315" s="202">
        <f>IF(Q315="Other dry cargo",L315*Alukset_fx!$B$71,IF(OR(Q315="Dry bulk",Q315="Bulk carrier"),L315*Alukset_fx!$B$69,IF(Q315="Tugboat",L315*Alukset_fx!$B$76,IF(OR(Q315="Tanker",Q315="Gas tanker",Q315="Chemical tanker",Q315="Oil tanker"),L315*Alukset_fx!$B$68,IF(OR(Q315="RoRo",Q315="Vehicle carrier"),L315*Alukset_fx!$B$72,IF(Q315="RoPax",L315*Alukset_fx!$B$73,IF(Q315="Container ship",L315*Alukset_fx!$B$70,IF(Q315="Barge",0,L315*Alukset_fx!$B$75))))))))</f>
        <v>0</v>
      </c>
      <c r="S315" s="210">
        <f>IF(L315=0,IF(Q315="Other dry cargo",Alukset_fx!$H$73*(Alukset_Käynnit_Lask!K315^Alukset_fx!$I$73),IF(OR(Q315="Dry Bulk",Q315="Bulk carrier"),Alukset_fx!$H$71*(Alukset_Käynnit_Lask!K315^Alukset_fx!$I$71),IF(Q315="Tugboat",Alukset_fx!$H$78*(Alukset_Käynnit_Lask!K315^Alukset_fx!$I$78),IF(OR(Q315="Tanker",Q315="Gas tanker",Q315="Chemical tanker",Q315="Oil tanker"),Alukset_fx!$H$70*(Alukset_Käynnit_Lask!K315^Alukset_fx!$I$70),IF(Q315="Container ship",Alukset_fx!$H$72*(Alukset_Käynnit_Lask!K315^Alukset_fx!$I$72),IF(Q315="Barge",0,IF(Q315="RoPax",Alukset_fx!$H$75*(Alukset_Käynnit_Lask!K315^Alukset_fx!$I$75),IF(OR(Q315="RoRo",Q315="Vehicle carrier"),Alukset_fx!$H$74*(Alukset_Käynnit_Lask!K315^Alukset_fx!$I$74),Alukset_fx!$H$77*(Alukset_Käynnit_Lask!K315^Alukset_fx!$I$77))))))))),"-")</f>
        <v>0</v>
      </c>
      <c r="T315" s="208">
        <f>IF(R315=0,IF(Q315="Other dry cargo",S315*Alukset_fx!$B$71,IF(OR(Q315="Dry bulk",Q315="Bulk carrier"),S315*Alukset_fx!$B$69,IF(Q315="Tugboat",S315*Alukset_fx!$B$76,IF(OR(Q315="Tanker",Q315="Gas tanker",Q315="Chemical tanker",Q315="Oil tanker"),S315*Alukset_fx!$B$68,IF(OR(Q315="RoRo",Q315="Vehicle carrier"),S315*Alukset_fx!$B$72,IF(Q315="RoPax",S315*Alukset_fx!$B$73,IF(Q315="Container ship",S315*Alukset_fx!$B$70,S315*Alukset_fx!$B$75))))))),"-")</f>
        <v>0</v>
      </c>
      <c r="U315" s="208">
        <f t="shared" si="54"/>
        <v>0</v>
      </c>
      <c r="V315" s="208">
        <f t="shared" si="55"/>
        <v>0</v>
      </c>
      <c r="W315" s="202">
        <f>Alukset_Käynnit!N322</f>
        <v>0</v>
      </c>
      <c r="X315" s="211">
        <f>IF(Q315="Other dry cargo", Alukset_fx!$C$52, IF(OR(Q315="Dry bulk",Q315="Bulk carrier"),Alukset_fx!$C$35,IF(OR(Q315="Tanker",Q315="Gas tanker",Q315="Oil tanker"),Alukset_fx!$C$57,IF(Q315="Chemical tanker",Alukset_fx!$C$56,IF(OR(Q315="Tugboat",Q315="Barge"),0,IF(Q315="Other vessel",Alukset_fx!$C$54,IF(Q315="Container ship",Alukset_fx!$C$37,IF(OR(Q315="RoPax",Q315="RoRo",Q315="Vehicle carrier"),Alukset_fx!$C$55,0))))))))</f>
        <v>0</v>
      </c>
      <c r="Y315" s="211">
        <f>IF(Q315="Other dry cargo", Alukset_fx!$Q$52, IF(OR(Q315="Dry bulk",Q315="Bulk carrier"),Alukset_fx!$Q$35,IF(OR(Q315="Tanker",Q315="Gas tanker",Q315="Oil tanker"),Alukset_fx!$Q$57,IF(Q315="Chemical tanker",Alukset_fx!$Q$56,IF(OR(Q315="Tugboat",Q315="Barge"),0,IF(Q315="Other vessel",Alukset_fx!$Q$54,IF(Q315="Container ship",Alukset_fx!$Q$37,IF(OR(Q315="RoPax",Q315="RoRo",Q315="Vehicle carrier"),Alukset_fx!$Q$55,0))))))))</f>
        <v>0</v>
      </c>
      <c r="Z315" t="str">
        <f t="shared" si="56"/>
        <v>MDO/MGO</v>
      </c>
      <c r="AA315" t="str">
        <f t="shared" si="57"/>
        <v>MSD</v>
      </c>
      <c r="AB315" t="str">
        <f t="shared" si="58"/>
        <v>MDO/MGO</v>
      </c>
      <c r="AC315" t="str">
        <f t="shared" si="59"/>
        <v>MSD</v>
      </c>
      <c r="AD315" t="str">
        <f t="shared" si="60"/>
        <v>MDO/MGO</v>
      </c>
      <c r="AE315" t="str">
        <f t="shared" si="61"/>
        <v>ST</v>
      </c>
      <c r="AG315">
        <f>Alukset_Käynnit!O322</f>
        <v>0</v>
      </c>
      <c r="AH315" s="207">
        <f>IF(AA315="SSD",((U315*Alukset_fx!$B$24)*Alukset_Käynnit_Lask!W315*(Alukset_fx!$K$49)/1000),IF(AA315="MSD",((U315*Alukset_fx!$B$24)*Alukset_Käynnit_Lask!W315*(Alukset_fx!$K$52)/1000),IF(AA315="HSD",((U315*Alukset_fx!$B$24)*Alukset_Käynnit_Lask!W315*(Alukset_fx!$K$55)/1000),0)))</f>
        <v>0</v>
      </c>
      <c r="AI315" s="207">
        <f>IF(AC315="MSD",((V315*Alukset_fx!$B$25)*Alukset_Käynnit_Lask!W315*(Alukset_fx!$L$52)/1000),IF(AC315="HSD",((V315*Alukset_fx!$B$25)*Alukset_Käynnit_Lask!W315*(Alukset_fx!$L$55)/1000),0))</f>
        <v>0</v>
      </c>
      <c r="AJ315" s="207">
        <f>X315*W315*Alukset_fx!$K$61/1000</f>
        <v>0</v>
      </c>
      <c r="AK315">
        <v>0</v>
      </c>
      <c r="AL315" s="207">
        <f>IF(AG315="Käytetty",0,IF(AC315="MSD",((V315*Alukset_fx!$O$25)*Alukset_Käynnit_Lask!O315*(Alukset_fx!$L$52)/1000),IF(AC315="HSD",((V315*Alukset_fx!$O$25)*Alukset_Käynnit_Lask!O315*(Alukset_fx!$L$55)/1000),0)))</f>
        <v>0</v>
      </c>
      <c r="AM315" s="207">
        <f>IF(AG315="Käytetty",0,Y315*O315*Alukset_fx!$K$61/1000)</f>
        <v>0</v>
      </c>
      <c r="AN315" s="213">
        <f t="shared" si="62"/>
        <v>0</v>
      </c>
    </row>
    <row r="316" spans="1:40" x14ac:dyDescent="0.25">
      <c r="A316" s="203">
        <f>Alukset_Käynnit!A323</f>
        <v>0</v>
      </c>
      <c r="B316" s="203">
        <f>Alukset_Käynnit!B323</f>
        <v>0</v>
      </c>
      <c r="C316" s="262">
        <f>Alukset_Käynnit!C323</f>
        <v>0</v>
      </c>
      <c r="D316" s="266">
        <f>Alukset_Käynnit!D323</f>
        <v>0</v>
      </c>
      <c r="E316" s="262">
        <f>Alukset_Käynnit!E323</f>
        <v>0</v>
      </c>
      <c r="F316" s="262">
        <f>Alukset_Käynnit!F323</f>
        <v>0</v>
      </c>
      <c r="G316" s="262">
        <f>Alukset_Käynnit!G323</f>
        <v>0</v>
      </c>
      <c r="H316" s="262">
        <f>Alukset_Käynnit!H323</f>
        <v>0</v>
      </c>
      <c r="I316" s="262">
        <f>Alukset_Käynnit!I323</f>
        <v>0</v>
      </c>
      <c r="J316" s="262">
        <f>Alukset_Käynnit!J323</f>
        <v>0</v>
      </c>
      <c r="K316" s="262">
        <f>Alukset_Käynnit!K323</f>
        <v>0</v>
      </c>
      <c r="L316" s="205">
        <f>Alukset_Käynnit!L323</f>
        <v>0</v>
      </c>
      <c r="N316" s="273">
        <f t="shared" si="63"/>
        <v>0</v>
      </c>
      <c r="O316" s="274">
        <f t="shared" si="64"/>
        <v>0</v>
      </c>
      <c r="Q316" s="204">
        <f t="shared" si="53"/>
        <v>0</v>
      </c>
      <c r="R316" s="202">
        <f>IF(Q316="Other dry cargo",L316*Alukset_fx!$B$71,IF(OR(Q316="Dry bulk",Q316="Bulk carrier"),L316*Alukset_fx!$B$69,IF(Q316="Tugboat",L316*Alukset_fx!$B$76,IF(OR(Q316="Tanker",Q316="Gas tanker",Q316="Chemical tanker",Q316="Oil tanker"),L316*Alukset_fx!$B$68,IF(OR(Q316="RoRo",Q316="Vehicle carrier"),L316*Alukset_fx!$B$72,IF(Q316="RoPax",L316*Alukset_fx!$B$73,IF(Q316="Container ship",L316*Alukset_fx!$B$70,IF(Q316="Barge",0,L316*Alukset_fx!$B$75))))))))</f>
        <v>0</v>
      </c>
      <c r="S316" s="210">
        <f>IF(L316=0,IF(Q316="Other dry cargo",Alukset_fx!$H$73*(Alukset_Käynnit_Lask!K316^Alukset_fx!$I$73),IF(OR(Q316="Dry Bulk",Q316="Bulk carrier"),Alukset_fx!$H$71*(Alukset_Käynnit_Lask!K316^Alukset_fx!$I$71),IF(Q316="Tugboat",Alukset_fx!$H$78*(Alukset_Käynnit_Lask!K316^Alukset_fx!$I$78),IF(OR(Q316="Tanker",Q316="Gas tanker",Q316="Chemical tanker",Q316="Oil tanker"),Alukset_fx!$H$70*(Alukset_Käynnit_Lask!K316^Alukset_fx!$I$70),IF(Q316="Container ship",Alukset_fx!$H$72*(Alukset_Käynnit_Lask!K316^Alukset_fx!$I$72),IF(Q316="Barge",0,IF(Q316="RoPax",Alukset_fx!$H$75*(Alukset_Käynnit_Lask!K316^Alukset_fx!$I$75),IF(OR(Q316="RoRo",Q316="Vehicle carrier"),Alukset_fx!$H$74*(Alukset_Käynnit_Lask!K316^Alukset_fx!$I$74),Alukset_fx!$H$77*(Alukset_Käynnit_Lask!K316^Alukset_fx!$I$77))))))))),"-")</f>
        <v>0</v>
      </c>
      <c r="T316" s="208">
        <f>IF(R316=0,IF(Q316="Other dry cargo",S316*Alukset_fx!$B$71,IF(OR(Q316="Dry bulk",Q316="Bulk carrier"),S316*Alukset_fx!$B$69,IF(Q316="Tugboat",S316*Alukset_fx!$B$76,IF(OR(Q316="Tanker",Q316="Gas tanker",Q316="Chemical tanker",Q316="Oil tanker"),S316*Alukset_fx!$B$68,IF(OR(Q316="RoRo",Q316="Vehicle carrier"),S316*Alukset_fx!$B$72,IF(Q316="RoPax",S316*Alukset_fx!$B$73,IF(Q316="Container ship",S316*Alukset_fx!$B$70,S316*Alukset_fx!$B$75))))))),"-")</f>
        <v>0</v>
      </c>
      <c r="U316" s="208">
        <f t="shared" si="54"/>
        <v>0</v>
      </c>
      <c r="V316" s="208">
        <f t="shared" si="55"/>
        <v>0</v>
      </c>
      <c r="W316" s="202">
        <f>Alukset_Käynnit!N323</f>
        <v>0</v>
      </c>
      <c r="X316" s="211">
        <f>IF(Q316="Other dry cargo", Alukset_fx!$C$52, IF(OR(Q316="Dry bulk",Q316="Bulk carrier"),Alukset_fx!$C$35,IF(OR(Q316="Tanker",Q316="Gas tanker",Q316="Oil tanker"),Alukset_fx!$C$57,IF(Q316="Chemical tanker",Alukset_fx!$C$56,IF(OR(Q316="Tugboat",Q316="Barge"),0,IF(Q316="Other vessel",Alukset_fx!$C$54,IF(Q316="Container ship",Alukset_fx!$C$37,IF(OR(Q316="RoPax",Q316="RoRo",Q316="Vehicle carrier"),Alukset_fx!$C$55,0))))))))</f>
        <v>0</v>
      </c>
      <c r="Y316" s="211">
        <f>IF(Q316="Other dry cargo", Alukset_fx!$Q$52, IF(OR(Q316="Dry bulk",Q316="Bulk carrier"),Alukset_fx!$Q$35,IF(OR(Q316="Tanker",Q316="Gas tanker",Q316="Oil tanker"),Alukset_fx!$Q$57,IF(Q316="Chemical tanker",Alukset_fx!$Q$56,IF(OR(Q316="Tugboat",Q316="Barge"),0,IF(Q316="Other vessel",Alukset_fx!$Q$54,IF(Q316="Container ship",Alukset_fx!$Q$37,IF(OR(Q316="RoPax",Q316="RoRo",Q316="Vehicle carrier"),Alukset_fx!$Q$55,0))))))))</f>
        <v>0</v>
      </c>
      <c r="Z316" t="str">
        <f t="shared" si="56"/>
        <v>MDO/MGO</v>
      </c>
      <c r="AA316" t="str">
        <f t="shared" si="57"/>
        <v>MSD</v>
      </c>
      <c r="AB316" t="str">
        <f t="shared" si="58"/>
        <v>MDO/MGO</v>
      </c>
      <c r="AC316" t="str">
        <f t="shared" si="59"/>
        <v>MSD</v>
      </c>
      <c r="AD316" t="str">
        <f t="shared" si="60"/>
        <v>MDO/MGO</v>
      </c>
      <c r="AE316" t="str">
        <f t="shared" si="61"/>
        <v>ST</v>
      </c>
      <c r="AG316">
        <f>Alukset_Käynnit!O323</f>
        <v>0</v>
      </c>
      <c r="AH316" s="207">
        <f>IF(AA316="SSD",((U316*Alukset_fx!$B$24)*Alukset_Käynnit_Lask!W316*(Alukset_fx!$K$49)/1000),IF(AA316="MSD",((U316*Alukset_fx!$B$24)*Alukset_Käynnit_Lask!W316*(Alukset_fx!$K$52)/1000),IF(AA316="HSD",((U316*Alukset_fx!$B$24)*Alukset_Käynnit_Lask!W316*(Alukset_fx!$K$55)/1000),0)))</f>
        <v>0</v>
      </c>
      <c r="AI316" s="207">
        <f>IF(AC316="MSD",((V316*Alukset_fx!$B$25)*Alukset_Käynnit_Lask!W316*(Alukset_fx!$L$52)/1000),IF(AC316="HSD",((V316*Alukset_fx!$B$25)*Alukset_Käynnit_Lask!W316*(Alukset_fx!$L$55)/1000),0))</f>
        <v>0</v>
      </c>
      <c r="AJ316" s="207">
        <f>X316*W316*Alukset_fx!$K$61/1000</f>
        <v>0</v>
      </c>
      <c r="AK316">
        <v>0</v>
      </c>
      <c r="AL316" s="207">
        <f>IF(AG316="Käytetty",0,IF(AC316="MSD",((V316*Alukset_fx!$O$25)*Alukset_Käynnit_Lask!O316*(Alukset_fx!$L$52)/1000),IF(AC316="HSD",((V316*Alukset_fx!$O$25)*Alukset_Käynnit_Lask!O316*(Alukset_fx!$L$55)/1000),0)))</f>
        <v>0</v>
      </c>
      <c r="AM316" s="207">
        <f>IF(AG316="Käytetty",0,Y316*O316*Alukset_fx!$K$61/1000)</f>
        <v>0</v>
      </c>
      <c r="AN316" s="213">
        <f t="shared" si="62"/>
        <v>0</v>
      </c>
    </row>
    <row r="317" spans="1:40" x14ac:dyDescent="0.25">
      <c r="A317" s="203">
        <f>Alukset_Käynnit!A324</f>
        <v>0</v>
      </c>
      <c r="B317" s="203">
        <f>Alukset_Käynnit!B324</f>
        <v>0</v>
      </c>
      <c r="C317" s="262">
        <f>Alukset_Käynnit!C324</f>
        <v>0</v>
      </c>
      <c r="D317" s="266">
        <f>Alukset_Käynnit!D324</f>
        <v>0</v>
      </c>
      <c r="E317" s="262">
        <f>Alukset_Käynnit!E324</f>
        <v>0</v>
      </c>
      <c r="F317" s="262">
        <f>Alukset_Käynnit!F324</f>
        <v>0</v>
      </c>
      <c r="G317" s="262">
        <f>Alukset_Käynnit!G324</f>
        <v>0</v>
      </c>
      <c r="H317" s="262">
        <f>Alukset_Käynnit!H324</f>
        <v>0</v>
      </c>
      <c r="I317" s="262">
        <f>Alukset_Käynnit!I324</f>
        <v>0</v>
      </c>
      <c r="J317" s="262">
        <f>Alukset_Käynnit!J324</f>
        <v>0</v>
      </c>
      <c r="K317" s="262">
        <f>Alukset_Käynnit!K324</f>
        <v>0</v>
      </c>
      <c r="L317" s="205">
        <f>Alukset_Käynnit!L324</f>
        <v>0</v>
      </c>
      <c r="N317" s="273">
        <f t="shared" si="63"/>
        <v>0</v>
      </c>
      <c r="O317" s="274">
        <f t="shared" si="64"/>
        <v>0</v>
      </c>
      <c r="Q317" s="204">
        <f t="shared" si="53"/>
        <v>0</v>
      </c>
      <c r="R317" s="202">
        <f>IF(Q317="Other dry cargo",L317*Alukset_fx!$B$71,IF(OR(Q317="Dry bulk",Q317="Bulk carrier"),L317*Alukset_fx!$B$69,IF(Q317="Tugboat",L317*Alukset_fx!$B$76,IF(OR(Q317="Tanker",Q317="Gas tanker",Q317="Chemical tanker",Q317="Oil tanker"),L317*Alukset_fx!$B$68,IF(OR(Q317="RoRo",Q317="Vehicle carrier"),L317*Alukset_fx!$B$72,IF(Q317="RoPax",L317*Alukset_fx!$B$73,IF(Q317="Container ship",L317*Alukset_fx!$B$70,IF(Q317="Barge",0,L317*Alukset_fx!$B$75))))))))</f>
        <v>0</v>
      </c>
      <c r="S317" s="210">
        <f>IF(L317=0,IF(Q317="Other dry cargo",Alukset_fx!$H$73*(Alukset_Käynnit_Lask!K317^Alukset_fx!$I$73),IF(OR(Q317="Dry Bulk",Q317="Bulk carrier"),Alukset_fx!$H$71*(Alukset_Käynnit_Lask!K317^Alukset_fx!$I$71),IF(Q317="Tugboat",Alukset_fx!$H$78*(Alukset_Käynnit_Lask!K317^Alukset_fx!$I$78),IF(OR(Q317="Tanker",Q317="Gas tanker",Q317="Chemical tanker",Q317="Oil tanker"),Alukset_fx!$H$70*(Alukset_Käynnit_Lask!K317^Alukset_fx!$I$70),IF(Q317="Container ship",Alukset_fx!$H$72*(Alukset_Käynnit_Lask!K317^Alukset_fx!$I$72),IF(Q317="Barge",0,IF(Q317="RoPax",Alukset_fx!$H$75*(Alukset_Käynnit_Lask!K317^Alukset_fx!$I$75),IF(OR(Q317="RoRo",Q317="Vehicle carrier"),Alukset_fx!$H$74*(Alukset_Käynnit_Lask!K317^Alukset_fx!$I$74),Alukset_fx!$H$77*(Alukset_Käynnit_Lask!K317^Alukset_fx!$I$77))))))))),"-")</f>
        <v>0</v>
      </c>
      <c r="T317" s="208">
        <f>IF(R317=0,IF(Q317="Other dry cargo",S317*Alukset_fx!$B$71,IF(OR(Q317="Dry bulk",Q317="Bulk carrier"),S317*Alukset_fx!$B$69,IF(Q317="Tugboat",S317*Alukset_fx!$B$76,IF(OR(Q317="Tanker",Q317="Gas tanker",Q317="Chemical tanker",Q317="Oil tanker"),S317*Alukset_fx!$B$68,IF(OR(Q317="RoRo",Q317="Vehicle carrier"),S317*Alukset_fx!$B$72,IF(Q317="RoPax",S317*Alukset_fx!$B$73,IF(Q317="Container ship",S317*Alukset_fx!$B$70,S317*Alukset_fx!$B$75))))))),"-")</f>
        <v>0</v>
      </c>
      <c r="U317" s="208">
        <f t="shared" si="54"/>
        <v>0</v>
      </c>
      <c r="V317" s="208">
        <f t="shared" si="55"/>
        <v>0</v>
      </c>
      <c r="W317" s="202">
        <f>Alukset_Käynnit!N324</f>
        <v>0</v>
      </c>
      <c r="X317" s="211">
        <f>IF(Q317="Other dry cargo", Alukset_fx!$C$52, IF(OR(Q317="Dry bulk",Q317="Bulk carrier"),Alukset_fx!$C$35,IF(OR(Q317="Tanker",Q317="Gas tanker",Q317="Oil tanker"),Alukset_fx!$C$57,IF(Q317="Chemical tanker",Alukset_fx!$C$56,IF(OR(Q317="Tugboat",Q317="Barge"),0,IF(Q317="Other vessel",Alukset_fx!$C$54,IF(Q317="Container ship",Alukset_fx!$C$37,IF(OR(Q317="RoPax",Q317="RoRo",Q317="Vehicle carrier"),Alukset_fx!$C$55,0))))))))</f>
        <v>0</v>
      </c>
      <c r="Y317" s="211">
        <f>IF(Q317="Other dry cargo", Alukset_fx!$Q$52, IF(OR(Q317="Dry bulk",Q317="Bulk carrier"),Alukset_fx!$Q$35,IF(OR(Q317="Tanker",Q317="Gas tanker",Q317="Oil tanker"),Alukset_fx!$Q$57,IF(Q317="Chemical tanker",Alukset_fx!$Q$56,IF(OR(Q317="Tugboat",Q317="Barge"),0,IF(Q317="Other vessel",Alukset_fx!$Q$54,IF(Q317="Container ship",Alukset_fx!$Q$37,IF(OR(Q317="RoPax",Q317="RoRo",Q317="Vehicle carrier"),Alukset_fx!$Q$55,0))))))))</f>
        <v>0</v>
      </c>
      <c r="Z317" t="str">
        <f t="shared" si="56"/>
        <v>MDO/MGO</v>
      </c>
      <c r="AA317" t="str">
        <f t="shared" si="57"/>
        <v>MSD</v>
      </c>
      <c r="AB317" t="str">
        <f t="shared" si="58"/>
        <v>MDO/MGO</v>
      </c>
      <c r="AC317" t="str">
        <f t="shared" si="59"/>
        <v>MSD</v>
      </c>
      <c r="AD317" t="str">
        <f t="shared" si="60"/>
        <v>MDO/MGO</v>
      </c>
      <c r="AE317" t="str">
        <f t="shared" si="61"/>
        <v>ST</v>
      </c>
      <c r="AG317">
        <f>Alukset_Käynnit!O324</f>
        <v>0</v>
      </c>
      <c r="AH317" s="207">
        <f>IF(AA317="SSD",((U317*Alukset_fx!$B$24)*Alukset_Käynnit_Lask!W317*(Alukset_fx!$K$49)/1000),IF(AA317="MSD",((U317*Alukset_fx!$B$24)*Alukset_Käynnit_Lask!W317*(Alukset_fx!$K$52)/1000),IF(AA317="HSD",((U317*Alukset_fx!$B$24)*Alukset_Käynnit_Lask!W317*(Alukset_fx!$K$55)/1000),0)))</f>
        <v>0</v>
      </c>
      <c r="AI317" s="207">
        <f>IF(AC317="MSD",((V317*Alukset_fx!$B$25)*Alukset_Käynnit_Lask!W317*(Alukset_fx!$L$52)/1000),IF(AC317="HSD",((V317*Alukset_fx!$B$25)*Alukset_Käynnit_Lask!W317*(Alukset_fx!$L$55)/1000),0))</f>
        <v>0</v>
      </c>
      <c r="AJ317" s="207">
        <f>X317*W317*Alukset_fx!$K$61/1000</f>
        <v>0</v>
      </c>
      <c r="AK317">
        <v>0</v>
      </c>
      <c r="AL317" s="207">
        <f>IF(AG317="Käytetty",0,IF(AC317="MSD",((V317*Alukset_fx!$O$25)*Alukset_Käynnit_Lask!O317*(Alukset_fx!$L$52)/1000),IF(AC317="HSD",((V317*Alukset_fx!$O$25)*Alukset_Käynnit_Lask!O317*(Alukset_fx!$L$55)/1000),0)))</f>
        <v>0</v>
      </c>
      <c r="AM317" s="207">
        <f>IF(AG317="Käytetty",0,Y317*O317*Alukset_fx!$K$61/1000)</f>
        <v>0</v>
      </c>
      <c r="AN317" s="213">
        <f t="shared" si="62"/>
        <v>0</v>
      </c>
    </row>
    <row r="318" spans="1:40" x14ac:dyDescent="0.25">
      <c r="A318" s="203">
        <f>Alukset_Käynnit!A325</f>
        <v>0</v>
      </c>
      <c r="B318" s="203">
        <f>Alukset_Käynnit!B325</f>
        <v>0</v>
      </c>
      <c r="C318" s="262">
        <f>Alukset_Käynnit!C325</f>
        <v>0</v>
      </c>
      <c r="D318" s="266">
        <f>Alukset_Käynnit!D325</f>
        <v>0</v>
      </c>
      <c r="E318" s="262">
        <f>Alukset_Käynnit!E325</f>
        <v>0</v>
      </c>
      <c r="F318" s="262">
        <f>Alukset_Käynnit!F325</f>
        <v>0</v>
      </c>
      <c r="G318" s="262">
        <f>Alukset_Käynnit!G325</f>
        <v>0</v>
      </c>
      <c r="H318" s="262">
        <f>Alukset_Käynnit!H325</f>
        <v>0</v>
      </c>
      <c r="I318" s="262">
        <f>Alukset_Käynnit!I325</f>
        <v>0</v>
      </c>
      <c r="J318" s="262">
        <f>Alukset_Käynnit!J325</f>
        <v>0</v>
      </c>
      <c r="K318" s="262">
        <f>Alukset_Käynnit!K325</f>
        <v>0</v>
      </c>
      <c r="L318" s="205">
        <f>Alukset_Käynnit!L325</f>
        <v>0</v>
      </c>
      <c r="N318" s="273">
        <f t="shared" si="63"/>
        <v>0</v>
      </c>
      <c r="O318" s="274">
        <f t="shared" si="64"/>
        <v>0</v>
      </c>
      <c r="Q318" s="204">
        <f t="shared" si="53"/>
        <v>0</v>
      </c>
      <c r="R318" s="202">
        <f>IF(Q318="Other dry cargo",L318*Alukset_fx!$B$71,IF(OR(Q318="Dry bulk",Q318="Bulk carrier"),L318*Alukset_fx!$B$69,IF(Q318="Tugboat",L318*Alukset_fx!$B$76,IF(OR(Q318="Tanker",Q318="Gas tanker",Q318="Chemical tanker",Q318="Oil tanker"),L318*Alukset_fx!$B$68,IF(OR(Q318="RoRo",Q318="Vehicle carrier"),L318*Alukset_fx!$B$72,IF(Q318="RoPax",L318*Alukset_fx!$B$73,IF(Q318="Container ship",L318*Alukset_fx!$B$70,IF(Q318="Barge",0,L318*Alukset_fx!$B$75))))))))</f>
        <v>0</v>
      </c>
      <c r="S318" s="210">
        <f>IF(L318=0,IF(Q318="Other dry cargo",Alukset_fx!$H$73*(Alukset_Käynnit_Lask!K318^Alukset_fx!$I$73),IF(OR(Q318="Dry Bulk",Q318="Bulk carrier"),Alukset_fx!$H$71*(Alukset_Käynnit_Lask!K318^Alukset_fx!$I$71),IF(Q318="Tugboat",Alukset_fx!$H$78*(Alukset_Käynnit_Lask!K318^Alukset_fx!$I$78),IF(OR(Q318="Tanker",Q318="Gas tanker",Q318="Chemical tanker",Q318="Oil tanker"),Alukset_fx!$H$70*(Alukset_Käynnit_Lask!K318^Alukset_fx!$I$70),IF(Q318="Container ship",Alukset_fx!$H$72*(Alukset_Käynnit_Lask!K318^Alukset_fx!$I$72),IF(Q318="Barge",0,IF(Q318="RoPax",Alukset_fx!$H$75*(Alukset_Käynnit_Lask!K318^Alukset_fx!$I$75),IF(OR(Q318="RoRo",Q318="Vehicle carrier"),Alukset_fx!$H$74*(Alukset_Käynnit_Lask!K318^Alukset_fx!$I$74),Alukset_fx!$H$77*(Alukset_Käynnit_Lask!K318^Alukset_fx!$I$77))))))))),"-")</f>
        <v>0</v>
      </c>
      <c r="T318" s="208">
        <f>IF(R318=0,IF(Q318="Other dry cargo",S318*Alukset_fx!$B$71,IF(OR(Q318="Dry bulk",Q318="Bulk carrier"),S318*Alukset_fx!$B$69,IF(Q318="Tugboat",S318*Alukset_fx!$B$76,IF(OR(Q318="Tanker",Q318="Gas tanker",Q318="Chemical tanker",Q318="Oil tanker"),S318*Alukset_fx!$B$68,IF(OR(Q318="RoRo",Q318="Vehicle carrier"),S318*Alukset_fx!$B$72,IF(Q318="RoPax",S318*Alukset_fx!$B$73,IF(Q318="Container ship",S318*Alukset_fx!$B$70,S318*Alukset_fx!$B$75))))))),"-")</f>
        <v>0</v>
      </c>
      <c r="U318" s="208">
        <f t="shared" si="54"/>
        <v>0</v>
      </c>
      <c r="V318" s="208">
        <f t="shared" si="55"/>
        <v>0</v>
      </c>
      <c r="W318" s="202">
        <f>Alukset_Käynnit!N325</f>
        <v>0</v>
      </c>
      <c r="X318" s="211">
        <f>IF(Q318="Other dry cargo", Alukset_fx!$C$52, IF(OR(Q318="Dry bulk",Q318="Bulk carrier"),Alukset_fx!$C$35,IF(OR(Q318="Tanker",Q318="Gas tanker",Q318="Oil tanker"),Alukset_fx!$C$57,IF(Q318="Chemical tanker",Alukset_fx!$C$56,IF(OR(Q318="Tugboat",Q318="Barge"),0,IF(Q318="Other vessel",Alukset_fx!$C$54,IF(Q318="Container ship",Alukset_fx!$C$37,IF(OR(Q318="RoPax",Q318="RoRo",Q318="Vehicle carrier"),Alukset_fx!$C$55,0))))))))</f>
        <v>0</v>
      </c>
      <c r="Y318" s="211">
        <f>IF(Q318="Other dry cargo", Alukset_fx!$Q$52, IF(OR(Q318="Dry bulk",Q318="Bulk carrier"),Alukset_fx!$Q$35,IF(OR(Q318="Tanker",Q318="Gas tanker",Q318="Oil tanker"),Alukset_fx!$Q$57,IF(Q318="Chemical tanker",Alukset_fx!$Q$56,IF(OR(Q318="Tugboat",Q318="Barge"),0,IF(Q318="Other vessel",Alukset_fx!$Q$54,IF(Q318="Container ship",Alukset_fx!$Q$37,IF(OR(Q318="RoPax",Q318="RoRo",Q318="Vehicle carrier"),Alukset_fx!$Q$55,0))))))))</f>
        <v>0</v>
      </c>
      <c r="Z318" t="str">
        <f t="shared" si="56"/>
        <v>MDO/MGO</v>
      </c>
      <c r="AA318" t="str">
        <f t="shared" si="57"/>
        <v>MSD</v>
      </c>
      <c r="AB318" t="str">
        <f t="shared" si="58"/>
        <v>MDO/MGO</v>
      </c>
      <c r="AC318" t="str">
        <f t="shared" si="59"/>
        <v>MSD</v>
      </c>
      <c r="AD318" t="str">
        <f t="shared" si="60"/>
        <v>MDO/MGO</v>
      </c>
      <c r="AE318" t="str">
        <f t="shared" si="61"/>
        <v>ST</v>
      </c>
      <c r="AG318">
        <f>Alukset_Käynnit!O325</f>
        <v>0</v>
      </c>
      <c r="AH318" s="207">
        <f>IF(AA318="SSD",((U318*Alukset_fx!$B$24)*Alukset_Käynnit_Lask!W318*(Alukset_fx!$K$49)/1000),IF(AA318="MSD",((U318*Alukset_fx!$B$24)*Alukset_Käynnit_Lask!W318*(Alukset_fx!$K$52)/1000),IF(AA318="HSD",((U318*Alukset_fx!$B$24)*Alukset_Käynnit_Lask!W318*(Alukset_fx!$K$55)/1000),0)))</f>
        <v>0</v>
      </c>
      <c r="AI318" s="207">
        <f>IF(AC318="MSD",((V318*Alukset_fx!$B$25)*Alukset_Käynnit_Lask!W318*(Alukset_fx!$L$52)/1000),IF(AC318="HSD",((V318*Alukset_fx!$B$25)*Alukset_Käynnit_Lask!W318*(Alukset_fx!$L$55)/1000),0))</f>
        <v>0</v>
      </c>
      <c r="AJ318" s="207">
        <f>X318*W318*Alukset_fx!$K$61/1000</f>
        <v>0</v>
      </c>
      <c r="AK318">
        <v>0</v>
      </c>
      <c r="AL318" s="207">
        <f>IF(AG318="Käytetty",0,IF(AC318="MSD",((V318*Alukset_fx!$O$25)*Alukset_Käynnit_Lask!O318*(Alukset_fx!$L$52)/1000),IF(AC318="HSD",((V318*Alukset_fx!$O$25)*Alukset_Käynnit_Lask!O318*(Alukset_fx!$L$55)/1000),0)))</f>
        <v>0</v>
      </c>
      <c r="AM318" s="207">
        <f>IF(AG318="Käytetty",0,Y318*O318*Alukset_fx!$K$61/1000)</f>
        <v>0</v>
      </c>
      <c r="AN318" s="213">
        <f t="shared" si="62"/>
        <v>0</v>
      </c>
    </row>
    <row r="319" spans="1:40" x14ac:dyDescent="0.25">
      <c r="A319" s="203">
        <f>Alukset_Käynnit!A326</f>
        <v>0</v>
      </c>
      <c r="B319" s="203">
        <f>Alukset_Käynnit!B326</f>
        <v>0</v>
      </c>
      <c r="C319" s="262">
        <f>Alukset_Käynnit!C326</f>
        <v>0</v>
      </c>
      <c r="D319" s="266">
        <f>Alukset_Käynnit!D326</f>
        <v>0</v>
      </c>
      <c r="E319" s="262">
        <f>Alukset_Käynnit!E326</f>
        <v>0</v>
      </c>
      <c r="F319" s="262">
        <f>Alukset_Käynnit!F326</f>
        <v>0</v>
      </c>
      <c r="G319" s="262">
        <f>Alukset_Käynnit!G326</f>
        <v>0</v>
      </c>
      <c r="H319" s="262">
        <f>Alukset_Käynnit!H326</f>
        <v>0</v>
      </c>
      <c r="I319" s="262">
        <f>Alukset_Käynnit!I326</f>
        <v>0</v>
      </c>
      <c r="J319" s="262">
        <f>Alukset_Käynnit!J326</f>
        <v>0</v>
      </c>
      <c r="K319" s="262">
        <f>Alukset_Käynnit!K326</f>
        <v>0</v>
      </c>
      <c r="L319" s="205">
        <f>Alukset_Käynnit!L326</f>
        <v>0</v>
      </c>
      <c r="N319" s="273">
        <f t="shared" si="63"/>
        <v>0</v>
      </c>
      <c r="O319" s="274">
        <f t="shared" si="64"/>
        <v>0</v>
      </c>
      <c r="Q319" s="204">
        <f t="shared" si="53"/>
        <v>0</v>
      </c>
      <c r="R319" s="202">
        <f>IF(Q319="Other dry cargo",L319*Alukset_fx!$B$71,IF(OR(Q319="Dry bulk",Q319="Bulk carrier"),L319*Alukset_fx!$B$69,IF(Q319="Tugboat",L319*Alukset_fx!$B$76,IF(OR(Q319="Tanker",Q319="Gas tanker",Q319="Chemical tanker",Q319="Oil tanker"),L319*Alukset_fx!$B$68,IF(OR(Q319="RoRo",Q319="Vehicle carrier"),L319*Alukset_fx!$B$72,IF(Q319="RoPax",L319*Alukset_fx!$B$73,IF(Q319="Container ship",L319*Alukset_fx!$B$70,IF(Q319="Barge",0,L319*Alukset_fx!$B$75))))))))</f>
        <v>0</v>
      </c>
      <c r="S319" s="210">
        <f>IF(L319=0,IF(Q319="Other dry cargo",Alukset_fx!$H$73*(Alukset_Käynnit_Lask!K319^Alukset_fx!$I$73),IF(OR(Q319="Dry Bulk",Q319="Bulk carrier"),Alukset_fx!$H$71*(Alukset_Käynnit_Lask!K319^Alukset_fx!$I$71),IF(Q319="Tugboat",Alukset_fx!$H$78*(Alukset_Käynnit_Lask!K319^Alukset_fx!$I$78),IF(OR(Q319="Tanker",Q319="Gas tanker",Q319="Chemical tanker",Q319="Oil tanker"),Alukset_fx!$H$70*(Alukset_Käynnit_Lask!K319^Alukset_fx!$I$70),IF(Q319="Container ship",Alukset_fx!$H$72*(Alukset_Käynnit_Lask!K319^Alukset_fx!$I$72),IF(Q319="Barge",0,IF(Q319="RoPax",Alukset_fx!$H$75*(Alukset_Käynnit_Lask!K319^Alukset_fx!$I$75),IF(OR(Q319="RoRo",Q319="Vehicle carrier"),Alukset_fx!$H$74*(Alukset_Käynnit_Lask!K319^Alukset_fx!$I$74),Alukset_fx!$H$77*(Alukset_Käynnit_Lask!K319^Alukset_fx!$I$77))))))))),"-")</f>
        <v>0</v>
      </c>
      <c r="T319" s="208">
        <f>IF(R319=0,IF(Q319="Other dry cargo",S319*Alukset_fx!$B$71,IF(OR(Q319="Dry bulk",Q319="Bulk carrier"),S319*Alukset_fx!$B$69,IF(Q319="Tugboat",S319*Alukset_fx!$B$76,IF(OR(Q319="Tanker",Q319="Gas tanker",Q319="Chemical tanker",Q319="Oil tanker"),S319*Alukset_fx!$B$68,IF(OR(Q319="RoRo",Q319="Vehicle carrier"),S319*Alukset_fx!$B$72,IF(Q319="RoPax",S319*Alukset_fx!$B$73,IF(Q319="Container ship",S319*Alukset_fx!$B$70,S319*Alukset_fx!$B$75))))))),"-")</f>
        <v>0</v>
      </c>
      <c r="U319" s="208">
        <f t="shared" si="54"/>
        <v>0</v>
      </c>
      <c r="V319" s="208">
        <f t="shared" si="55"/>
        <v>0</v>
      </c>
      <c r="W319" s="202">
        <f>Alukset_Käynnit!N326</f>
        <v>0</v>
      </c>
      <c r="X319" s="211">
        <f>IF(Q319="Other dry cargo", Alukset_fx!$C$52, IF(OR(Q319="Dry bulk",Q319="Bulk carrier"),Alukset_fx!$C$35,IF(OR(Q319="Tanker",Q319="Gas tanker",Q319="Oil tanker"),Alukset_fx!$C$57,IF(Q319="Chemical tanker",Alukset_fx!$C$56,IF(OR(Q319="Tugboat",Q319="Barge"),0,IF(Q319="Other vessel",Alukset_fx!$C$54,IF(Q319="Container ship",Alukset_fx!$C$37,IF(OR(Q319="RoPax",Q319="RoRo",Q319="Vehicle carrier"),Alukset_fx!$C$55,0))))))))</f>
        <v>0</v>
      </c>
      <c r="Y319" s="211">
        <f>IF(Q319="Other dry cargo", Alukset_fx!$Q$52, IF(OR(Q319="Dry bulk",Q319="Bulk carrier"),Alukset_fx!$Q$35,IF(OR(Q319="Tanker",Q319="Gas tanker",Q319="Oil tanker"),Alukset_fx!$Q$57,IF(Q319="Chemical tanker",Alukset_fx!$Q$56,IF(OR(Q319="Tugboat",Q319="Barge"),0,IF(Q319="Other vessel",Alukset_fx!$Q$54,IF(Q319="Container ship",Alukset_fx!$Q$37,IF(OR(Q319="RoPax",Q319="RoRo",Q319="Vehicle carrier"),Alukset_fx!$Q$55,0))))))))</f>
        <v>0</v>
      </c>
      <c r="Z319" t="str">
        <f t="shared" si="56"/>
        <v>MDO/MGO</v>
      </c>
      <c r="AA319" t="str">
        <f t="shared" si="57"/>
        <v>MSD</v>
      </c>
      <c r="AB319" t="str">
        <f t="shared" si="58"/>
        <v>MDO/MGO</v>
      </c>
      <c r="AC319" t="str">
        <f t="shared" si="59"/>
        <v>MSD</v>
      </c>
      <c r="AD319" t="str">
        <f t="shared" si="60"/>
        <v>MDO/MGO</v>
      </c>
      <c r="AE319" t="str">
        <f t="shared" si="61"/>
        <v>ST</v>
      </c>
      <c r="AG319">
        <f>Alukset_Käynnit!O326</f>
        <v>0</v>
      </c>
      <c r="AH319" s="207">
        <f>IF(AA319="SSD",((U319*Alukset_fx!$B$24)*Alukset_Käynnit_Lask!W319*(Alukset_fx!$K$49)/1000),IF(AA319="MSD",((U319*Alukset_fx!$B$24)*Alukset_Käynnit_Lask!W319*(Alukset_fx!$K$52)/1000),IF(AA319="HSD",((U319*Alukset_fx!$B$24)*Alukset_Käynnit_Lask!W319*(Alukset_fx!$K$55)/1000),0)))</f>
        <v>0</v>
      </c>
      <c r="AI319" s="207">
        <f>IF(AC319="MSD",((V319*Alukset_fx!$B$25)*Alukset_Käynnit_Lask!W319*(Alukset_fx!$L$52)/1000),IF(AC319="HSD",((V319*Alukset_fx!$B$25)*Alukset_Käynnit_Lask!W319*(Alukset_fx!$L$55)/1000),0))</f>
        <v>0</v>
      </c>
      <c r="AJ319" s="207">
        <f>X319*W319*Alukset_fx!$K$61/1000</f>
        <v>0</v>
      </c>
      <c r="AK319">
        <v>0</v>
      </c>
      <c r="AL319" s="207">
        <f>IF(AG319="Käytetty",0,IF(AC319="MSD",((V319*Alukset_fx!$O$25)*Alukset_Käynnit_Lask!O319*(Alukset_fx!$L$52)/1000),IF(AC319="HSD",((V319*Alukset_fx!$O$25)*Alukset_Käynnit_Lask!O319*(Alukset_fx!$L$55)/1000),0)))</f>
        <v>0</v>
      </c>
      <c r="AM319" s="207">
        <f>IF(AG319="Käytetty",0,Y319*O319*Alukset_fx!$K$61/1000)</f>
        <v>0</v>
      </c>
      <c r="AN319" s="213">
        <f t="shared" si="62"/>
        <v>0</v>
      </c>
    </row>
    <row r="320" spans="1:40" x14ac:dyDescent="0.25">
      <c r="A320" s="203">
        <f>Alukset_Käynnit!A327</f>
        <v>0</v>
      </c>
      <c r="B320" s="203">
        <f>Alukset_Käynnit!B327</f>
        <v>0</v>
      </c>
      <c r="C320" s="262">
        <f>Alukset_Käynnit!C327</f>
        <v>0</v>
      </c>
      <c r="D320" s="266">
        <f>Alukset_Käynnit!D327</f>
        <v>0</v>
      </c>
      <c r="E320" s="262">
        <f>Alukset_Käynnit!E327</f>
        <v>0</v>
      </c>
      <c r="F320" s="262">
        <f>Alukset_Käynnit!F327</f>
        <v>0</v>
      </c>
      <c r="G320" s="262">
        <f>Alukset_Käynnit!G327</f>
        <v>0</v>
      </c>
      <c r="H320" s="262">
        <f>Alukset_Käynnit!H327</f>
        <v>0</v>
      </c>
      <c r="I320" s="262">
        <f>Alukset_Käynnit!I327</f>
        <v>0</v>
      </c>
      <c r="J320" s="262">
        <f>Alukset_Käynnit!J327</f>
        <v>0</v>
      </c>
      <c r="K320" s="262">
        <f>Alukset_Käynnit!K327</f>
        <v>0</v>
      </c>
      <c r="L320" s="205">
        <f>Alukset_Käynnit!L327</f>
        <v>0</v>
      </c>
      <c r="N320" s="273">
        <f t="shared" si="63"/>
        <v>0</v>
      </c>
      <c r="O320" s="274">
        <f t="shared" si="64"/>
        <v>0</v>
      </c>
      <c r="Q320" s="204">
        <f t="shared" si="53"/>
        <v>0</v>
      </c>
      <c r="R320" s="202">
        <f>IF(Q320="Other dry cargo",L320*Alukset_fx!$B$71,IF(OR(Q320="Dry bulk",Q320="Bulk carrier"),L320*Alukset_fx!$B$69,IF(Q320="Tugboat",L320*Alukset_fx!$B$76,IF(OR(Q320="Tanker",Q320="Gas tanker",Q320="Chemical tanker",Q320="Oil tanker"),L320*Alukset_fx!$B$68,IF(OR(Q320="RoRo",Q320="Vehicle carrier"),L320*Alukset_fx!$B$72,IF(Q320="RoPax",L320*Alukset_fx!$B$73,IF(Q320="Container ship",L320*Alukset_fx!$B$70,IF(Q320="Barge",0,L320*Alukset_fx!$B$75))))))))</f>
        <v>0</v>
      </c>
      <c r="S320" s="210">
        <f>IF(L320=0,IF(Q320="Other dry cargo",Alukset_fx!$H$73*(Alukset_Käynnit_Lask!K320^Alukset_fx!$I$73),IF(OR(Q320="Dry Bulk",Q320="Bulk carrier"),Alukset_fx!$H$71*(Alukset_Käynnit_Lask!K320^Alukset_fx!$I$71),IF(Q320="Tugboat",Alukset_fx!$H$78*(Alukset_Käynnit_Lask!K320^Alukset_fx!$I$78),IF(OR(Q320="Tanker",Q320="Gas tanker",Q320="Chemical tanker",Q320="Oil tanker"),Alukset_fx!$H$70*(Alukset_Käynnit_Lask!K320^Alukset_fx!$I$70),IF(Q320="Container ship",Alukset_fx!$H$72*(Alukset_Käynnit_Lask!K320^Alukset_fx!$I$72),IF(Q320="Barge",0,IF(Q320="RoPax",Alukset_fx!$H$75*(Alukset_Käynnit_Lask!K320^Alukset_fx!$I$75),IF(OR(Q320="RoRo",Q320="Vehicle carrier"),Alukset_fx!$H$74*(Alukset_Käynnit_Lask!K320^Alukset_fx!$I$74),Alukset_fx!$H$77*(Alukset_Käynnit_Lask!K320^Alukset_fx!$I$77))))))))),"-")</f>
        <v>0</v>
      </c>
      <c r="T320" s="208">
        <f>IF(R320=0,IF(Q320="Other dry cargo",S320*Alukset_fx!$B$71,IF(OR(Q320="Dry bulk",Q320="Bulk carrier"),S320*Alukset_fx!$B$69,IF(Q320="Tugboat",S320*Alukset_fx!$B$76,IF(OR(Q320="Tanker",Q320="Gas tanker",Q320="Chemical tanker",Q320="Oil tanker"),S320*Alukset_fx!$B$68,IF(OR(Q320="RoRo",Q320="Vehicle carrier"),S320*Alukset_fx!$B$72,IF(Q320="RoPax",S320*Alukset_fx!$B$73,IF(Q320="Container ship",S320*Alukset_fx!$B$70,S320*Alukset_fx!$B$75))))))),"-")</f>
        <v>0</v>
      </c>
      <c r="U320" s="208">
        <f t="shared" si="54"/>
        <v>0</v>
      </c>
      <c r="V320" s="208">
        <f t="shared" si="55"/>
        <v>0</v>
      </c>
      <c r="W320" s="202">
        <f>Alukset_Käynnit!N327</f>
        <v>0</v>
      </c>
      <c r="X320" s="211">
        <f>IF(Q320="Other dry cargo", Alukset_fx!$C$52, IF(OR(Q320="Dry bulk",Q320="Bulk carrier"),Alukset_fx!$C$35,IF(OR(Q320="Tanker",Q320="Gas tanker",Q320="Oil tanker"),Alukset_fx!$C$57,IF(Q320="Chemical tanker",Alukset_fx!$C$56,IF(OR(Q320="Tugboat",Q320="Barge"),0,IF(Q320="Other vessel",Alukset_fx!$C$54,IF(Q320="Container ship",Alukset_fx!$C$37,IF(OR(Q320="RoPax",Q320="RoRo",Q320="Vehicle carrier"),Alukset_fx!$C$55,0))))))))</f>
        <v>0</v>
      </c>
      <c r="Y320" s="211">
        <f>IF(Q320="Other dry cargo", Alukset_fx!$Q$52, IF(OR(Q320="Dry bulk",Q320="Bulk carrier"),Alukset_fx!$Q$35,IF(OR(Q320="Tanker",Q320="Gas tanker",Q320="Oil tanker"),Alukset_fx!$Q$57,IF(Q320="Chemical tanker",Alukset_fx!$Q$56,IF(OR(Q320="Tugboat",Q320="Barge"),0,IF(Q320="Other vessel",Alukset_fx!$Q$54,IF(Q320="Container ship",Alukset_fx!$Q$37,IF(OR(Q320="RoPax",Q320="RoRo",Q320="Vehicle carrier"),Alukset_fx!$Q$55,0))))))))</f>
        <v>0</v>
      </c>
      <c r="Z320" t="str">
        <f t="shared" si="56"/>
        <v>MDO/MGO</v>
      </c>
      <c r="AA320" t="str">
        <f t="shared" si="57"/>
        <v>MSD</v>
      </c>
      <c r="AB320" t="str">
        <f t="shared" si="58"/>
        <v>MDO/MGO</v>
      </c>
      <c r="AC320" t="str">
        <f t="shared" si="59"/>
        <v>MSD</v>
      </c>
      <c r="AD320" t="str">
        <f t="shared" si="60"/>
        <v>MDO/MGO</v>
      </c>
      <c r="AE320" t="str">
        <f t="shared" si="61"/>
        <v>ST</v>
      </c>
      <c r="AG320">
        <f>Alukset_Käynnit!O327</f>
        <v>0</v>
      </c>
      <c r="AH320" s="207">
        <f>IF(AA320="SSD",((U320*Alukset_fx!$B$24)*Alukset_Käynnit_Lask!W320*(Alukset_fx!$K$49)/1000),IF(AA320="MSD",((U320*Alukset_fx!$B$24)*Alukset_Käynnit_Lask!W320*(Alukset_fx!$K$52)/1000),IF(AA320="HSD",((U320*Alukset_fx!$B$24)*Alukset_Käynnit_Lask!W320*(Alukset_fx!$K$55)/1000),0)))</f>
        <v>0</v>
      </c>
      <c r="AI320" s="207">
        <f>IF(AC320="MSD",((V320*Alukset_fx!$B$25)*Alukset_Käynnit_Lask!W320*(Alukset_fx!$L$52)/1000),IF(AC320="HSD",((V320*Alukset_fx!$B$25)*Alukset_Käynnit_Lask!W320*(Alukset_fx!$L$55)/1000),0))</f>
        <v>0</v>
      </c>
      <c r="AJ320" s="207">
        <f>X320*W320*Alukset_fx!$K$61/1000</f>
        <v>0</v>
      </c>
      <c r="AK320">
        <v>0</v>
      </c>
      <c r="AL320" s="207">
        <f>IF(AG320="Käytetty",0,IF(AC320="MSD",((V320*Alukset_fx!$O$25)*Alukset_Käynnit_Lask!O320*(Alukset_fx!$L$52)/1000),IF(AC320="HSD",((V320*Alukset_fx!$O$25)*Alukset_Käynnit_Lask!O320*(Alukset_fx!$L$55)/1000),0)))</f>
        <v>0</v>
      </c>
      <c r="AM320" s="207">
        <f>IF(AG320="Käytetty",0,Y320*O320*Alukset_fx!$K$61/1000)</f>
        <v>0</v>
      </c>
      <c r="AN320" s="213">
        <f t="shared" si="62"/>
        <v>0</v>
      </c>
    </row>
    <row r="321" spans="1:40" x14ac:dyDescent="0.25">
      <c r="A321" s="203">
        <f>Alukset_Käynnit!A328</f>
        <v>0</v>
      </c>
      <c r="B321" s="203">
        <f>Alukset_Käynnit!B328</f>
        <v>0</v>
      </c>
      <c r="C321" s="262">
        <f>Alukset_Käynnit!C328</f>
        <v>0</v>
      </c>
      <c r="D321" s="266">
        <f>Alukset_Käynnit!D328</f>
        <v>0</v>
      </c>
      <c r="E321" s="262">
        <f>Alukset_Käynnit!E328</f>
        <v>0</v>
      </c>
      <c r="F321" s="262">
        <f>Alukset_Käynnit!F328</f>
        <v>0</v>
      </c>
      <c r="G321" s="262">
        <f>Alukset_Käynnit!G328</f>
        <v>0</v>
      </c>
      <c r="H321" s="262">
        <f>Alukset_Käynnit!H328</f>
        <v>0</v>
      </c>
      <c r="I321" s="262">
        <f>Alukset_Käynnit!I328</f>
        <v>0</v>
      </c>
      <c r="J321" s="262">
        <f>Alukset_Käynnit!J328</f>
        <v>0</v>
      </c>
      <c r="K321" s="262">
        <f>Alukset_Käynnit!K328</f>
        <v>0</v>
      </c>
      <c r="L321" s="205">
        <f>Alukset_Käynnit!L328</f>
        <v>0</v>
      </c>
      <c r="N321" s="273">
        <f t="shared" si="63"/>
        <v>0</v>
      </c>
      <c r="O321" s="274">
        <f t="shared" si="64"/>
        <v>0</v>
      </c>
      <c r="Q321" s="204">
        <f t="shared" si="53"/>
        <v>0</v>
      </c>
      <c r="R321" s="202">
        <f>IF(Q321="Other dry cargo",L321*Alukset_fx!$B$71,IF(OR(Q321="Dry bulk",Q321="Bulk carrier"),L321*Alukset_fx!$B$69,IF(Q321="Tugboat",L321*Alukset_fx!$B$76,IF(OR(Q321="Tanker",Q321="Gas tanker",Q321="Chemical tanker",Q321="Oil tanker"),L321*Alukset_fx!$B$68,IF(OR(Q321="RoRo",Q321="Vehicle carrier"),L321*Alukset_fx!$B$72,IF(Q321="RoPax",L321*Alukset_fx!$B$73,IF(Q321="Container ship",L321*Alukset_fx!$B$70,IF(Q321="Barge",0,L321*Alukset_fx!$B$75))))))))</f>
        <v>0</v>
      </c>
      <c r="S321" s="210">
        <f>IF(L321=0,IF(Q321="Other dry cargo",Alukset_fx!$H$73*(Alukset_Käynnit_Lask!K321^Alukset_fx!$I$73),IF(OR(Q321="Dry Bulk",Q321="Bulk carrier"),Alukset_fx!$H$71*(Alukset_Käynnit_Lask!K321^Alukset_fx!$I$71),IF(Q321="Tugboat",Alukset_fx!$H$78*(Alukset_Käynnit_Lask!K321^Alukset_fx!$I$78),IF(OR(Q321="Tanker",Q321="Gas tanker",Q321="Chemical tanker",Q321="Oil tanker"),Alukset_fx!$H$70*(Alukset_Käynnit_Lask!K321^Alukset_fx!$I$70),IF(Q321="Container ship",Alukset_fx!$H$72*(Alukset_Käynnit_Lask!K321^Alukset_fx!$I$72),IF(Q321="Barge",0,IF(Q321="RoPax",Alukset_fx!$H$75*(Alukset_Käynnit_Lask!K321^Alukset_fx!$I$75),IF(OR(Q321="RoRo",Q321="Vehicle carrier"),Alukset_fx!$H$74*(Alukset_Käynnit_Lask!K321^Alukset_fx!$I$74),Alukset_fx!$H$77*(Alukset_Käynnit_Lask!K321^Alukset_fx!$I$77))))))))),"-")</f>
        <v>0</v>
      </c>
      <c r="T321" s="208">
        <f>IF(R321=0,IF(Q321="Other dry cargo",S321*Alukset_fx!$B$71,IF(OR(Q321="Dry bulk",Q321="Bulk carrier"),S321*Alukset_fx!$B$69,IF(Q321="Tugboat",S321*Alukset_fx!$B$76,IF(OR(Q321="Tanker",Q321="Gas tanker",Q321="Chemical tanker",Q321="Oil tanker"),S321*Alukset_fx!$B$68,IF(OR(Q321="RoRo",Q321="Vehicle carrier"),S321*Alukset_fx!$B$72,IF(Q321="RoPax",S321*Alukset_fx!$B$73,IF(Q321="Container ship",S321*Alukset_fx!$B$70,S321*Alukset_fx!$B$75))))))),"-")</f>
        <v>0</v>
      </c>
      <c r="U321" s="208">
        <f t="shared" si="54"/>
        <v>0</v>
      </c>
      <c r="V321" s="208">
        <f t="shared" si="55"/>
        <v>0</v>
      </c>
      <c r="W321" s="202">
        <f>Alukset_Käynnit!N328</f>
        <v>0</v>
      </c>
      <c r="X321" s="211">
        <f>IF(Q321="Other dry cargo", Alukset_fx!$C$52, IF(OR(Q321="Dry bulk",Q321="Bulk carrier"),Alukset_fx!$C$35,IF(OR(Q321="Tanker",Q321="Gas tanker",Q321="Oil tanker"),Alukset_fx!$C$57,IF(Q321="Chemical tanker",Alukset_fx!$C$56,IF(OR(Q321="Tugboat",Q321="Barge"),0,IF(Q321="Other vessel",Alukset_fx!$C$54,IF(Q321="Container ship",Alukset_fx!$C$37,IF(OR(Q321="RoPax",Q321="RoRo",Q321="Vehicle carrier"),Alukset_fx!$C$55,0))))))))</f>
        <v>0</v>
      </c>
      <c r="Y321" s="211">
        <f>IF(Q321="Other dry cargo", Alukset_fx!$Q$52, IF(OR(Q321="Dry bulk",Q321="Bulk carrier"),Alukset_fx!$Q$35,IF(OR(Q321="Tanker",Q321="Gas tanker",Q321="Oil tanker"),Alukset_fx!$Q$57,IF(Q321="Chemical tanker",Alukset_fx!$Q$56,IF(OR(Q321="Tugboat",Q321="Barge"),0,IF(Q321="Other vessel",Alukset_fx!$Q$54,IF(Q321="Container ship",Alukset_fx!$Q$37,IF(OR(Q321="RoPax",Q321="RoRo",Q321="Vehicle carrier"),Alukset_fx!$Q$55,0))))))))</f>
        <v>0</v>
      </c>
      <c r="Z321" t="str">
        <f t="shared" si="56"/>
        <v>MDO/MGO</v>
      </c>
      <c r="AA321" t="str">
        <f t="shared" si="57"/>
        <v>MSD</v>
      </c>
      <c r="AB321" t="str">
        <f t="shared" si="58"/>
        <v>MDO/MGO</v>
      </c>
      <c r="AC321" t="str">
        <f t="shared" si="59"/>
        <v>MSD</v>
      </c>
      <c r="AD321" t="str">
        <f t="shared" si="60"/>
        <v>MDO/MGO</v>
      </c>
      <c r="AE321" t="str">
        <f t="shared" si="61"/>
        <v>ST</v>
      </c>
      <c r="AG321">
        <f>Alukset_Käynnit!O328</f>
        <v>0</v>
      </c>
      <c r="AH321" s="207">
        <f>IF(AA321="SSD",((U321*Alukset_fx!$B$24)*Alukset_Käynnit_Lask!W321*(Alukset_fx!$K$49)/1000),IF(AA321="MSD",((U321*Alukset_fx!$B$24)*Alukset_Käynnit_Lask!W321*(Alukset_fx!$K$52)/1000),IF(AA321="HSD",((U321*Alukset_fx!$B$24)*Alukset_Käynnit_Lask!W321*(Alukset_fx!$K$55)/1000),0)))</f>
        <v>0</v>
      </c>
      <c r="AI321" s="207">
        <f>IF(AC321="MSD",((V321*Alukset_fx!$B$25)*Alukset_Käynnit_Lask!W321*(Alukset_fx!$L$52)/1000),IF(AC321="HSD",((V321*Alukset_fx!$B$25)*Alukset_Käynnit_Lask!W321*(Alukset_fx!$L$55)/1000),0))</f>
        <v>0</v>
      </c>
      <c r="AJ321" s="207">
        <f>X321*W321*Alukset_fx!$K$61/1000</f>
        <v>0</v>
      </c>
      <c r="AK321">
        <v>0</v>
      </c>
      <c r="AL321" s="207">
        <f>IF(AG321="Käytetty",0,IF(AC321="MSD",((V321*Alukset_fx!$O$25)*Alukset_Käynnit_Lask!O321*(Alukset_fx!$L$52)/1000),IF(AC321="HSD",((V321*Alukset_fx!$O$25)*Alukset_Käynnit_Lask!O321*(Alukset_fx!$L$55)/1000),0)))</f>
        <v>0</v>
      </c>
      <c r="AM321" s="207">
        <f>IF(AG321="Käytetty",0,Y321*O321*Alukset_fx!$K$61/1000)</f>
        <v>0</v>
      </c>
      <c r="AN321" s="213">
        <f t="shared" si="62"/>
        <v>0</v>
      </c>
    </row>
    <row r="322" spans="1:40" x14ac:dyDescent="0.25">
      <c r="A322" s="203">
        <f>Alukset_Käynnit!A329</f>
        <v>0</v>
      </c>
      <c r="B322" s="203">
        <f>Alukset_Käynnit!B329</f>
        <v>0</v>
      </c>
      <c r="C322" s="262">
        <f>Alukset_Käynnit!C329</f>
        <v>0</v>
      </c>
      <c r="D322" s="266">
        <f>Alukset_Käynnit!D329</f>
        <v>0</v>
      </c>
      <c r="E322" s="262">
        <f>Alukset_Käynnit!E329</f>
        <v>0</v>
      </c>
      <c r="F322" s="262">
        <f>Alukset_Käynnit!F329</f>
        <v>0</v>
      </c>
      <c r="G322" s="262">
        <f>Alukset_Käynnit!G329</f>
        <v>0</v>
      </c>
      <c r="H322" s="262">
        <f>Alukset_Käynnit!H329</f>
        <v>0</v>
      </c>
      <c r="I322" s="262">
        <f>Alukset_Käynnit!I329</f>
        <v>0</v>
      </c>
      <c r="J322" s="262">
        <f>Alukset_Käynnit!J329</f>
        <v>0</v>
      </c>
      <c r="K322" s="262">
        <f>Alukset_Käynnit!K329</f>
        <v>0</v>
      </c>
      <c r="L322" s="205">
        <f>Alukset_Käynnit!L329</f>
        <v>0</v>
      </c>
      <c r="N322" s="273">
        <f t="shared" si="63"/>
        <v>0</v>
      </c>
      <c r="O322" s="274">
        <f t="shared" si="64"/>
        <v>0</v>
      </c>
      <c r="Q322" s="204">
        <f t="shared" si="53"/>
        <v>0</v>
      </c>
      <c r="R322" s="202">
        <f>IF(Q322="Other dry cargo",L322*Alukset_fx!$B$71,IF(OR(Q322="Dry bulk",Q322="Bulk carrier"),L322*Alukset_fx!$B$69,IF(Q322="Tugboat",L322*Alukset_fx!$B$76,IF(OR(Q322="Tanker",Q322="Gas tanker",Q322="Chemical tanker",Q322="Oil tanker"),L322*Alukset_fx!$B$68,IF(OR(Q322="RoRo",Q322="Vehicle carrier"),L322*Alukset_fx!$B$72,IF(Q322="RoPax",L322*Alukset_fx!$B$73,IF(Q322="Container ship",L322*Alukset_fx!$B$70,IF(Q322="Barge",0,L322*Alukset_fx!$B$75))))))))</f>
        <v>0</v>
      </c>
      <c r="S322" s="210">
        <f>IF(L322=0,IF(Q322="Other dry cargo",Alukset_fx!$H$73*(Alukset_Käynnit_Lask!K322^Alukset_fx!$I$73),IF(OR(Q322="Dry Bulk",Q322="Bulk carrier"),Alukset_fx!$H$71*(Alukset_Käynnit_Lask!K322^Alukset_fx!$I$71),IF(Q322="Tugboat",Alukset_fx!$H$78*(Alukset_Käynnit_Lask!K322^Alukset_fx!$I$78),IF(OR(Q322="Tanker",Q322="Gas tanker",Q322="Chemical tanker",Q322="Oil tanker"),Alukset_fx!$H$70*(Alukset_Käynnit_Lask!K322^Alukset_fx!$I$70),IF(Q322="Container ship",Alukset_fx!$H$72*(Alukset_Käynnit_Lask!K322^Alukset_fx!$I$72),IF(Q322="Barge",0,IF(Q322="RoPax",Alukset_fx!$H$75*(Alukset_Käynnit_Lask!K322^Alukset_fx!$I$75),IF(OR(Q322="RoRo",Q322="Vehicle carrier"),Alukset_fx!$H$74*(Alukset_Käynnit_Lask!K322^Alukset_fx!$I$74),Alukset_fx!$H$77*(Alukset_Käynnit_Lask!K322^Alukset_fx!$I$77))))))))),"-")</f>
        <v>0</v>
      </c>
      <c r="T322" s="208">
        <f>IF(R322=0,IF(Q322="Other dry cargo",S322*Alukset_fx!$B$71,IF(OR(Q322="Dry bulk",Q322="Bulk carrier"),S322*Alukset_fx!$B$69,IF(Q322="Tugboat",S322*Alukset_fx!$B$76,IF(OR(Q322="Tanker",Q322="Gas tanker",Q322="Chemical tanker",Q322="Oil tanker"),S322*Alukset_fx!$B$68,IF(OR(Q322="RoRo",Q322="Vehicle carrier"),S322*Alukset_fx!$B$72,IF(Q322="RoPax",S322*Alukset_fx!$B$73,IF(Q322="Container ship",S322*Alukset_fx!$B$70,S322*Alukset_fx!$B$75))))))),"-")</f>
        <v>0</v>
      </c>
      <c r="U322" s="208">
        <f t="shared" si="54"/>
        <v>0</v>
      </c>
      <c r="V322" s="208">
        <f t="shared" si="55"/>
        <v>0</v>
      </c>
      <c r="W322" s="202">
        <f>Alukset_Käynnit!N329</f>
        <v>0</v>
      </c>
      <c r="X322" s="211">
        <f>IF(Q322="Other dry cargo", Alukset_fx!$C$52, IF(OR(Q322="Dry bulk",Q322="Bulk carrier"),Alukset_fx!$C$35,IF(OR(Q322="Tanker",Q322="Gas tanker",Q322="Oil tanker"),Alukset_fx!$C$57,IF(Q322="Chemical tanker",Alukset_fx!$C$56,IF(OR(Q322="Tugboat",Q322="Barge"),0,IF(Q322="Other vessel",Alukset_fx!$C$54,IF(Q322="Container ship",Alukset_fx!$C$37,IF(OR(Q322="RoPax",Q322="RoRo",Q322="Vehicle carrier"),Alukset_fx!$C$55,0))))))))</f>
        <v>0</v>
      </c>
      <c r="Y322" s="211">
        <f>IF(Q322="Other dry cargo", Alukset_fx!$Q$52, IF(OR(Q322="Dry bulk",Q322="Bulk carrier"),Alukset_fx!$Q$35,IF(OR(Q322="Tanker",Q322="Gas tanker",Q322="Oil tanker"),Alukset_fx!$Q$57,IF(Q322="Chemical tanker",Alukset_fx!$Q$56,IF(OR(Q322="Tugboat",Q322="Barge"),0,IF(Q322="Other vessel",Alukset_fx!$Q$54,IF(Q322="Container ship",Alukset_fx!$Q$37,IF(OR(Q322="RoPax",Q322="RoRo",Q322="Vehicle carrier"),Alukset_fx!$Q$55,0))))))))</f>
        <v>0</v>
      </c>
      <c r="Z322" t="str">
        <f t="shared" si="56"/>
        <v>MDO/MGO</v>
      </c>
      <c r="AA322" t="str">
        <f t="shared" si="57"/>
        <v>MSD</v>
      </c>
      <c r="AB322" t="str">
        <f t="shared" si="58"/>
        <v>MDO/MGO</v>
      </c>
      <c r="AC322" t="str">
        <f t="shared" si="59"/>
        <v>MSD</v>
      </c>
      <c r="AD322" t="str">
        <f t="shared" si="60"/>
        <v>MDO/MGO</v>
      </c>
      <c r="AE322" t="str">
        <f t="shared" si="61"/>
        <v>ST</v>
      </c>
      <c r="AG322">
        <f>Alukset_Käynnit!O329</f>
        <v>0</v>
      </c>
      <c r="AH322" s="207">
        <f>IF(AA322="SSD",((U322*Alukset_fx!$B$24)*Alukset_Käynnit_Lask!W322*(Alukset_fx!$K$49)/1000),IF(AA322="MSD",((U322*Alukset_fx!$B$24)*Alukset_Käynnit_Lask!W322*(Alukset_fx!$K$52)/1000),IF(AA322="HSD",((U322*Alukset_fx!$B$24)*Alukset_Käynnit_Lask!W322*(Alukset_fx!$K$55)/1000),0)))</f>
        <v>0</v>
      </c>
      <c r="AI322" s="207">
        <f>IF(AC322="MSD",((V322*Alukset_fx!$B$25)*Alukset_Käynnit_Lask!W322*(Alukset_fx!$L$52)/1000),IF(AC322="HSD",((V322*Alukset_fx!$B$25)*Alukset_Käynnit_Lask!W322*(Alukset_fx!$L$55)/1000),0))</f>
        <v>0</v>
      </c>
      <c r="AJ322" s="207">
        <f>X322*W322*Alukset_fx!$K$61/1000</f>
        <v>0</v>
      </c>
      <c r="AK322">
        <v>0</v>
      </c>
      <c r="AL322" s="207">
        <f>IF(AG322="Käytetty",0,IF(AC322="MSD",((V322*Alukset_fx!$O$25)*Alukset_Käynnit_Lask!O322*(Alukset_fx!$L$52)/1000),IF(AC322="HSD",((V322*Alukset_fx!$O$25)*Alukset_Käynnit_Lask!O322*(Alukset_fx!$L$55)/1000),0)))</f>
        <v>0</v>
      </c>
      <c r="AM322" s="207">
        <f>IF(AG322="Käytetty",0,Y322*O322*Alukset_fx!$K$61/1000)</f>
        <v>0</v>
      </c>
      <c r="AN322" s="213">
        <f t="shared" si="62"/>
        <v>0</v>
      </c>
    </row>
    <row r="323" spans="1:40" x14ac:dyDescent="0.25">
      <c r="A323" s="203">
        <f>Alukset_Käynnit!A330</f>
        <v>0</v>
      </c>
      <c r="B323" s="203">
        <f>Alukset_Käynnit!B330</f>
        <v>0</v>
      </c>
      <c r="C323" s="262">
        <f>Alukset_Käynnit!C330</f>
        <v>0</v>
      </c>
      <c r="D323" s="266">
        <f>Alukset_Käynnit!D330</f>
        <v>0</v>
      </c>
      <c r="E323" s="262">
        <f>Alukset_Käynnit!E330</f>
        <v>0</v>
      </c>
      <c r="F323" s="262">
        <f>Alukset_Käynnit!F330</f>
        <v>0</v>
      </c>
      <c r="G323" s="262">
        <f>Alukset_Käynnit!G330</f>
        <v>0</v>
      </c>
      <c r="H323" s="262">
        <f>Alukset_Käynnit!H330</f>
        <v>0</v>
      </c>
      <c r="I323" s="262">
        <f>Alukset_Käynnit!I330</f>
        <v>0</v>
      </c>
      <c r="J323" s="262">
        <f>Alukset_Käynnit!J330</f>
        <v>0</v>
      </c>
      <c r="K323" s="262">
        <f>Alukset_Käynnit!K330</f>
        <v>0</v>
      </c>
      <c r="L323" s="205">
        <f>Alukset_Käynnit!L330</f>
        <v>0</v>
      </c>
      <c r="N323" s="273">
        <f t="shared" si="63"/>
        <v>0</v>
      </c>
      <c r="O323" s="274">
        <f t="shared" si="64"/>
        <v>0</v>
      </c>
      <c r="Q323" s="204">
        <f t="shared" si="53"/>
        <v>0</v>
      </c>
      <c r="R323" s="202">
        <f>IF(Q323="Other dry cargo",L323*Alukset_fx!$B$71,IF(OR(Q323="Dry bulk",Q323="Bulk carrier"),L323*Alukset_fx!$B$69,IF(Q323="Tugboat",L323*Alukset_fx!$B$76,IF(OR(Q323="Tanker",Q323="Gas tanker",Q323="Chemical tanker",Q323="Oil tanker"),L323*Alukset_fx!$B$68,IF(OR(Q323="RoRo",Q323="Vehicle carrier"),L323*Alukset_fx!$B$72,IF(Q323="RoPax",L323*Alukset_fx!$B$73,IF(Q323="Container ship",L323*Alukset_fx!$B$70,IF(Q323="Barge",0,L323*Alukset_fx!$B$75))))))))</f>
        <v>0</v>
      </c>
      <c r="S323" s="210">
        <f>IF(L323=0,IF(Q323="Other dry cargo",Alukset_fx!$H$73*(Alukset_Käynnit_Lask!K323^Alukset_fx!$I$73),IF(OR(Q323="Dry Bulk",Q323="Bulk carrier"),Alukset_fx!$H$71*(Alukset_Käynnit_Lask!K323^Alukset_fx!$I$71),IF(Q323="Tugboat",Alukset_fx!$H$78*(Alukset_Käynnit_Lask!K323^Alukset_fx!$I$78),IF(OR(Q323="Tanker",Q323="Gas tanker",Q323="Chemical tanker",Q323="Oil tanker"),Alukset_fx!$H$70*(Alukset_Käynnit_Lask!K323^Alukset_fx!$I$70),IF(Q323="Container ship",Alukset_fx!$H$72*(Alukset_Käynnit_Lask!K323^Alukset_fx!$I$72),IF(Q323="Barge",0,IF(Q323="RoPax",Alukset_fx!$H$75*(Alukset_Käynnit_Lask!K323^Alukset_fx!$I$75),IF(OR(Q323="RoRo",Q323="Vehicle carrier"),Alukset_fx!$H$74*(Alukset_Käynnit_Lask!K323^Alukset_fx!$I$74),Alukset_fx!$H$77*(Alukset_Käynnit_Lask!K323^Alukset_fx!$I$77))))))))),"-")</f>
        <v>0</v>
      </c>
      <c r="T323" s="208">
        <f>IF(R323=0,IF(Q323="Other dry cargo",S323*Alukset_fx!$B$71,IF(OR(Q323="Dry bulk",Q323="Bulk carrier"),S323*Alukset_fx!$B$69,IF(Q323="Tugboat",S323*Alukset_fx!$B$76,IF(OR(Q323="Tanker",Q323="Gas tanker",Q323="Chemical tanker",Q323="Oil tanker"),S323*Alukset_fx!$B$68,IF(OR(Q323="RoRo",Q323="Vehicle carrier"),S323*Alukset_fx!$B$72,IF(Q323="RoPax",S323*Alukset_fx!$B$73,IF(Q323="Container ship",S323*Alukset_fx!$B$70,S323*Alukset_fx!$B$75))))))),"-")</f>
        <v>0</v>
      </c>
      <c r="U323" s="208">
        <f t="shared" si="54"/>
        <v>0</v>
      </c>
      <c r="V323" s="208">
        <f t="shared" si="55"/>
        <v>0</v>
      </c>
      <c r="W323" s="202">
        <f>Alukset_Käynnit!N330</f>
        <v>0</v>
      </c>
      <c r="X323" s="211">
        <f>IF(Q323="Other dry cargo", Alukset_fx!$C$52, IF(OR(Q323="Dry bulk",Q323="Bulk carrier"),Alukset_fx!$C$35,IF(OR(Q323="Tanker",Q323="Gas tanker",Q323="Oil tanker"),Alukset_fx!$C$57,IF(Q323="Chemical tanker",Alukset_fx!$C$56,IF(OR(Q323="Tugboat",Q323="Barge"),0,IF(Q323="Other vessel",Alukset_fx!$C$54,IF(Q323="Container ship",Alukset_fx!$C$37,IF(OR(Q323="RoPax",Q323="RoRo",Q323="Vehicle carrier"),Alukset_fx!$C$55,0))))))))</f>
        <v>0</v>
      </c>
      <c r="Y323" s="211">
        <f>IF(Q323="Other dry cargo", Alukset_fx!$Q$52, IF(OR(Q323="Dry bulk",Q323="Bulk carrier"),Alukset_fx!$Q$35,IF(OR(Q323="Tanker",Q323="Gas tanker",Q323="Oil tanker"),Alukset_fx!$Q$57,IF(Q323="Chemical tanker",Alukset_fx!$Q$56,IF(OR(Q323="Tugboat",Q323="Barge"),0,IF(Q323="Other vessel",Alukset_fx!$Q$54,IF(Q323="Container ship",Alukset_fx!$Q$37,IF(OR(Q323="RoPax",Q323="RoRo",Q323="Vehicle carrier"),Alukset_fx!$Q$55,0))))))))</f>
        <v>0</v>
      </c>
      <c r="Z323" t="str">
        <f t="shared" si="56"/>
        <v>MDO/MGO</v>
      </c>
      <c r="AA323" t="str">
        <f t="shared" si="57"/>
        <v>MSD</v>
      </c>
      <c r="AB323" t="str">
        <f t="shared" si="58"/>
        <v>MDO/MGO</v>
      </c>
      <c r="AC323" t="str">
        <f t="shared" si="59"/>
        <v>MSD</v>
      </c>
      <c r="AD323" t="str">
        <f t="shared" si="60"/>
        <v>MDO/MGO</v>
      </c>
      <c r="AE323" t="str">
        <f t="shared" si="61"/>
        <v>ST</v>
      </c>
      <c r="AG323">
        <f>Alukset_Käynnit!O330</f>
        <v>0</v>
      </c>
      <c r="AH323" s="207">
        <f>IF(AA323="SSD",((U323*Alukset_fx!$B$24)*Alukset_Käynnit_Lask!W323*(Alukset_fx!$K$49)/1000),IF(AA323="MSD",((U323*Alukset_fx!$B$24)*Alukset_Käynnit_Lask!W323*(Alukset_fx!$K$52)/1000),IF(AA323="HSD",((U323*Alukset_fx!$B$24)*Alukset_Käynnit_Lask!W323*(Alukset_fx!$K$55)/1000),0)))</f>
        <v>0</v>
      </c>
      <c r="AI323" s="207">
        <f>IF(AC323="MSD",((V323*Alukset_fx!$B$25)*Alukset_Käynnit_Lask!W323*(Alukset_fx!$L$52)/1000),IF(AC323="HSD",((V323*Alukset_fx!$B$25)*Alukset_Käynnit_Lask!W323*(Alukset_fx!$L$55)/1000),0))</f>
        <v>0</v>
      </c>
      <c r="AJ323" s="207">
        <f>X323*W323*Alukset_fx!$K$61/1000</f>
        <v>0</v>
      </c>
      <c r="AK323">
        <v>0</v>
      </c>
      <c r="AL323" s="207">
        <f>IF(AG323="Käytetty",0,IF(AC323="MSD",((V323*Alukset_fx!$O$25)*Alukset_Käynnit_Lask!O323*(Alukset_fx!$L$52)/1000),IF(AC323="HSD",((V323*Alukset_fx!$O$25)*Alukset_Käynnit_Lask!O323*(Alukset_fx!$L$55)/1000),0)))</f>
        <v>0</v>
      </c>
      <c r="AM323" s="207">
        <f>IF(AG323="Käytetty",0,Y323*O323*Alukset_fx!$K$61/1000)</f>
        <v>0</v>
      </c>
      <c r="AN323" s="213">
        <f t="shared" si="62"/>
        <v>0</v>
      </c>
    </row>
    <row r="324" spans="1:40" x14ac:dyDescent="0.25">
      <c r="A324" s="203">
        <f>Alukset_Käynnit!A331</f>
        <v>0</v>
      </c>
      <c r="B324" s="203">
        <f>Alukset_Käynnit!B331</f>
        <v>0</v>
      </c>
      <c r="C324" s="262">
        <f>Alukset_Käynnit!C331</f>
        <v>0</v>
      </c>
      <c r="D324" s="266">
        <f>Alukset_Käynnit!D331</f>
        <v>0</v>
      </c>
      <c r="E324" s="262">
        <f>Alukset_Käynnit!E331</f>
        <v>0</v>
      </c>
      <c r="F324" s="262">
        <f>Alukset_Käynnit!F331</f>
        <v>0</v>
      </c>
      <c r="G324" s="262">
        <f>Alukset_Käynnit!G331</f>
        <v>0</v>
      </c>
      <c r="H324" s="262">
        <f>Alukset_Käynnit!H331</f>
        <v>0</v>
      </c>
      <c r="I324" s="262">
        <f>Alukset_Käynnit!I331</f>
        <v>0</v>
      </c>
      <c r="J324" s="262">
        <f>Alukset_Käynnit!J331</f>
        <v>0</v>
      </c>
      <c r="K324" s="262">
        <f>Alukset_Käynnit!K331</f>
        <v>0</v>
      </c>
      <c r="L324" s="205">
        <f>Alukset_Käynnit!L331</f>
        <v>0</v>
      </c>
      <c r="N324" s="273">
        <f t="shared" si="63"/>
        <v>0</v>
      </c>
      <c r="O324" s="274">
        <f t="shared" si="64"/>
        <v>0</v>
      </c>
      <c r="Q324" s="204">
        <f t="shared" si="53"/>
        <v>0</v>
      </c>
      <c r="R324" s="202">
        <f>IF(Q324="Other dry cargo",L324*Alukset_fx!$B$71,IF(OR(Q324="Dry bulk",Q324="Bulk carrier"),L324*Alukset_fx!$B$69,IF(Q324="Tugboat",L324*Alukset_fx!$B$76,IF(OR(Q324="Tanker",Q324="Gas tanker",Q324="Chemical tanker",Q324="Oil tanker"),L324*Alukset_fx!$B$68,IF(OR(Q324="RoRo",Q324="Vehicle carrier"),L324*Alukset_fx!$B$72,IF(Q324="RoPax",L324*Alukset_fx!$B$73,IF(Q324="Container ship",L324*Alukset_fx!$B$70,IF(Q324="Barge",0,L324*Alukset_fx!$B$75))))))))</f>
        <v>0</v>
      </c>
      <c r="S324" s="210">
        <f>IF(L324=0,IF(Q324="Other dry cargo",Alukset_fx!$H$73*(Alukset_Käynnit_Lask!K324^Alukset_fx!$I$73),IF(OR(Q324="Dry Bulk",Q324="Bulk carrier"),Alukset_fx!$H$71*(Alukset_Käynnit_Lask!K324^Alukset_fx!$I$71),IF(Q324="Tugboat",Alukset_fx!$H$78*(Alukset_Käynnit_Lask!K324^Alukset_fx!$I$78),IF(OR(Q324="Tanker",Q324="Gas tanker",Q324="Chemical tanker",Q324="Oil tanker"),Alukset_fx!$H$70*(Alukset_Käynnit_Lask!K324^Alukset_fx!$I$70),IF(Q324="Container ship",Alukset_fx!$H$72*(Alukset_Käynnit_Lask!K324^Alukset_fx!$I$72),IF(Q324="Barge",0,IF(Q324="RoPax",Alukset_fx!$H$75*(Alukset_Käynnit_Lask!K324^Alukset_fx!$I$75),IF(OR(Q324="RoRo",Q324="Vehicle carrier"),Alukset_fx!$H$74*(Alukset_Käynnit_Lask!K324^Alukset_fx!$I$74),Alukset_fx!$H$77*(Alukset_Käynnit_Lask!K324^Alukset_fx!$I$77))))))))),"-")</f>
        <v>0</v>
      </c>
      <c r="T324" s="208">
        <f>IF(R324=0,IF(Q324="Other dry cargo",S324*Alukset_fx!$B$71,IF(OR(Q324="Dry bulk",Q324="Bulk carrier"),S324*Alukset_fx!$B$69,IF(Q324="Tugboat",S324*Alukset_fx!$B$76,IF(OR(Q324="Tanker",Q324="Gas tanker",Q324="Chemical tanker",Q324="Oil tanker"),S324*Alukset_fx!$B$68,IF(OR(Q324="RoRo",Q324="Vehicle carrier"),S324*Alukset_fx!$B$72,IF(Q324="RoPax",S324*Alukset_fx!$B$73,IF(Q324="Container ship",S324*Alukset_fx!$B$70,S324*Alukset_fx!$B$75))))))),"-")</f>
        <v>0</v>
      </c>
      <c r="U324" s="208">
        <f t="shared" si="54"/>
        <v>0</v>
      </c>
      <c r="V324" s="208">
        <f t="shared" si="55"/>
        <v>0</v>
      </c>
      <c r="W324" s="202">
        <f>Alukset_Käynnit!N331</f>
        <v>0</v>
      </c>
      <c r="X324" s="211">
        <f>IF(Q324="Other dry cargo", Alukset_fx!$C$52, IF(OR(Q324="Dry bulk",Q324="Bulk carrier"),Alukset_fx!$C$35,IF(OR(Q324="Tanker",Q324="Gas tanker",Q324="Oil tanker"),Alukset_fx!$C$57,IF(Q324="Chemical tanker",Alukset_fx!$C$56,IF(OR(Q324="Tugboat",Q324="Barge"),0,IF(Q324="Other vessel",Alukset_fx!$C$54,IF(Q324="Container ship",Alukset_fx!$C$37,IF(OR(Q324="RoPax",Q324="RoRo",Q324="Vehicle carrier"),Alukset_fx!$C$55,0))))))))</f>
        <v>0</v>
      </c>
      <c r="Y324" s="211">
        <f>IF(Q324="Other dry cargo", Alukset_fx!$Q$52, IF(OR(Q324="Dry bulk",Q324="Bulk carrier"),Alukset_fx!$Q$35,IF(OR(Q324="Tanker",Q324="Gas tanker",Q324="Oil tanker"),Alukset_fx!$Q$57,IF(Q324="Chemical tanker",Alukset_fx!$Q$56,IF(OR(Q324="Tugboat",Q324="Barge"),0,IF(Q324="Other vessel",Alukset_fx!$Q$54,IF(Q324="Container ship",Alukset_fx!$Q$37,IF(OR(Q324="RoPax",Q324="RoRo",Q324="Vehicle carrier"),Alukset_fx!$Q$55,0))))))))</f>
        <v>0</v>
      </c>
      <c r="Z324" t="str">
        <f t="shared" si="56"/>
        <v>MDO/MGO</v>
      </c>
      <c r="AA324" t="str">
        <f t="shared" si="57"/>
        <v>MSD</v>
      </c>
      <c r="AB324" t="str">
        <f t="shared" si="58"/>
        <v>MDO/MGO</v>
      </c>
      <c r="AC324" t="str">
        <f t="shared" si="59"/>
        <v>MSD</v>
      </c>
      <c r="AD324" t="str">
        <f t="shared" si="60"/>
        <v>MDO/MGO</v>
      </c>
      <c r="AE324" t="str">
        <f t="shared" si="61"/>
        <v>ST</v>
      </c>
      <c r="AG324">
        <f>Alukset_Käynnit!O331</f>
        <v>0</v>
      </c>
      <c r="AH324" s="207">
        <f>IF(AA324="SSD",((U324*Alukset_fx!$B$24)*Alukset_Käynnit_Lask!W324*(Alukset_fx!$K$49)/1000),IF(AA324="MSD",((U324*Alukset_fx!$B$24)*Alukset_Käynnit_Lask!W324*(Alukset_fx!$K$52)/1000),IF(AA324="HSD",((U324*Alukset_fx!$B$24)*Alukset_Käynnit_Lask!W324*(Alukset_fx!$K$55)/1000),0)))</f>
        <v>0</v>
      </c>
      <c r="AI324" s="207">
        <f>IF(AC324="MSD",((V324*Alukset_fx!$B$25)*Alukset_Käynnit_Lask!W324*(Alukset_fx!$L$52)/1000),IF(AC324="HSD",((V324*Alukset_fx!$B$25)*Alukset_Käynnit_Lask!W324*(Alukset_fx!$L$55)/1000),0))</f>
        <v>0</v>
      </c>
      <c r="AJ324" s="207">
        <f>X324*W324*Alukset_fx!$K$61/1000</f>
        <v>0</v>
      </c>
      <c r="AK324">
        <v>0</v>
      </c>
      <c r="AL324" s="207">
        <f>IF(AG324="Käytetty",0,IF(AC324="MSD",((V324*Alukset_fx!$O$25)*Alukset_Käynnit_Lask!O324*(Alukset_fx!$L$52)/1000),IF(AC324="HSD",((V324*Alukset_fx!$O$25)*Alukset_Käynnit_Lask!O324*(Alukset_fx!$L$55)/1000),0)))</f>
        <v>0</v>
      </c>
      <c r="AM324" s="207">
        <f>IF(AG324="Käytetty",0,Y324*O324*Alukset_fx!$K$61/1000)</f>
        <v>0</v>
      </c>
      <c r="AN324" s="213">
        <f t="shared" si="62"/>
        <v>0</v>
      </c>
    </row>
    <row r="325" spans="1:40" x14ac:dyDescent="0.25">
      <c r="A325" s="203">
        <f>Alukset_Käynnit!A332</f>
        <v>0</v>
      </c>
      <c r="B325" s="203">
        <f>Alukset_Käynnit!B332</f>
        <v>0</v>
      </c>
      <c r="C325" s="262">
        <f>Alukset_Käynnit!C332</f>
        <v>0</v>
      </c>
      <c r="D325" s="266">
        <f>Alukset_Käynnit!D332</f>
        <v>0</v>
      </c>
      <c r="E325" s="262">
        <f>Alukset_Käynnit!E332</f>
        <v>0</v>
      </c>
      <c r="F325" s="262">
        <f>Alukset_Käynnit!F332</f>
        <v>0</v>
      </c>
      <c r="G325" s="262">
        <f>Alukset_Käynnit!G332</f>
        <v>0</v>
      </c>
      <c r="H325" s="262">
        <f>Alukset_Käynnit!H332</f>
        <v>0</v>
      </c>
      <c r="I325" s="262">
        <f>Alukset_Käynnit!I332</f>
        <v>0</v>
      </c>
      <c r="J325" s="262">
        <f>Alukset_Käynnit!J332</f>
        <v>0</v>
      </c>
      <c r="K325" s="262">
        <f>Alukset_Käynnit!K332</f>
        <v>0</v>
      </c>
      <c r="L325" s="205">
        <f>Alukset_Käynnit!L332</f>
        <v>0</v>
      </c>
      <c r="N325" s="273">
        <f t="shared" si="63"/>
        <v>0</v>
      </c>
      <c r="O325" s="274">
        <f t="shared" si="64"/>
        <v>0</v>
      </c>
      <c r="Q325" s="204">
        <f t="shared" si="53"/>
        <v>0</v>
      </c>
      <c r="R325" s="202">
        <f>IF(Q325="Other dry cargo",L325*Alukset_fx!$B$71,IF(OR(Q325="Dry bulk",Q325="Bulk carrier"),L325*Alukset_fx!$B$69,IF(Q325="Tugboat",L325*Alukset_fx!$B$76,IF(OR(Q325="Tanker",Q325="Gas tanker",Q325="Chemical tanker",Q325="Oil tanker"),L325*Alukset_fx!$B$68,IF(OR(Q325="RoRo",Q325="Vehicle carrier"),L325*Alukset_fx!$B$72,IF(Q325="RoPax",L325*Alukset_fx!$B$73,IF(Q325="Container ship",L325*Alukset_fx!$B$70,IF(Q325="Barge",0,L325*Alukset_fx!$B$75))))))))</f>
        <v>0</v>
      </c>
      <c r="S325" s="210">
        <f>IF(L325=0,IF(Q325="Other dry cargo",Alukset_fx!$H$73*(Alukset_Käynnit_Lask!K325^Alukset_fx!$I$73),IF(OR(Q325="Dry Bulk",Q325="Bulk carrier"),Alukset_fx!$H$71*(Alukset_Käynnit_Lask!K325^Alukset_fx!$I$71),IF(Q325="Tugboat",Alukset_fx!$H$78*(Alukset_Käynnit_Lask!K325^Alukset_fx!$I$78),IF(OR(Q325="Tanker",Q325="Gas tanker",Q325="Chemical tanker",Q325="Oil tanker"),Alukset_fx!$H$70*(Alukset_Käynnit_Lask!K325^Alukset_fx!$I$70),IF(Q325="Container ship",Alukset_fx!$H$72*(Alukset_Käynnit_Lask!K325^Alukset_fx!$I$72),IF(Q325="Barge",0,IF(Q325="RoPax",Alukset_fx!$H$75*(Alukset_Käynnit_Lask!K325^Alukset_fx!$I$75),IF(OR(Q325="RoRo",Q325="Vehicle carrier"),Alukset_fx!$H$74*(Alukset_Käynnit_Lask!K325^Alukset_fx!$I$74),Alukset_fx!$H$77*(Alukset_Käynnit_Lask!K325^Alukset_fx!$I$77))))))))),"-")</f>
        <v>0</v>
      </c>
      <c r="T325" s="208">
        <f>IF(R325=0,IF(Q325="Other dry cargo",S325*Alukset_fx!$B$71,IF(OR(Q325="Dry bulk",Q325="Bulk carrier"),S325*Alukset_fx!$B$69,IF(Q325="Tugboat",S325*Alukset_fx!$B$76,IF(OR(Q325="Tanker",Q325="Gas tanker",Q325="Chemical tanker",Q325="Oil tanker"),S325*Alukset_fx!$B$68,IF(OR(Q325="RoRo",Q325="Vehicle carrier"),S325*Alukset_fx!$B$72,IF(Q325="RoPax",S325*Alukset_fx!$B$73,IF(Q325="Container ship",S325*Alukset_fx!$B$70,S325*Alukset_fx!$B$75))))))),"-")</f>
        <v>0</v>
      </c>
      <c r="U325" s="208">
        <f t="shared" si="54"/>
        <v>0</v>
      </c>
      <c r="V325" s="208">
        <f t="shared" si="55"/>
        <v>0</v>
      </c>
      <c r="W325" s="202">
        <f>Alukset_Käynnit!N332</f>
        <v>0</v>
      </c>
      <c r="X325" s="211">
        <f>IF(Q325="Other dry cargo", Alukset_fx!$C$52, IF(OR(Q325="Dry bulk",Q325="Bulk carrier"),Alukset_fx!$C$35,IF(OR(Q325="Tanker",Q325="Gas tanker",Q325="Oil tanker"),Alukset_fx!$C$57,IF(Q325="Chemical tanker",Alukset_fx!$C$56,IF(OR(Q325="Tugboat",Q325="Barge"),0,IF(Q325="Other vessel",Alukset_fx!$C$54,IF(Q325="Container ship",Alukset_fx!$C$37,IF(OR(Q325="RoPax",Q325="RoRo",Q325="Vehicle carrier"),Alukset_fx!$C$55,0))))))))</f>
        <v>0</v>
      </c>
      <c r="Y325" s="211">
        <f>IF(Q325="Other dry cargo", Alukset_fx!$Q$52, IF(OR(Q325="Dry bulk",Q325="Bulk carrier"),Alukset_fx!$Q$35,IF(OR(Q325="Tanker",Q325="Gas tanker",Q325="Oil tanker"),Alukset_fx!$Q$57,IF(Q325="Chemical tanker",Alukset_fx!$Q$56,IF(OR(Q325="Tugboat",Q325="Barge"),0,IF(Q325="Other vessel",Alukset_fx!$Q$54,IF(Q325="Container ship",Alukset_fx!$Q$37,IF(OR(Q325="RoPax",Q325="RoRo",Q325="Vehicle carrier"),Alukset_fx!$Q$55,0))))))))</f>
        <v>0</v>
      </c>
      <c r="Z325" t="str">
        <f t="shared" si="56"/>
        <v>MDO/MGO</v>
      </c>
      <c r="AA325" t="str">
        <f t="shared" si="57"/>
        <v>MSD</v>
      </c>
      <c r="AB325" t="str">
        <f t="shared" si="58"/>
        <v>MDO/MGO</v>
      </c>
      <c r="AC325" t="str">
        <f t="shared" si="59"/>
        <v>MSD</v>
      </c>
      <c r="AD325" t="str">
        <f t="shared" si="60"/>
        <v>MDO/MGO</v>
      </c>
      <c r="AE325" t="str">
        <f t="shared" si="61"/>
        <v>ST</v>
      </c>
      <c r="AG325">
        <f>Alukset_Käynnit!O332</f>
        <v>0</v>
      </c>
      <c r="AH325" s="207">
        <f>IF(AA325="SSD",((U325*Alukset_fx!$B$24)*Alukset_Käynnit_Lask!W325*(Alukset_fx!$K$49)/1000),IF(AA325="MSD",((U325*Alukset_fx!$B$24)*Alukset_Käynnit_Lask!W325*(Alukset_fx!$K$52)/1000),IF(AA325="HSD",((U325*Alukset_fx!$B$24)*Alukset_Käynnit_Lask!W325*(Alukset_fx!$K$55)/1000),0)))</f>
        <v>0</v>
      </c>
      <c r="AI325" s="207">
        <f>IF(AC325="MSD",((V325*Alukset_fx!$B$25)*Alukset_Käynnit_Lask!W325*(Alukset_fx!$L$52)/1000),IF(AC325="HSD",((V325*Alukset_fx!$B$25)*Alukset_Käynnit_Lask!W325*(Alukset_fx!$L$55)/1000),0))</f>
        <v>0</v>
      </c>
      <c r="AJ325" s="207">
        <f>X325*W325*Alukset_fx!$K$61/1000</f>
        <v>0</v>
      </c>
      <c r="AK325">
        <v>0</v>
      </c>
      <c r="AL325" s="207">
        <f>IF(AG325="Käytetty",0,IF(AC325="MSD",((V325*Alukset_fx!$O$25)*Alukset_Käynnit_Lask!O325*(Alukset_fx!$L$52)/1000),IF(AC325="HSD",((V325*Alukset_fx!$O$25)*Alukset_Käynnit_Lask!O325*(Alukset_fx!$L$55)/1000),0)))</f>
        <v>0</v>
      </c>
      <c r="AM325" s="207">
        <f>IF(AG325="Käytetty",0,Y325*O325*Alukset_fx!$K$61/1000)</f>
        <v>0</v>
      </c>
      <c r="AN325" s="213">
        <f t="shared" si="62"/>
        <v>0</v>
      </c>
    </row>
    <row r="326" spans="1:40" x14ac:dyDescent="0.25">
      <c r="A326" s="203">
        <f>Alukset_Käynnit!A333</f>
        <v>0</v>
      </c>
      <c r="B326" s="203">
        <f>Alukset_Käynnit!B333</f>
        <v>0</v>
      </c>
      <c r="C326" s="262">
        <f>Alukset_Käynnit!C333</f>
        <v>0</v>
      </c>
      <c r="D326" s="266">
        <f>Alukset_Käynnit!D333</f>
        <v>0</v>
      </c>
      <c r="E326" s="262">
        <f>Alukset_Käynnit!E333</f>
        <v>0</v>
      </c>
      <c r="F326" s="262">
        <f>Alukset_Käynnit!F333</f>
        <v>0</v>
      </c>
      <c r="G326" s="262">
        <f>Alukset_Käynnit!G333</f>
        <v>0</v>
      </c>
      <c r="H326" s="262">
        <f>Alukset_Käynnit!H333</f>
        <v>0</v>
      </c>
      <c r="I326" s="262">
        <f>Alukset_Käynnit!I333</f>
        <v>0</v>
      </c>
      <c r="J326" s="262">
        <f>Alukset_Käynnit!J333</f>
        <v>0</v>
      </c>
      <c r="K326" s="262">
        <f>Alukset_Käynnit!K333</f>
        <v>0</v>
      </c>
      <c r="L326" s="205">
        <f>Alukset_Käynnit!L333</f>
        <v>0</v>
      </c>
      <c r="N326" s="273">
        <f t="shared" si="63"/>
        <v>0</v>
      </c>
      <c r="O326" s="274">
        <f t="shared" si="64"/>
        <v>0</v>
      </c>
      <c r="Q326" s="204">
        <f t="shared" si="53"/>
        <v>0</v>
      </c>
      <c r="R326" s="202">
        <f>IF(Q326="Other dry cargo",L326*Alukset_fx!$B$71,IF(OR(Q326="Dry bulk",Q326="Bulk carrier"),L326*Alukset_fx!$B$69,IF(Q326="Tugboat",L326*Alukset_fx!$B$76,IF(OR(Q326="Tanker",Q326="Gas tanker",Q326="Chemical tanker",Q326="Oil tanker"),L326*Alukset_fx!$B$68,IF(OR(Q326="RoRo",Q326="Vehicle carrier"),L326*Alukset_fx!$B$72,IF(Q326="RoPax",L326*Alukset_fx!$B$73,IF(Q326="Container ship",L326*Alukset_fx!$B$70,IF(Q326="Barge",0,L326*Alukset_fx!$B$75))))))))</f>
        <v>0</v>
      </c>
      <c r="S326" s="210">
        <f>IF(L326=0,IF(Q326="Other dry cargo",Alukset_fx!$H$73*(Alukset_Käynnit_Lask!K326^Alukset_fx!$I$73),IF(OR(Q326="Dry Bulk",Q326="Bulk carrier"),Alukset_fx!$H$71*(Alukset_Käynnit_Lask!K326^Alukset_fx!$I$71),IF(Q326="Tugboat",Alukset_fx!$H$78*(Alukset_Käynnit_Lask!K326^Alukset_fx!$I$78),IF(OR(Q326="Tanker",Q326="Gas tanker",Q326="Chemical tanker",Q326="Oil tanker"),Alukset_fx!$H$70*(Alukset_Käynnit_Lask!K326^Alukset_fx!$I$70),IF(Q326="Container ship",Alukset_fx!$H$72*(Alukset_Käynnit_Lask!K326^Alukset_fx!$I$72),IF(Q326="Barge",0,IF(Q326="RoPax",Alukset_fx!$H$75*(Alukset_Käynnit_Lask!K326^Alukset_fx!$I$75),IF(OR(Q326="RoRo",Q326="Vehicle carrier"),Alukset_fx!$H$74*(Alukset_Käynnit_Lask!K326^Alukset_fx!$I$74),Alukset_fx!$H$77*(Alukset_Käynnit_Lask!K326^Alukset_fx!$I$77))))))))),"-")</f>
        <v>0</v>
      </c>
      <c r="T326" s="208">
        <f>IF(R326=0,IF(Q326="Other dry cargo",S326*Alukset_fx!$B$71,IF(OR(Q326="Dry bulk",Q326="Bulk carrier"),S326*Alukset_fx!$B$69,IF(Q326="Tugboat",S326*Alukset_fx!$B$76,IF(OR(Q326="Tanker",Q326="Gas tanker",Q326="Chemical tanker",Q326="Oil tanker"),S326*Alukset_fx!$B$68,IF(OR(Q326="RoRo",Q326="Vehicle carrier"),S326*Alukset_fx!$B$72,IF(Q326="RoPax",S326*Alukset_fx!$B$73,IF(Q326="Container ship",S326*Alukset_fx!$B$70,S326*Alukset_fx!$B$75))))))),"-")</f>
        <v>0</v>
      </c>
      <c r="U326" s="208">
        <f t="shared" si="54"/>
        <v>0</v>
      </c>
      <c r="V326" s="208">
        <f t="shared" si="55"/>
        <v>0</v>
      </c>
      <c r="W326" s="202">
        <f>Alukset_Käynnit!N333</f>
        <v>0</v>
      </c>
      <c r="X326" s="211">
        <f>IF(Q326="Other dry cargo", Alukset_fx!$C$52, IF(OR(Q326="Dry bulk",Q326="Bulk carrier"),Alukset_fx!$C$35,IF(OR(Q326="Tanker",Q326="Gas tanker",Q326="Oil tanker"),Alukset_fx!$C$57,IF(Q326="Chemical tanker",Alukset_fx!$C$56,IF(OR(Q326="Tugboat",Q326="Barge"),0,IF(Q326="Other vessel",Alukset_fx!$C$54,IF(Q326="Container ship",Alukset_fx!$C$37,IF(OR(Q326="RoPax",Q326="RoRo",Q326="Vehicle carrier"),Alukset_fx!$C$55,0))))))))</f>
        <v>0</v>
      </c>
      <c r="Y326" s="211">
        <f>IF(Q326="Other dry cargo", Alukset_fx!$Q$52, IF(OR(Q326="Dry bulk",Q326="Bulk carrier"),Alukset_fx!$Q$35,IF(OR(Q326="Tanker",Q326="Gas tanker",Q326="Oil tanker"),Alukset_fx!$Q$57,IF(Q326="Chemical tanker",Alukset_fx!$Q$56,IF(OR(Q326="Tugboat",Q326="Barge"),0,IF(Q326="Other vessel",Alukset_fx!$Q$54,IF(Q326="Container ship",Alukset_fx!$Q$37,IF(OR(Q326="RoPax",Q326="RoRo",Q326="Vehicle carrier"),Alukset_fx!$Q$55,0))))))))</f>
        <v>0</v>
      </c>
      <c r="Z326" t="str">
        <f t="shared" si="56"/>
        <v>MDO/MGO</v>
      </c>
      <c r="AA326" t="str">
        <f t="shared" si="57"/>
        <v>MSD</v>
      </c>
      <c r="AB326" t="str">
        <f t="shared" si="58"/>
        <v>MDO/MGO</v>
      </c>
      <c r="AC326" t="str">
        <f t="shared" si="59"/>
        <v>MSD</v>
      </c>
      <c r="AD326" t="str">
        <f t="shared" si="60"/>
        <v>MDO/MGO</v>
      </c>
      <c r="AE326" t="str">
        <f t="shared" si="61"/>
        <v>ST</v>
      </c>
      <c r="AG326">
        <f>Alukset_Käynnit!O333</f>
        <v>0</v>
      </c>
      <c r="AH326" s="207">
        <f>IF(AA326="SSD",((U326*Alukset_fx!$B$24)*Alukset_Käynnit_Lask!W326*(Alukset_fx!$K$49)/1000),IF(AA326="MSD",((U326*Alukset_fx!$B$24)*Alukset_Käynnit_Lask!W326*(Alukset_fx!$K$52)/1000),IF(AA326="HSD",((U326*Alukset_fx!$B$24)*Alukset_Käynnit_Lask!W326*(Alukset_fx!$K$55)/1000),0)))</f>
        <v>0</v>
      </c>
      <c r="AI326" s="207">
        <f>IF(AC326="MSD",((V326*Alukset_fx!$B$25)*Alukset_Käynnit_Lask!W326*(Alukset_fx!$L$52)/1000),IF(AC326="HSD",((V326*Alukset_fx!$B$25)*Alukset_Käynnit_Lask!W326*(Alukset_fx!$L$55)/1000),0))</f>
        <v>0</v>
      </c>
      <c r="AJ326" s="207">
        <f>X326*W326*Alukset_fx!$K$61/1000</f>
        <v>0</v>
      </c>
      <c r="AK326">
        <v>0</v>
      </c>
      <c r="AL326" s="207">
        <f>IF(AG326="Käytetty",0,IF(AC326="MSD",((V326*Alukset_fx!$O$25)*Alukset_Käynnit_Lask!O326*(Alukset_fx!$L$52)/1000),IF(AC326="HSD",((V326*Alukset_fx!$O$25)*Alukset_Käynnit_Lask!O326*(Alukset_fx!$L$55)/1000),0)))</f>
        <v>0</v>
      </c>
      <c r="AM326" s="207">
        <f>IF(AG326="Käytetty",0,Y326*O326*Alukset_fx!$K$61/1000)</f>
        <v>0</v>
      </c>
      <c r="AN326" s="213">
        <f t="shared" si="62"/>
        <v>0</v>
      </c>
    </row>
    <row r="327" spans="1:40" x14ac:dyDescent="0.25">
      <c r="A327" s="203">
        <f>Alukset_Käynnit!A334</f>
        <v>0</v>
      </c>
      <c r="B327" s="203">
        <f>Alukset_Käynnit!B334</f>
        <v>0</v>
      </c>
      <c r="C327" s="262">
        <f>Alukset_Käynnit!C334</f>
        <v>0</v>
      </c>
      <c r="D327" s="266">
        <f>Alukset_Käynnit!D334</f>
        <v>0</v>
      </c>
      <c r="E327" s="262">
        <f>Alukset_Käynnit!E334</f>
        <v>0</v>
      </c>
      <c r="F327" s="262">
        <f>Alukset_Käynnit!F334</f>
        <v>0</v>
      </c>
      <c r="G327" s="262">
        <f>Alukset_Käynnit!G334</f>
        <v>0</v>
      </c>
      <c r="H327" s="262">
        <f>Alukset_Käynnit!H334</f>
        <v>0</v>
      </c>
      <c r="I327" s="262">
        <f>Alukset_Käynnit!I334</f>
        <v>0</v>
      </c>
      <c r="J327" s="262">
        <f>Alukset_Käynnit!J334</f>
        <v>0</v>
      </c>
      <c r="K327" s="262">
        <f>Alukset_Käynnit!K334</f>
        <v>0</v>
      </c>
      <c r="L327" s="205">
        <f>Alukset_Käynnit!L334</f>
        <v>0</v>
      </c>
      <c r="N327" s="273">
        <f t="shared" si="63"/>
        <v>0</v>
      </c>
      <c r="O327" s="274">
        <f t="shared" si="64"/>
        <v>0</v>
      </c>
      <c r="Q327" s="204">
        <f t="shared" si="53"/>
        <v>0</v>
      </c>
      <c r="R327" s="202">
        <f>IF(Q327="Other dry cargo",L327*Alukset_fx!$B$71,IF(OR(Q327="Dry bulk",Q327="Bulk carrier"),L327*Alukset_fx!$B$69,IF(Q327="Tugboat",L327*Alukset_fx!$B$76,IF(OR(Q327="Tanker",Q327="Gas tanker",Q327="Chemical tanker",Q327="Oil tanker"),L327*Alukset_fx!$B$68,IF(OR(Q327="RoRo",Q327="Vehicle carrier"),L327*Alukset_fx!$B$72,IF(Q327="RoPax",L327*Alukset_fx!$B$73,IF(Q327="Container ship",L327*Alukset_fx!$B$70,IF(Q327="Barge",0,L327*Alukset_fx!$B$75))))))))</f>
        <v>0</v>
      </c>
      <c r="S327" s="210">
        <f>IF(L327=0,IF(Q327="Other dry cargo",Alukset_fx!$H$73*(Alukset_Käynnit_Lask!K327^Alukset_fx!$I$73),IF(OR(Q327="Dry Bulk",Q327="Bulk carrier"),Alukset_fx!$H$71*(Alukset_Käynnit_Lask!K327^Alukset_fx!$I$71),IF(Q327="Tugboat",Alukset_fx!$H$78*(Alukset_Käynnit_Lask!K327^Alukset_fx!$I$78),IF(OR(Q327="Tanker",Q327="Gas tanker",Q327="Chemical tanker",Q327="Oil tanker"),Alukset_fx!$H$70*(Alukset_Käynnit_Lask!K327^Alukset_fx!$I$70),IF(Q327="Container ship",Alukset_fx!$H$72*(Alukset_Käynnit_Lask!K327^Alukset_fx!$I$72),IF(Q327="Barge",0,IF(Q327="RoPax",Alukset_fx!$H$75*(Alukset_Käynnit_Lask!K327^Alukset_fx!$I$75),IF(OR(Q327="RoRo",Q327="Vehicle carrier"),Alukset_fx!$H$74*(Alukset_Käynnit_Lask!K327^Alukset_fx!$I$74),Alukset_fx!$H$77*(Alukset_Käynnit_Lask!K327^Alukset_fx!$I$77))))))))),"-")</f>
        <v>0</v>
      </c>
      <c r="T327" s="208">
        <f>IF(R327=0,IF(Q327="Other dry cargo",S327*Alukset_fx!$B$71,IF(OR(Q327="Dry bulk",Q327="Bulk carrier"),S327*Alukset_fx!$B$69,IF(Q327="Tugboat",S327*Alukset_fx!$B$76,IF(OR(Q327="Tanker",Q327="Gas tanker",Q327="Chemical tanker",Q327="Oil tanker"),S327*Alukset_fx!$B$68,IF(OR(Q327="RoRo",Q327="Vehicle carrier"),S327*Alukset_fx!$B$72,IF(Q327="RoPax",S327*Alukset_fx!$B$73,IF(Q327="Container ship",S327*Alukset_fx!$B$70,S327*Alukset_fx!$B$75))))))),"-")</f>
        <v>0</v>
      </c>
      <c r="U327" s="208">
        <f t="shared" si="54"/>
        <v>0</v>
      </c>
      <c r="V327" s="208">
        <f t="shared" si="55"/>
        <v>0</v>
      </c>
      <c r="W327" s="202">
        <f>Alukset_Käynnit!N334</f>
        <v>0</v>
      </c>
      <c r="X327" s="211">
        <f>IF(Q327="Other dry cargo", Alukset_fx!$C$52, IF(OR(Q327="Dry bulk",Q327="Bulk carrier"),Alukset_fx!$C$35,IF(OR(Q327="Tanker",Q327="Gas tanker",Q327="Oil tanker"),Alukset_fx!$C$57,IF(Q327="Chemical tanker",Alukset_fx!$C$56,IF(OR(Q327="Tugboat",Q327="Barge"),0,IF(Q327="Other vessel",Alukset_fx!$C$54,IF(Q327="Container ship",Alukset_fx!$C$37,IF(OR(Q327="RoPax",Q327="RoRo",Q327="Vehicle carrier"),Alukset_fx!$C$55,0))))))))</f>
        <v>0</v>
      </c>
      <c r="Y327" s="211">
        <f>IF(Q327="Other dry cargo", Alukset_fx!$Q$52, IF(OR(Q327="Dry bulk",Q327="Bulk carrier"),Alukset_fx!$Q$35,IF(OR(Q327="Tanker",Q327="Gas tanker",Q327="Oil tanker"),Alukset_fx!$Q$57,IF(Q327="Chemical tanker",Alukset_fx!$Q$56,IF(OR(Q327="Tugboat",Q327="Barge"),0,IF(Q327="Other vessel",Alukset_fx!$Q$54,IF(Q327="Container ship",Alukset_fx!$Q$37,IF(OR(Q327="RoPax",Q327="RoRo",Q327="Vehicle carrier"),Alukset_fx!$Q$55,0))))))))</f>
        <v>0</v>
      </c>
      <c r="Z327" t="str">
        <f t="shared" si="56"/>
        <v>MDO/MGO</v>
      </c>
      <c r="AA327" t="str">
        <f t="shared" si="57"/>
        <v>MSD</v>
      </c>
      <c r="AB327" t="str">
        <f t="shared" si="58"/>
        <v>MDO/MGO</v>
      </c>
      <c r="AC327" t="str">
        <f t="shared" si="59"/>
        <v>MSD</v>
      </c>
      <c r="AD327" t="str">
        <f t="shared" si="60"/>
        <v>MDO/MGO</v>
      </c>
      <c r="AE327" t="str">
        <f t="shared" si="61"/>
        <v>ST</v>
      </c>
      <c r="AG327">
        <f>Alukset_Käynnit!O334</f>
        <v>0</v>
      </c>
      <c r="AH327" s="207">
        <f>IF(AA327="SSD",((U327*Alukset_fx!$B$24)*Alukset_Käynnit_Lask!W327*(Alukset_fx!$K$49)/1000),IF(AA327="MSD",((U327*Alukset_fx!$B$24)*Alukset_Käynnit_Lask!W327*(Alukset_fx!$K$52)/1000),IF(AA327="HSD",((U327*Alukset_fx!$B$24)*Alukset_Käynnit_Lask!W327*(Alukset_fx!$K$55)/1000),0)))</f>
        <v>0</v>
      </c>
      <c r="AI327" s="207">
        <f>IF(AC327="MSD",((V327*Alukset_fx!$B$25)*Alukset_Käynnit_Lask!W327*(Alukset_fx!$L$52)/1000),IF(AC327="HSD",((V327*Alukset_fx!$B$25)*Alukset_Käynnit_Lask!W327*(Alukset_fx!$L$55)/1000),0))</f>
        <v>0</v>
      </c>
      <c r="AJ327" s="207">
        <f>X327*W327*Alukset_fx!$K$61/1000</f>
        <v>0</v>
      </c>
      <c r="AK327">
        <v>0</v>
      </c>
      <c r="AL327" s="207">
        <f>IF(AG327="Käytetty",0,IF(AC327="MSD",((V327*Alukset_fx!$O$25)*Alukset_Käynnit_Lask!O327*(Alukset_fx!$L$52)/1000),IF(AC327="HSD",((V327*Alukset_fx!$O$25)*Alukset_Käynnit_Lask!O327*(Alukset_fx!$L$55)/1000),0)))</f>
        <v>0</v>
      </c>
      <c r="AM327" s="207">
        <f>IF(AG327="Käytetty",0,Y327*O327*Alukset_fx!$K$61/1000)</f>
        <v>0</v>
      </c>
      <c r="AN327" s="213">
        <f t="shared" si="62"/>
        <v>0</v>
      </c>
    </row>
    <row r="328" spans="1:40" x14ac:dyDescent="0.25">
      <c r="A328" s="203">
        <f>Alukset_Käynnit!A335</f>
        <v>0</v>
      </c>
      <c r="B328" s="203">
        <f>Alukset_Käynnit!B335</f>
        <v>0</v>
      </c>
      <c r="C328" s="262">
        <f>Alukset_Käynnit!C335</f>
        <v>0</v>
      </c>
      <c r="D328" s="266">
        <f>Alukset_Käynnit!D335</f>
        <v>0</v>
      </c>
      <c r="E328" s="262">
        <f>Alukset_Käynnit!E335</f>
        <v>0</v>
      </c>
      <c r="F328" s="262">
        <f>Alukset_Käynnit!F335</f>
        <v>0</v>
      </c>
      <c r="G328" s="262">
        <f>Alukset_Käynnit!G335</f>
        <v>0</v>
      </c>
      <c r="H328" s="262">
        <f>Alukset_Käynnit!H335</f>
        <v>0</v>
      </c>
      <c r="I328" s="262">
        <f>Alukset_Käynnit!I335</f>
        <v>0</v>
      </c>
      <c r="J328" s="262">
        <f>Alukset_Käynnit!J335</f>
        <v>0</v>
      </c>
      <c r="K328" s="262">
        <f>Alukset_Käynnit!K335</f>
        <v>0</v>
      </c>
      <c r="L328" s="205">
        <f>Alukset_Käynnit!L335</f>
        <v>0</v>
      </c>
      <c r="N328" s="273">
        <f t="shared" si="63"/>
        <v>0</v>
      </c>
      <c r="O328" s="274">
        <f t="shared" si="64"/>
        <v>0</v>
      </c>
      <c r="Q328" s="204">
        <f t="shared" si="53"/>
        <v>0</v>
      </c>
      <c r="R328" s="202">
        <f>IF(Q328="Other dry cargo",L328*Alukset_fx!$B$71,IF(OR(Q328="Dry bulk",Q328="Bulk carrier"),L328*Alukset_fx!$B$69,IF(Q328="Tugboat",L328*Alukset_fx!$B$76,IF(OR(Q328="Tanker",Q328="Gas tanker",Q328="Chemical tanker",Q328="Oil tanker"),L328*Alukset_fx!$B$68,IF(OR(Q328="RoRo",Q328="Vehicle carrier"),L328*Alukset_fx!$B$72,IF(Q328="RoPax",L328*Alukset_fx!$B$73,IF(Q328="Container ship",L328*Alukset_fx!$B$70,IF(Q328="Barge",0,L328*Alukset_fx!$B$75))))))))</f>
        <v>0</v>
      </c>
      <c r="S328" s="210">
        <f>IF(L328=0,IF(Q328="Other dry cargo",Alukset_fx!$H$73*(Alukset_Käynnit_Lask!K328^Alukset_fx!$I$73),IF(OR(Q328="Dry Bulk",Q328="Bulk carrier"),Alukset_fx!$H$71*(Alukset_Käynnit_Lask!K328^Alukset_fx!$I$71),IF(Q328="Tugboat",Alukset_fx!$H$78*(Alukset_Käynnit_Lask!K328^Alukset_fx!$I$78),IF(OR(Q328="Tanker",Q328="Gas tanker",Q328="Chemical tanker",Q328="Oil tanker"),Alukset_fx!$H$70*(Alukset_Käynnit_Lask!K328^Alukset_fx!$I$70),IF(Q328="Container ship",Alukset_fx!$H$72*(Alukset_Käynnit_Lask!K328^Alukset_fx!$I$72),IF(Q328="Barge",0,IF(Q328="RoPax",Alukset_fx!$H$75*(Alukset_Käynnit_Lask!K328^Alukset_fx!$I$75),IF(OR(Q328="RoRo",Q328="Vehicle carrier"),Alukset_fx!$H$74*(Alukset_Käynnit_Lask!K328^Alukset_fx!$I$74),Alukset_fx!$H$77*(Alukset_Käynnit_Lask!K328^Alukset_fx!$I$77))))))))),"-")</f>
        <v>0</v>
      </c>
      <c r="T328" s="208">
        <f>IF(R328=0,IF(Q328="Other dry cargo",S328*Alukset_fx!$B$71,IF(OR(Q328="Dry bulk",Q328="Bulk carrier"),S328*Alukset_fx!$B$69,IF(Q328="Tugboat",S328*Alukset_fx!$B$76,IF(OR(Q328="Tanker",Q328="Gas tanker",Q328="Chemical tanker",Q328="Oil tanker"),S328*Alukset_fx!$B$68,IF(OR(Q328="RoRo",Q328="Vehicle carrier"),S328*Alukset_fx!$B$72,IF(Q328="RoPax",S328*Alukset_fx!$B$73,IF(Q328="Container ship",S328*Alukset_fx!$B$70,S328*Alukset_fx!$B$75))))))),"-")</f>
        <v>0</v>
      </c>
      <c r="U328" s="208">
        <f t="shared" si="54"/>
        <v>0</v>
      </c>
      <c r="V328" s="208">
        <f t="shared" si="55"/>
        <v>0</v>
      </c>
      <c r="W328" s="202">
        <f>Alukset_Käynnit!N335</f>
        <v>0</v>
      </c>
      <c r="X328" s="211">
        <f>IF(Q328="Other dry cargo", Alukset_fx!$C$52, IF(OR(Q328="Dry bulk",Q328="Bulk carrier"),Alukset_fx!$C$35,IF(OR(Q328="Tanker",Q328="Gas tanker",Q328="Oil tanker"),Alukset_fx!$C$57,IF(Q328="Chemical tanker",Alukset_fx!$C$56,IF(OR(Q328="Tugboat",Q328="Barge"),0,IF(Q328="Other vessel",Alukset_fx!$C$54,IF(Q328="Container ship",Alukset_fx!$C$37,IF(OR(Q328="RoPax",Q328="RoRo",Q328="Vehicle carrier"),Alukset_fx!$C$55,0))))))))</f>
        <v>0</v>
      </c>
      <c r="Y328" s="211">
        <f>IF(Q328="Other dry cargo", Alukset_fx!$Q$52, IF(OR(Q328="Dry bulk",Q328="Bulk carrier"),Alukset_fx!$Q$35,IF(OR(Q328="Tanker",Q328="Gas tanker",Q328="Oil tanker"),Alukset_fx!$Q$57,IF(Q328="Chemical tanker",Alukset_fx!$Q$56,IF(OR(Q328="Tugboat",Q328="Barge"),0,IF(Q328="Other vessel",Alukset_fx!$Q$54,IF(Q328="Container ship",Alukset_fx!$Q$37,IF(OR(Q328="RoPax",Q328="RoRo",Q328="Vehicle carrier"),Alukset_fx!$Q$55,0))))))))</f>
        <v>0</v>
      </c>
      <c r="Z328" t="str">
        <f t="shared" si="56"/>
        <v>MDO/MGO</v>
      </c>
      <c r="AA328" t="str">
        <f t="shared" si="57"/>
        <v>MSD</v>
      </c>
      <c r="AB328" t="str">
        <f t="shared" si="58"/>
        <v>MDO/MGO</v>
      </c>
      <c r="AC328" t="str">
        <f t="shared" si="59"/>
        <v>MSD</v>
      </c>
      <c r="AD328" t="str">
        <f t="shared" si="60"/>
        <v>MDO/MGO</v>
      </c>
      <c r="AE328" t="str">
        <f t="shared" si="61"/>
        <v>ST</v>
      </c>
      <c r="AG328">
        <f>Alukset_Käynnit!O335</f>
        <v>0</v>
      </c>
      <c r="AH328" s="207">
        <f>IF(AA328="SSD",((U328*Alukset_fx!$B$24)*Alukset_Käynnit_Lask!W328*(Alukset_fx!$K$49)/1000),IF(AA328="MSD",((U328*Alukset_fx!$B$24)*Alukset_Käynnit_Lask!W328*(Alukset_fx!$K$52)/1000),IF(AA328="HSD",((U328*Alukset_fx!$B$24)*Alukset_Käynnit_Lask!W328*(Alukset_fx!$K$55)/1000),0)))</f>
        <v>0</v>
      </c>
      <c r="AI328" s="207">
        <f>IF(AC328="MSD",((V328*Alukset_fx!$B$25)*Alukset_Käynnit_Lask!W328*(Alukset_fx!$L$52)/1000),IF(AC328="HSD",((V328*Alukset_fx!$B$25)*Alukset_Käynnit_Lask!W328*(Alukset_fx!$L$55)/1000),0))</f>
        <v>0</v>
      </c>
      <c r="AJ328" s="207">
        <f>X328*W328*Alukset_fx!$K$61/1000</f>
        <v>0</v>
      </c>
      <c r="AK328">
        <v>0</v>
      </c>
      <c r="AL328" s="207">
        <f>IF(AG328="Käytetty",0,IF(AC328="MSD",((V328*Alukset_fx!$O$25)*Alukset_Käynnit_Lask!O328*(Alukset_fx!$L$52)/1000),IF(AC328="HSD",((V328*Alukset_fx!$O$25)*Alukset_Käynnit_Lask!O328*(Alukset_fx!$L$55)/1000),0)))</f>
        <v>0</v>
      </c>
      <c r="AM328" s="207">
        <f>IF(AG328="Käytetty",0,Y328*O328*Alukset_fx!$K$61/1000)</f>
        <v>0</v>
      </c>
      <c r="AN328" s="213">
        <f t="shared" si="62"/>
        <v>0</v>
      </c>
    </row>
    <row r="329" spans="1:40" x14ac:dyDescent="0.25">
      <c r="A329" s="203">
        <f>Alukset_Käynnit!A336</f>
        <v>0</v>
      </c>
      <c r="B329" s="203">
        <f>Alukset_Käynnit!B336</f>
        <v>0</v>
      </c>
      <c r="C329" s="262">
        <f>Alukset_Käynnit!C336</f>
        <v>0</v>
      </c>
      <c r="D329" s="266">
        <f>Alukset_Käynnit!D336</f>
        <v>0</v>
      </c>
      <c r="E329" s="262">
        <f>Alukset_Käynnit!E336</f>
        <v>0</v>
      </c>
      <c r="F329" s="262">
        <f>Alukset_Käynnit!F336</f>
        <v>0</v>
      </c>
      <c r="G329" s="262">
        <f>Alukset_Käynnit!G336</f>
        <v>0</v>
      </c>
      <c r="H329" s="262">
        <f>Alukset_Käynnit!H336</f>
        <v>0</v>
      </c>
      <c r="I329" s="262">
        <f>Alukset_Käynnit!I336</f>
        <v>0</v>
      </c>
      <c r="J329" s="262">
        <f>Alukset_Käynnit!J336</f>
        <v>0</v>
      </c>
      <c r="K329" s="262">
        <f>Alukset_Käynnit!K336</f>
        <v>0</v>
      </c>
      <c r="L329" s="205">
        <f>Alukset_Käynnit!L336</f>
        <v>0</v>
      </c>
      <c r="N329" s="273">
        <f t="shared" si="63"/>
        <v>0</v>
      </c>
      <c r="O329" s="274">
        <f t="shared" si="64"/>
        <v>0</v>
      </c>
      <c r="Q329" s="204">
        <f t="shared" si="53"/>
        <v>0</v>
      </c>
      <c r="R329" s="202">
        <f>IF(Q329="Other dry cargo",L329*Alukset_fx!$B$71,IF(OR(Q329="Dry bulk",Q329="Bulk carrier"),L329*Alukset_fx!$B$69,IF(Q329="Tugboat",L329*Alukset_fx!$B$76,IF(OR(Q329="Tanker",Q329="Gas tanker",Q329="Chemical tanker",Q329="Oil tanker"),L329*Alukset_fx!$B$68,IF(OR(Q329="RoRo",Q329="Vehicle carrier"),L329*Alukset_fx!$B$72,IF(Q329="RoPax",L329*Alukset_fx!$B$73,IF(Q329="Container ship",L329*Alukset_fx!$B$70,IF(Q329="Barge",0,L329*Alukset_fx!$B$75))))))))</f>
        <v>0</v>
      </c>
      <c r="S329" s="210">
        <f>IF(L329=0,IF(Q329="Other dry cargo",Alukset_fx!$H$73*(Alukset_Käynnit_Lask!K329^Alukset_fx!$I$73),IF(OR(Q329="Dry Bulk",Q329="Bulk carrier"),Alukset_fx!$H$71*(Alukset_Käynnit_Lask!K329^Alukset_fx!$I$71),IF(Q329="Tugboat",Alukset_fx!$H$78*(Alukset_Käynnit_Lask!K329^Alukset_fx!$I$78),IF(OR(Q329="Tanker",Q329="Gas tanker",Q329="Chemical tanker",Q329="Oil tanker"),Alukset_fx!$H$70*(Alukset_Käynnit_Lask!K329^Alukset_fx!$I$70),IF(Q329="Container ship",Alukset_fx!$H$72*(Alukset_Käynnit_Lask!K329^Alukset_fx!$I$72),IF(Q329="Barge",0,IF(Q329="RoPax",Alukset_fx!$H$75*(Alukset_Käynnit_Lask!K329^Alukset_fx!$I$75),IF(OR(Q329="RoRo",Q329="Vehicle carrier"),Alukset_fx!$H$74*(Alukset_Käynnit_Lask!K329^Alukset_fx!$I$74),Alukset_fx!$H$77*(Alukset_Käynnit_Lask!K329^Alukset_fx!$I$77))))))))),"-")</f>
        <v>0</v>
      </c>
      <c r="T329" s="208">
        <f>IF(R329=0,IF(Q329="Other dry cargo",S329*Alukset_fx!$B$71,IF(OR(Q329="Dry bulk",Q329="Bulk carrier"),S329*Alukset_fx!$B$69,IF(Q329="Tugboat",S329*Alukset_fx!$B$76,IF(OR(Q329="Tanker",Q329="Gas tanker",Q329="Chemical tanker",Q329="Oil tanker"),S329*Alukset_fx!$B$68,IF(OR(Q329="RoRo",Q329="Vehicle carrier"),S329*Alukset_fx!$B$72,IF(Q329="RoPax",S329*Alukset_fx!$B$73,IF(Q329="Container ship",S329*Alukset_fx!$B$70,S329*Alukset_fx!$B$75))))))),"-")</f>
        <v>0</v>
      </c>
      <c r="U329" s="208">
        <f t="shared" si="54"/>
        <v>0</v>
      </c>
      <c r="V329" s="208">
        <f t="shared" si="55"/>
        <v>0</v>
      </c>
      <c r="W329" s="202">
        <f>Alukset_Käynnit!N336</f>
        <v>0</v>
      </c>
      <c r="X329" s="211">
        <f>IF(Q329="Other dry cargo", Alukset_fx!$C$52, IF(OR(Q329="Dry bulk",Q329="Bulk carrier"),Alukset_fx!$C$35,IF(OR(Q329="Tanker",Q329="Gas tanker",Q329="Oil tanker"),Alukset_fx!$C$57,IF(Q329="Chemical tanker",Alukset_fx!$C$56,IF(OR(Q329="Tugboat",Q329="Barge"),0,IF(Q329="Other vessel",Alukset_fx!$C$54,IF(Q329="Container ship",Alukset_fx!$C$37,IF(OR(Q329="RoPax",Q329="RoRo",Q329="Vehicle carrier"),Alukset_fx!$C$55,0))))))))</f>
        <v>0</v>
      </c>
      <c r="Y329" s="211">
        <f>IF(Q329="Other dry cargo", Alukset_fx!$Q$52, IF(OR(Q329="Dry bulk",Q329="Bulk carrier"),Alukset_fx!$Q$35,IF(OR(Q329="Tanker",Q329="Gas tanker",Q329="Oil tanker"),Alukset_fx!$Q$57,IF(Q329="Chemical tanker",Alukset_fx!$Q$56,IF(OR(Q329="Tugboat",Q329="Barge"),0,IF(Q329="Other vessel",Alukset_fx!$Q$54,IF(Q329="Container ship",Alukset_fx!$Q$37,IF(OR(Q329="RoPax",Q329="RoRo",Q329="Vehicle carrier"),Alukset_fx!$Q$55,0))))))))</f>
        <v>0</v>
      </c>
      <c r="Z329" t="str">
        <f t="shared" si="56"/>
        <v>MDO/MGO</v>
      </c>
      <c r="AA329" t="str">
        <f t="shared" si="57"/>
        <v>MSD</v>
      </c>
      <c r="AB329" t="str">
        <f t="shared" si="58"/>
        <v>MDO/MGO</v>
      </c>
      <c r="AC329" t="str">
        <f t="shared" si="59"/>
        <v>MSD</v>
      </c>
      <c r="AD329" t="str">
        <f t="shared" si="60"/>
        <v>MDO/MGO</v>
      </c>
      <c r="AE329" t="str">
        <f t="shared" si="61"/>
        <v>ST</v>
      </c>
      <c r="AG329">
        <f>Alukset_Käynnit!O336</f>
        <v>0</v>
      </c>
      <c r="AH329" s="207">
        <f>IF(AA329="SSD",((U329*Alukset_fx!$B$24)*Alukset_Käynnit_Lask!W329*(Alukset_fx!$K$49)/1000),IF(AA329="MSD",((U329*Alukset_fx!$B$24)*Alukset_Käynnit_Lask!W329*(Alukset_fx!$K$52)/1000),IF(AA329="HSD",((U329*Alukset_fx!$B$24)*Alukset_Käynnit_Lask!W329*(Alukset_fx!$K$55)/1000),0)))</f>
        <v>0</v>
      </c>
      <c r="AI329" s="207">
        <f>IF(AC329="MSD",((V329*Alukset_fx!$B$25)*Alukset_Käynnit_Lask!W329*(Alukset_fx!$L$52)/1000),IF(AC329="HSD",((V329*Alukset_fx!$B$25)*Alukset_Käynnit_Lask!W329*(Alukset_fx!$L$55)/1000),0))</f>
        <v>0</v>
      </c>
      <c r="AJ329" s="207">
        <f>X329*W329*Alukset_fx!$K$61/1000</f>
        <v>0</v>
      </c>
      <c r="AK329">
        <v>0</v>
      </c>
      <c r="AL329" s="207">
        <f>IF(AG329="Käytetty",0,IF(AC329="MSD",((V329*Alukset_fx!$O$25)*Alukset_Käynnit_Lask!O329*(Alukset_fx!$L$52)/1000),IF(AC329="HSD",((V329*Alukset_fx!$O$25)*Alukset_Käynnit_Lask!O329*(Alukset_fx!$L$55)/1000),0)))</f>
        <v>0</v>
      </c>
      <c r="AM329" s="207">
        <f>IF(AG329="Käytetty",0,Y329*O329*Alukset_fx!$K$61/1000)</f>
        <v>0</v>
      </c>
      <c r="AN329" s="213">
        <f t="shared" si="62"/>
        <v>0</v>
      </c>
    </row>
    <row r="330" spans="1:40" x14ac:dyDescent="0.25">
      <c r="A330" s="203">
        <f>Alukset_Käynnit!A337</f>
        <v>0</v>
      </c>
      <c r="B330" s="203">
        <f>Alukset_Käynnit!B337</f>
        <v>0</v>
      </c>
      <c r="C330" s="262">
        <f>Alukset_Käynnit!C337</f>
        <v>0</v>
      </c>
      <c r="D330" s="266">
        <f>Alukset_Käynnit!D337</f>
        <v>0</v>
      </c>
      <c r="E330" s="262">
        <f>Alukset_Käynnit!E337</f>
        <v>0</v>
      </c>
      <c r="F330" s="262">
        <f>Alukset_Käynnit!F337</f>
        <v>0</v>
      </c>
      <c r="G330" s="262">
        <f>Alukset_Käynnit!G337</f>
        <v>0</v>
      </c>
      <c r="H330" s="262">
        <f>Alukset_Käynnit!H337</f>
        <v>0</v>
      </c>
      <c r="I330" s="262">
        <f>Alukset_Käynnit!I337</f>
        <v>0</v>
      </c>
      <c r="J330" s="262">
        <f>Alukset_Käynnit!J337</f>
        <v>0</v>
      </c>
      <c r="K330" s="262">
        <f>Alukset_Käynnit!K337</f>
        <v>0</v>
      </c>
      <c r="L330" s="205">
        <f>Alukset_Käynnit!L337</f>
        <v>0</v>
      </c>
      <c r="N330" s="273">
        <f t="shared" si="63"/>
        <v>0</v>
      </c>
      <c r="O330" s="274">
        <f t="shared" si="64"/>
        <v>0</v>
      </c>
      <c r="Q330" s="204">
        <f t="shared" si="53"/>
        <v>0</v>
      </c>
      <c r="R330" s="202">
        <f>IF(Q330="Other dry cargo",L330*Alukset_fx!$B$71,IF(OR(Q330="Dry bulk",Q330="Bulk carrier"),L330*Alukset_fx!$B$69,IF(Q330="Tugboat",L330*Alukset_fx!$B$76,IF(OR(Q330="Tanker",Q330="Gas tanker",Q330="Chemical tanker",Q330="Oil tanker"),L330*Alukset_fx!$B$68,IF(OR(Q330="RoRo",Q330="Vehicle carrier"),L330*Alukset_fx!$B$72,IF(Q330="RoPax",L330*Alukset_fx!$B$73,IF(Q330="Container ship",L330*Alukset_fx!$B$70,IF(Q330="Barge",0,L330*Alukset_fx!$B$75))))))))</f>
        <v>0</v>
      </c>
      <c r="S330" s="210">
        <f>IF(L330=0,IF(Q330="Other dry cargo",Alukset_fx!$H$73*(Alukset_Käynnit_Lask!K330^Alukset_fx!$I$73),IF(OR(Q330="Dry Bulk",Q330="Bulk carrier"),Alukset_fx!$H$71*(Alukset_Käynnit_Lask!K330^Alukset_fx!$I$71),IF(Q330="Tugboat",Alukset_fx!$H$78*(Alukset_Käynnit_Lask!K330^Alukset_fx!$I$78),IF(OR(Q330="Tanker",Q330="Gas tanker",Q330="Chemical tanker",Q330="Oil tanker"),Alukset_fx!$H$70*(Alukset_Käynnit_Lask!K330^Alukset_fx!$I$70),IF(Q330="Container ship",Alukset_fx!$H$72*(Alukset_Käynnit_Lask!K330^Alukset_fx!$I$72),IF(Q330="Barge",0,IF(Q330="RoPax",Alukset_fx!$H$75*(Alukset_Käynnit_Lask!K330^Alukset_fx!$I$75),IF(OR(Q330="RoRo",Q330="Vehicle carrier"),Alukset_fx!$H$74*(Alukset_Käynnit_Lask!K330^Alukset_fx!$I$74),Alukset_fx!$H$77*(Alukset_Käynnit_Lask!K330^Alukset_fx!$I$77))))))))),"-")</f>
        <v>0</v>
      </c>
      <c r="T330" s="208">
        <f>IF(R330=0,IF(Q330="Other dry cargo",S330*Alukset_fx!$B$71,IF(OR(Q330="Dry bulk",Q330="Bulk carrier"),S330*Alukset_fx!$B$69,IF(Q330="Tugboat",S330*Alukset_fx!$B$76,IF(OR(Q330="Tanker",Q330="Gas tanker",Q330="Chemical tanker",Q330="Oil tanker"),S330*Alukset_fx!$B$68,IF(OR(Q330="RoRo",Q330="Vehicle carrier"),S330*Alukset_fx!$B$72,IF(Q330="RoPax",S330*Alukset_fx!$B$73,IF(Q330="Container ship",S330*Alukset_fx!$B$70,S330*Alukset_fx!$B$75))))))),"-")</f>
        <v>0</v>
      </c>
      <c r="U330" s="208">
        <f t="shared" si="54"/>
        <v>0</v>
      </c>
      <c r="V330" s="208">
        <f t="shared" si="55"/>
        <v>0</v>
      </c>
      <c r="W330" s="202">
        <f>Alukset_Käynnit!N337</f>
        <v>0</v>
      </c>
      <c r="X330" s="211">
        <f>IF(Q330="Other dry cargo", Alukset_fx!$C$52, IF(OR(Q330="Dry bulk",Q330="Bulk carrier"),Alukset_fx!$C$35,IF(OR(Q330="Tanker",Q330="Gas tanker",Q330="Oil tanker"),Alukset_fx!$C$57,IF(Q330="Chemical tanker",Alukset_fx!$C$56,IF(OR(Q330="Tugboat",Q330="Barge"),0,IF(Q330="Other vessel",Alukset_fx!$C$54,IF(Q330="Container ship",Alukset_fx!$C$37,IF(OR(Q330="RoPax",Q330="RoRo",Q330="Vehicle carrier"),Alukset_fx!$C$55,0))))))))</f>
        <v>0</v>
      </c>
      <c r="Y330" s="211">
        <f>IF(Q330="Other dry cargo", Alukset_fx!$Q$52, IF(OR(Q330="Dry bulk",Q330="Bulk carrier"),Alukset_fx!$Q$35,IF(OR(Q330="Tanker",Q330="Gas tanker",Q330="Oil tanker"),Alukset_fx!$Q$57,IF(Q330="Chemical tanker",Alukset_fx!$Q$56,IF(OR(Q330="Tugboat",Q330="Barge"),0,IF(Q330="Other vessel",Alukset_fx!$Q$54,IF(Q330="Container ship",Alukset_fx!$Q$37,IF(OR(Q330="RoPax",Q330="RoRo",Q330="Vehicle carrier"),Alukset_fx!$Q$55,0))))))))</f>
        <v>0</v>
      </c>
      <c r="Z330" t="str">
        <f t="shared" si="56"/>
        <v>MDO/MGO</v>
      </c>
      <c r="AA330" t="str">
        <f t="shared" si="57"/>
        <v>MSD</v>
      </c>
      <c r="AB330" t="str">
        <f t="shared" si="58"/>
        <v>MDO/MGO</v>
      </c>
      <c r="AC330" t="str">
        <f t="shared" si="59"/>
        <v>MSD</v>
      </c>
      <c r="AD330" t="str">
        <f t="shared" si="60"/>
        <v>MDO/MGO</v>
      </c>
      <c r="AE330" t="str">
        <f t="shared" si="61"/>
        <v>ST</v>
      </c>
      <c r="AG330">
        <f>Alukset_Käynnit!O337</f>
        <v>0</v>
      </c>
      <c r="AH330" s="207">
        <f>IF(AA330="SSD",((U330*Alukset_fx!$B$24)*Alukset_Käynnit_Lask!W330*(Alukset_fx!$K$49)/1000),IF(AA330="MSD",((U330*Alukset_fx!$B$24)*Alukset_Käynnit_Lask!W330*(Alukset_fx!$K$52)/1000),IF(AA330="HSD",((U330*Alukset_fx!$B$24)*Alukset_Käynnit_Lask!W330*(Alukset_fx!$K$55)/1000),0)))</f>
        <v>0</v>
      </c>
      <c r="AI330" s="207">
        <f>IF(AC330="MSD",((V330*Alukset_fx!$B$25)*Alukset_Käynnit_Lask!W330*(Alukset_fx!$L$52)/1000),IF(AC330="HSD",((V330*Alukset_fx!$B$25)*Alukset_Käynnit_Lask!W330*(Alukset_fx!$L$55)/1000),0))</f>
        <v>0</v>
      </c>
      <c r="AJ330" s="207">
        <f>X330*W330*Alukset_fx!$K$61/1000</f>
        <v>0</v>
      </c>
      <c r="AK330">
        <v>0</v>
      </c>
      <c r="AL330" s="207">
        <f>IF(AG330="Käytetty",0,IF(AC330="MSD",((V330*Alukset_fx!$O$25)*Alukset_Käynnit_Lask!O330*(Alukset_fx!$L$52)/1000),IF(AC330="HSD",((V330*Alukset_fx!$O$25)*Alukset_Käynnit_Lask!O330*(Alukset_fx!$L$55)/1000),0)))</f>
        <v>0</v>
      </c>
      <c r="AM330" s="207">
        <f>IF(AG330="Käytetty",0,Y330*O330*Alukset_fx!$K$61/1000)</f>
        <v>0</v>
      </c>
      <c r="AN330" s="213">
        <f t="shared" si="62"/>
        <v>0</v>
      </c>
    </row>
    <row r="331" spans="1:40" x14ac:dyDescent="0.25">
      <c r="A331" s="203">
        <f>Alukset_Käynnit!A338</f>
        <v>0</v>
      </c>
      <c r="B331" s="203">
        <f>Alukset_Käynnit!B338</f>
        <v>0</v>
      </c>
      <c r="C331" s="262">
        <f>Alukset_Käynnit!C338</f>
        <v>0</v>
      </c>
      <c r="D331" s="266">
        <f>Alukset_Käynnit!D338</f>
        <v>0</v>
      </c>
      <c r="E331" s="262">
        <f>Alukset_Käynnit!E338</f>
        <v>0</v>
      </c>
      <c r="F331" s="262">
        <f>Alukset_Käynnit!F338</f>
        <v>0</v>
      </c>
      <c r="G331" s="262">
        <f>Alukset_Käynnit!G338</f>
        <v>0</v>
      </c>
      <c r="H331" s="262">
        <f>Alukset_Käynnit!H338</f>
        <v>0</v>
      </c>
      <c r="I331" s="262">
        <f>Alukset_Käynnit!I338</f>
        <v>0</v>
      </c>
      <c r="J331" s="262">
        <f>Alukset_Käynnit!J338</f>
        <v>0</v>
      </c>
      <c r="K331" s="262">
        <f>Alukset_Käynnit!K338</f>
        <v>0</v>
      </c>
      <c r="L331" s="205">
        <f>Alukset_Käynnit!L338</f>
        <v>0</v>
      </c>
      <c r="N331" s="273">
        <f t="shared" si="63"/>
        <v>0</v>
      </c>
      <c r="O331" s="274">
        <f t="shared" si="64"/>
        <v>0</v>
      </c>
      <c r="Q331" s="204">
        <f t="shared" si="53"/>
        <v>0</v>
      </c>
      <c r="R331" s="202">
        <f>IF(Q331="Other dry cargo",L331*Alukset_fx!$B$71,IF(OR(Q331="Dry bulk",Q331="Bulk carrier"),L331*Alukset_fx!$B$69,IF(Q331="Tugboat",L331*Alukset_fx!$B$76,IF(OR(Q331="Tanker",Q331="Gas tanker",Q331="Chemical tanker",Q331="Oil tanker"),L331*Alukset_fx!$B$68,IF(OR(Q331="RoRo",Q331="Vehicle carrier"),L331*Alukset_fx!$B$72,IF(Q331="RoPax",L331*Alukset_fx!$B$73,IF(Q331="Container ship",L331*Alukset_fx!$B$70,IF(Q331="Barge",0,L331*Alukset_fx!$B$75))))))))</f>
        <v>0</v>
      </c>
      <c r="S331" s="210">
        <f>IF(L331=0,IF(Q331="Other dry cargo",Alukset_fx!$H$73*(Alukset_Käynnit_Lask!K331^Alukset_fx!$I$73),IF(OR(Q331="Dry Bulk",Q331="Bulk carrier"),Alukset_fx!$H$71*(Alukset_Käynnit_Lask!K331^Alukset_fx!$I$71),IF(Q331="Tugboat",Alukset_fx!$H$78*(Alukset_Käynnit_Lask!K331^Alukset_fx!$I$78),IF(OR(Q331="Tanker",Q331="Gas tanker",Q331="Chemical tanker",Q331="Oil tanker"),Alukset_fx!$H$70*(Alukset_Käynnit_Lask!K331^Alukset_fx!$I$70),IF(Q331="Container ship",Alukset_fx!$H$72*(Alukset_Käynnit_Lask!K331^Alukset_fx!$I$72),IF(Q331="Barge",0,IF(Q331="RoPax",Alukset_fx!$H$75*(Alukset_Käynnit_Lask!K331^Alukset_fx!$I$75),IF(OR(Q331="RoRo",Q331="Vehicle carrier"),Alukset_fx!$H$74*(Alukset_Käynnit_Lask!K331^Alukset_fx!$I$74),Alukset_fx!$H$77*(Alukset_Käynnit_Lask!K331^Alukset_fx!$I$77))))))))),"-")</f>
        <v>0</v>
      </c>
      <c r="T331" s="208">
        <f>IF(R331=0,IF(Q331="Other dry cargo",S331*Alukset_fx!$B$71,IF(OR(Q331="Dry bulk",Q331="Bulk carrier"),S331*Alukset_fx!$B$69,IF(Q331="Tugboat",S331*Alukset_fx!$B$76,IF(OR(Q331="Tanker",Q331="Gas tanker",Q331="Chemical tanker",Q331="Oil tanker"),S331*Alukset_fx!$B$68,IF(OR(Q331="RoRo",Q331="Vehicle carrier"),S331*Alukset_fx!$B$72,IF(Q331="RoPax",S331*Alukset_fx!$B$73,IF(Q331="Container ship",S331*Alukset_fx!$B$70,S331*Alukset_fx!$B$75))))))),"-")</f>
        <v>0</v>
      </c>
      <c r="U331" s="208">
        <f t="shared" si="54"/>
        <v>0</v>
      </c>
      <c r="V331" s="208">
        <f t="shared" si="55"/>
        <v>0</v>
      </c>
      <c r="W331" s="202">
        <f>Alukset_Käynnit!N338</f>
        <v>0</v>
      </c>
      <c r="X331" s="211">
        <f>IF(Q331="Other dry cargo", Alukset_fx!$C$52, IF(OR(Q331="Dry bulk",Q331="Bulk carrier"),Alukset_fx!$C$35,IF(OR(Q331="Tanker",Q331="Gas tanker",Q331="Oil tanker"),Alukset_fx!$C$57,IF(Q331="Chemical tanker",Alukset_fx!$C$56,IF(OR(Q331="Tugboat",Q331="Barge"),0,IF(Q331="Other vessel",Alukset_fx!$C$54,IF(Q331="Container ship",Alukset_fx!$C$37,IF(OR(Q331="RoPax",Q331="RoRo",Q331="Vehicle carrier"),Alukset_fx!$C$55,0))))))))</f>
        <v>0</v>
      </c>
      <c r="Y331" s="211">
        <f>IF(Q331="Other dry cargo", Alukset_fx!$Q$52, IF(OR(Q331="Dry bulk",Q331="Bulk carrier"),Alukset_fx!$Q$35,IF(OR(Q331="Tanker",Q331="Gas tanker",Q331="Oil tanker"),Alukset_fx!$Q$57,IF(Q331="Chemical tanker",Alukset_fx!$Q$56,IF(OR(Q331="Tugboat",Q331="Barge"),0,IF(Q331="Other vessel",Alukset_fx!$Q$54,IF(Q331="Container ship",Alukset_fx!$Q$37,IF(OR(Q331="RoPax",Q331="RoRo",Q331="Vehicle carrier"),Alukset_fx!$Q$55,0))))))))</f>
        <v>0</v>
      </c>
      <c r="Z331" t="str">
        <f t="shared" si="56"/>
        <v>MDO/MGO</v>
      </c>
      <c r="AA331" t="str">
        <f t="shared" si="57"/>
        <v>MSD</v>
      </c>
      <c r="AB331" t="str">
        <f t="shared" si="58"/>
        <v>MDO/MGO</v>
      </c>
      <c r="AC331" t="str">
        <f t="shared" si="59"/>
        <v>MSD</v>
      </c>
      <c r="AD331" t="str">
        <f t="shared" si="60"/>
        <v>MDO/MGO</v>
      </c>
      <c r="AE331" t="str">
        <f t="shared" si="61"/>
        <v>ST</v>
      </c>
      <c r="AG331">
        <f>Alukset_Käynnit!O338</f>
        <v>0</v>
      </c>
      <c r="AH331" s="207">
        <f>IF(AA331="SSD",((U331*Alukset_fx!$B$24)*Alukset_Käynnit_Lask!W331*(Alukset_fx!$K$49)/1000),IF(AA331="MSD",((U331*Alukset_fx!$B$24)*Alukset_Käynnit_Lask!W331*(Alukset_fx!$K$52)/1000),IF(AA331="HSD",((U331*Alukset_fx!$B$24)*Alukset_Käynnit_Lask!W331*(Alukset_fx!$K$55)/1000),0)))</f>
        <v>0</v>
      </c>
      <c r="AI331" s="207">
        <f>IF(AC331="MSD",((V331*Alukset_fx!$B$25)*Alukset_Käynnit_Lask!W331*(Alukset_fx!$L$52)/1000),IF(AC331="HSD",((V331*Alukset_fx!$B$25)*Alukset_Käynnit_Lask!W331*(Alukset_fx!$L$55)/1000),0))</f>
        <v>0</v>
      </c>
      <c r="AJ331" s="207">
        <f>X331*W331*Alukset_fx!$K$61/1000</f>
        <v>0</v>
      </c>
      <c r="AK331">
        <v>0</v>
      </c>
      <c r="AL331" s="207">
        <f>IF(AG331="Käytetty",0,IF(AC331="MSD",((V331*Alukset_fx!$O$25)*Alukset_Käynnit_Lask!O331*(Alukset_fx!$L$52)/1000),IF(AC331="HSD",((V331*Alukset_fx!$O$25)*Alukset_Käynnit_Lask!O331*(Alukset_fx!$L$55)/1000),0)))</f>
        <v>0</v>
      </c>
      <c r="AM331" s="207">
        <f>IF(AG331="Käytetty",0,Y331*O331*Alukset_fx!$K$61/1000)</f>
        <v>0</v>
      </c>
      <c r="AN331" s="213">
        <f t="shared" si="62"/>
        <v>0</v>
      </c>
    </row>
    <row r="332" spans="1:40" x14ac:dyDescent="0.25">
      <c r="A332" s="203">
        <f>Alukset_Käynnit!A339</f>
        <v>0</v>
      </c>
      <c r="B332" s="203">
        <f>Alukset_Käynnit!B339</f>
        <v>0</v>
      </c>
      <c r="C332" s="262">
        <f>Alukset_Käynnit!C339</f>
        <v>0</v>
      </c>
      <c r="D332" s="266">
        <f>Alukset_Käynnit!D339</f>
        <v>0</v>
      </c>
      <c r="E332" s="262">
        <f>Alukset_Käynnit!E339</f>
        <v>0</v>
      </c>
      <c r="F332" s="262">
        <f>Alukset_Käynnit!F339</f>
        <v>0</v>
      </c>
      <c r="G332" s="262">
        <f>Alukset_Käynnit!G339</f>
        <v>0</v>
      </c>
      <c r="H332" s="262">
        <f>Alukset_Käynnit!H339</f>
        <v>0</v>
      </c>
      <c r="I332" s="262">
        <f>Alukset_Käynnit!I339</f>
        <v>0</v>
      </c>
      <c r="J332" s="262">
        <f>Alukset_Käynnit!J339</f>
        <v>0</v>
      </c>
      <c r="K332" s="262">
        <f>Alukset_Käynnit!K339</f>
        <v>0</v>
      </c>
      <c r="L332" s="205">
        <f>Alukset_Käynnit!L339</f>
        <v>0</v>
      </c>
      <c r="N332" s="273">
        <f t="shared" si="63"/>
        <v>0</v>
      </c>
      <c r="O332" s="274">
        <f t="shared" si="64"/>
        <v>0</v>
      </c>
      <c r="Q332" s="204">
        <f t="shared" si="53"/>
        <v>0</v>
      </c>
      <c r="R332" s="202">
        <f>IF(Q332="Other dry cargo",L332*Alukset_fx!$B$71,IF(OR(Q332="Dry bulk",Q332="Bulk carrier"),L332*Alukset_fx!$B$69,IF(Q332="Tugboat",L332*Alukset_fx!$B$76,IF(OR(Q332="Tanker",Q332="Gas tanker",Q332="Chemical tanker",Q332="Oil tanker"),L332*Alukset_fx!$B$68,IF(OR(Q332="RoRo",Q332="Vehicle carrier"),L332*Alukset_fx!$B$72,IF(Q332="RoPax",L332*Alukset_fx!$B$73,IF(Q332="Container ship",L332*Alukset_fx!$B$70,IF(Q332="Barge",0,L332*Alukset_fx!$B$75))))))))</f>
        <v>0</v>
      </c>
      <c r="S332" s="210">
        <f>IF(L332=0,IF(Q332="Other dry cargo",Alukset_fx!$H$73*(Alukset_Käynnit_Lask!K332^Alukset_fx!$I$73),IF(OR(Q332="Dry Bulk",Q332="Bulk carrier"),Alukset_fx!$H$71*(Alukset_Käynnit_Lask!K332^Alukset_fx!$I$71),IF(Q332="Tugboat",Alukset_fx!$H$78*(Alukset_Käynnit_Lask!K332^Alukset_fx!$I$78),IF(OR(Q332="Tanker",Q332="Gas tanker",Q332="Chemical tanker",Q332="Oil tanker"),Alukset_fx!$H$70*(Alukset_Käynnit_Lask!K332^Alukset_fx!$I$70),IF(Q332="Container ship",Alukset_fx!$H$72*(Alukset_Käynnit_Lask!K332^Alukset_fx!$I$72),IF(Q332="Barge",0,IF(Q332="RoPax",Alukset_fx!$H$75*(Alukset_Käynnit_Lask!K332^Alukset_fx!$I$75),IF(OR(Q332="RoRo",Q332="Vehicle carrier"),Alukset_fx!$H$74*(Alukset_Käynnit_Lask!K332^Alukset_fx!$I$74),Alukset_fx!$H$77*(Alukset_Käynnit_Lask!K332^Alukset_fx!$I$77))))))))),"-")</f>
        <v>0</v>
      </c>
      <c r="T332" s="208">
        <f>IF(R332=0,IF(Q332="Other dry cargo",S332*Alukset_fx!$B$71,IF(OR(Q332="Dry bulk",Q332="Bulk carrier"),S332*Alukset_fx!$B$69,IF(Q332="Tugboat",S332*Alukset_fx!$B$76,IF(OR(Q332="Tanker",Q332="Gas tanker",Q332="Chemical tanker",Q332="Oil tanker"),S332*Alukset_fx!$B$68,IF(OR(Q332="RoRo",Q332="Vehicle carrier"),S332*Alukset_fx!$B$72,IF(Q332="RoPax",S332*Alukset_fx!$B$73,IF(Q332="Container ship",S332*Alukset_fx!$B$70,S332*Alukset_fx!$B$75))))))),"-")</f>
        <v>0</v>
      </c>
      <c r="U332" s="208">
        <f t="shared" si="54"/>
        <v>0</v>
      </c>
      <c r="V332" s="208">
        <f t="shared" si="55"/>
        <v>0</v>
      </c>
      <c r="W332" s="202">
        <f>Alukset_Käynnit!N339</f>
        <v>0</v>
      </c>
      <c r="X332" s="211">
        <f>IF(Q332="Other dry cargo", Alukset_fx!$C$52, IF(OR(Q332="Dry bulk",Q332="Bulk carrier"),Alukset_fx!$C$35,IF(OR(Q332="Tanker",Q332="Gas tanker",Q332="Oil tanker"),Alukset_fx!$C$57,IF(Q332="Chemical tanker",Alukset_fx!$C$56,IF(OR(Q332="Tugboat",Q332="Barge"),0,IF(Q332="Other vessel",Alukset_fx!$C$54,IF(Q332="Container ship",Alukset_fx!$C$37,IF(OR(Q332="RoPax",Q332="RoRo",Q332="Vehicle carrier"),Alukset_fx!$C$55,0))))))))</f>
        <v>0</v>
      </c>
      <c r="Y332" s="211">
        <f>IF(Q332="Other dry cargo", Alukset_fx!$Q$52, IF(OR(Q332="Dry bulk",Q332="Bulk carrier"),Alukset_fx!$Q$35,IF(OR(Q332="Tanker",Q332="Gas tanker",Q332="Oil tanker"),Alukset_fx!$Q$57,IF(Q332="Chemical tanker",Alukset_fx!$Q$56,IF(OR(Q332="Tugboat",Q332="Barge"),0,IF(Q332="Other vessel",Alukset_fx!$Q$54,IF(Q332="Container ship",Alukset_fx!$Q$37,IF(OR(Q332="RoPax",Q332="RoRo",Q332="Vehicle carrier"),Alukset_fx!$Q$55,0))))))))</f>
        <v>0</v>
      </c>
      <c r="Z332" t="str">
        <f t="shared" si="56"/>
        <v>MDO/MGO</v>
      </c>
      <c r="AA332" t="str">
        <f t="shared" si="57"/>
        <v>MSD</v>
      </c>
      <c r="AB332" t="str">
        <f t="shared" si="58"/>
        <v>MDO/MGO</v>
      </c>
      <c r="AC332" t="str">
        <f t="shared" si="59"/>
        <v>MSD</v>
      </c>
      <c r="AD332" t="str">
        <f t="shared" si="60"/>
        <v>MDO/MGO</v>
      </c>
      <c r="AE332" t="str">
        <f t="shared" si="61"/>
        <v>ST</v>
      </c>
      <c r="AG332">
        <f>Alukset_Käynnit!O339</f>
        <v>0</v>
      </c>
      <c r="AH332" s="207">
        <f>IF(AA332="SSD",((U332*Alukset_fx!$B$24)*Alukset_Käynnit_Lask!W332*(Alukset_fx!$K$49)/1000),IF(AA332="MSD",((U332*Alukset_fx!$B$24)*Alukset_Käynnit_Lask!W332*(Alukset_fx!$K$52)/1000),IF(AA332="HSD",((U332*Alukset_fx!$B$24)*Alukset_Käynnit_Lask!W332*(Alukset_fx!$K$55)/1000),0)))</f>
        <v>0</v>
      </c>
      <c r="AI332" s="207">
        <f>IF(AC332="MSD",((V332*Alukset_fx!$B$25)*Alukset_Käynnit_Lask!W332*(Alukset_fx!$L$52)/1000),IF(AC332="HSD",((V332*Alukset_fx!$B$25)*Alukset_Käynnit_Lask!W332*(Alukset_fx!$L$55)/1000),0))</f>
        <v>0</v>
      </c>
      <c r="AJ332" s="207">
        <f>X332*W332*Alukset_fx!$K$61/1000</f>
        <v>0</v>
      </c>
      <c r="AK332">
        <v>0</v>
      </c>
      <c r="AL332" s="207">
        <f>IF(AG332="Käytetty",0,IF(AC332="MSD",((V332*Alukset_fx!$O$25)*Alukset_Käynnit_Lask!O332*(Alukset_fx!$L$52)/1000),IF(AC332="HSD",((V332*Alukset_fx!$O$25)*Alukset_Käynnit_Lask!O332*(Alukset_fx!$L$55)/1000),0)))</f>
        <v>0</v>
      </c>
      <c r="AM332" s="207">
        <f>IF(AG332="Käytetty",0,Y332*O332*Alukset_fx!$K$61/1000)</f>
        <v>0</v>
      </c>
      <c r="AN332" s="213">
        <f t="shared" si="62"/>
        <v>0</v>
      </c>
    </row>
    <row r="333" spans="1:40" x14ac:dyDescent="0.25">
      <c r="A333" s="203">
        <f>Alukset_Käynnit!A340</f>
        <v>0</v>
      </c>
      <c r="B333" s="203">
        <f>Alukset_Käynnit!B340</f>
        <v>0</v>
      </c>
      <c r="C333" s="262">
        <f>Alukset_Käynnit!C340</f>
        <v>0</v>
      </c>
      <c r="D333" s="266">
        <f>Alukset_Käynnit!D340</f>
        <v>0</v>
      </c>
      <c r="E333" s="262">
        <f>Alukset_Käynnit!E340</f>
        <v>0</v>
      </c>
      <c r="F333" s="262">
        <f>Alukset_Käynnit!F340</f>
        <v>0</v>
      </c>
      <c r="G333" s="262">
        <f>Alukset_Käynnit!G340</f>
        <v>0</v>
      </c>
      <c r="H333" s="262">
        <f>Alukset_Käynnit!H340</f>
        <v>0</v>
      </c>
      <c r="I333" s="262">
        <f>Alukset_Käynnit!I340</f>
        <v>0</v>
      </c>
      <c r="J333" s="262">
        <f>Alukset_Käynnit!J340</f>
        <v>0</v>
      </c>
      <c r="K333" s="262">
        <f>Alukset_Käynnit!K340</f>
        <v>0</v>
      </c>
      <c r="L333" s="205">
        <f>Alukset_Käynnit!L340</f>
        <v>0</v>
      </c>
      <c r="N333" s="273">
        <f t="shared" si="63"/>
        <v>0</v>
      </c>
      <c r="O333" s="274">
        <f t="shared" si="64"/>
        <v>0</v>
      </c>
      <c r="Q333" s="204">
        <f t="shared" si="53"/>
        <v>0</v>
      </c>
      <c r="R333" s="202">
        <f>IF(Q333="Other dry cargo",L333*Alukset_fx!$B$71,IF(OR(Q333="Dry bulk",Q333="Bulk carrier"),L333*Alukset_fx!$B$69,IF(Q333="Tugboat",L333*Alukset_fx!$B$76,IF(OR(Q333="Tanker",Q333="Gas tanker",Q333="Chemical tanker",Q333="Oil tanker"),L333*Alukset_fx!$B$68,IF(OR(Q333="RoRo",Q333="Vehicle carrier"),L333*Alukset_fx!$B$72,IF(Q333="RoPax",L333*Alukset_fx!$B$73,IF(Q333="Container ship",L333*Alukset_fx!$B$70,IF(Q333="Barge",0,L333*Alukset_fx!$B$75))))))))</f>
        <v>0</v>
      </c>
      <c r="S333" s="210">
        <f>IF(L333=0,IF(Q333="Other dry cargo",Alukset_fx!$H$73*(Alukset_Käynnit_Lask!K333^Alukset_fx!$I$73),IF(OR(Q333="Dry Bulk",Q333="Bulk carrier"),Alukset_fx!$H$71*(Alukset_Käynnit_Lask!K333^Alukset_fx!$I$71),IF(Q333="Tugboat",Alukset_fx!$H$78*(Alukset_Käynnit_Lask!K333^Alukset_fx!$I$78),IF(OR(Q333="Tanker",Q333="Gas tanker",Q333="Chemical tanker",Q333="Oil tanker"),Alukset_fx!$H$70*(Alukset_Käynnit_Lask!K333^Alukset_fx!$I$70),IF(Q333="Container ship",Alukset_fx!$H$72*(Alukset_Käynnit_Lask!K333^Alukset_fx!$I$72),IF(Q333="Barge",0,IF(Q333="RoPax",Alukset_fx!$H$75*(Alukset_Käynnit_Lask!K333^Alukset_fx!$I$75),IF(OR(Q333="RoRo",Q333="Vehicle carrier"),Alukset_fx!$H$74*(Alukset_Käynnit_Lask!K333^Alukset_fx!$I$74),Alukset_fx!$H$77*(Alukset_Käynnit_Lask!K333^Alukset_fx!$I$77))))))))),"-")</f>
        <v>0</v>
      </c>
      <c r="T333" s="208">
        <f>IF(R333=0,IF(Q333="Other dry cargo",S333*Alukset_fx!$B$71,IF(OR(Q333="Dry bulk",Q333="Bulk carrier"),S333*Alukset_fx!$B$69,IF(Q333="Tugboat",S333*Alukset_fx!$B$76,IF(OR(Q333="Tanker",Q333="Gas tanker",Q333="Chemical tanker",Q333="Oil tanker"),S333*Alukset_fx!$B$68,IF(OR(Q333="RoRo",Q333="Vehicle carrier"),S333*Alukset_fx!$B$72,IF(Q333="RoPax",S333*Alukset_fx!$B$73,IF(Q333="Container ship",S333*Alukset_fx!$B$70,S333*Alukset_fx!$B$75))))))),"-")</f>
        <v>0</v>
      </c>
      <c r="U333" s="208">
        <f t="shared" si="54"/>
        <v>0</v>
      </c>
      <c r="V333" s="208">
        <f t="shared" si="55"/>
        <v>0</v>
      </c>
      <c r="W333" s="202">
        <f>Alukset_Käynnit!N340</f>
        <v>0</v>
      </c>
      <c r="X333" s="211">
        <f>IF(Q333="Other dry cargo", Alukset_fx!$C$52, IF(OR(Q333="Dry bulk",Q333="Bulk carrier"),Alukset_fx!$C$35,IF(OR(Q333="Tanker",Q333="Gas tanker",Q333="Oil tanker"),Alukset_fx!$C$57,IF(Q333="Chemical tanker",Alukset_fx!$C$56,IF(OR(Q333="Tugboat",Q333="Barge"),0,IF(Q333="Other vessel",Alukset_fx!$C$54,IF(Q333="Container ship",Alukset_fx!$C$37,IF(OR(Q333="RoPax",Q333="RoRo",Q333="Vehicle carrier"),Alukset_fx!$C$55,0))))))))</f>
        <v>0</v>
      </c>
      <c r="Y333" s="211">
        <f>IF(Q333="Other dry cargo", Alukset_fx!$Q$52, IF(OR(Q333="Dry bulk",Q333="Bulk carrier"),Alukset_fx!$Q$35,IF(OR(Q333="Tanker",Q333="Gas tanker",Q333="Oil tanker"),Alukset_fx!$Q$57,IF(Q333="Chemical tanker",Alukset_fx!$Q$56,IF(OR(Q333="Tugboat",Q333="Barge"),0,IF(Q333="Other vessel",Alukset_fx!$Q$54,IF(Q333="Container ship",Alukset_fx!$Q$37,IF(OR(Q333="RoPax",Q333="RoRo",Q333="Vehicle carrier"),Alukset_fx!$Q$55,0))))))))</f>
        <v>0</v>
      </c>
      <c r="Z333" t="str">
        <f t="shared" si="56"/>
        <v>MDO/MGO</v>
      </c>
      <c r="AA333" t="str">
        <f t="shared" si="57"/>
        <v>MSD</v>
      </c>
      <c r="AB333" t="str">
        <f t="shared" si="58"/>
        <v>MDO/MGO</v>
      </c>
      <c r="AC333" t="str">
        <f t="shared" si="59"/>
        <v>MSD</v>
      </c>
      <c r="AD333" t="str">
        <f t="shared" si="60"/>
        <v>MDO/MGO</v>
      </c>
      <c r="AE333" t="str">
        <f t="shared" si="61"/>
        <v>ST</v>
      </c>
      <c r="AG333">
        <f>Alukset_Käynnit!O340</f>
        <v>0</v>
      </c>
      <c r="AH333" s="207">
        <f>IF(AA333="SSD",((U333*Alukset_fx!$B$24)*Alukset_Käynnit_Lask!W333*(Alukset_fx!$K$49)/1000),IF(AA333="MSD",((U333*Alukset_fx!$B$24)*Alukset_Käynnit_Lask!W333*(Alukset_fx!$K$52)/1000),IF(AA333="HSD",((U333*Alukset_fx!$B$24)*Alukset_Käynnit_Lask!W333*(Alukset_fx!$K$55)/1000),0)))</f>
        <v>0</v>
      </c>
      <c r="AI333" s="207">
        <f>IF(AC333="MSD",((V333*Alukset_fx!$B$25)*Alukset_Käynnit_Lask!W333*(Alukset_fx!$L$52)/1000),IF(AC333="HSD",((V333*Alukset_fx!$B$25)*Alukset_Käynnit_Lask!W333*(Alukset_fx!$L$55)/1000),0))</f>
        <v>0</v>
      </c>
      <c r="AJ333" s="207">
        <f>X333*W333*Alukset_fx!$K$61/1000</f>
        <v>0</v>
      </c>
      <c r="AK333">
        <v>0</v>
      </c>
      <c r="AL333" s="207">
        <f>IF(AG333="Käytetty",0,IF(AC333="MSD",((V333*Alukset_fx!$O$25)*Alukset_Käynnit_Lask!O333*(Alukset_fx!$L$52)/1000),IF(AC333="HSD",((V333*Alukset_fx!$O$25)*Alukset_Käynnit_Lask!O333*(Alukset_fx!$L$55)/1000),0)))</f>
        <v>0</v>
      </c>
      <c r="AM333" s="207">
        <f>IF(AG333="Käytetty",0,Y333*O333*Alukset_fx!$K$61/1000)</f>
        <v>0</v>
      </c>
      <c r="AN333" s="213">
        <f t="shared" si="62"/>
        <v>0</v>
      </c>
    </row>
    <row r="334" spans="1:40" x14ac:dyDescent="0.25">
      <c r="A334" s="203">
        <f>Alukset_Käynnit!A341</f>
        <v>0</v>
      </c>
      <c r="B334" s="203">
        <f>Alukset_Käynnit!B341</f>
        <v>0</v>
      </c>
      <c r="C334" s="262">
        <f>Alukset_Käynnit!C341</f>
        <v>0</v>
      </c>
      <c r="D334" s="266">
        <f>Alukset_Käynnit!D341</f>
        <v>0</v>
      </c>
      <c r="E334" s="262">
        <f>Alukset_Käynnit!E341</f>
        <v>0</v>
      </c>
      <c r="F334" s="262">
        <f>Alukset_Käynnit!F341</f>
        <v>0</v>
      </c>
      <c r="G334" s="262">
        <f>Alukset_Käynnit!G341</f>
        <v>0</v>
      </c>
      <c r="H334" s="262">
        <f>Alukset_Käynnit!H341</f>
        <v>0</v>
      </c>
      <c r="I334" s="262">
        <f>Alukset_Käynnit!I341</f>
        <v>0</v>
      </c>
      <c r="J334" s="262">
        <f>Alukset_Käynnit!J341</f>
        <v>0</v>
      </c>
      <c r="K334" s="262">
        <f>Alukset_Käynnit!K341</f>
        <v>0</v>
      </c>
      <c r="L334" s="205">
        <f>Alukset_Käynnit!L341</f>
        <v>0</v>
      </c>
      <c r="N334" s="273">
        <f t="shared" si="63"/>
        <v>0</v>
      </c>
      <c r="O334" s="274">
        <f t="shared" si="64"/>
        <v>0</v>
      </c>
      <c r="Q334" s="204">
        <f t="shared" ref="Q334:Q397" si="65">IF(H334="Muu kuivalasti","Other dry cargo",IF(H334="Muu kuivalastialus","Other dry cargo",IF(H334="Hinaaja","Tugboat",IF(H334="Proomu","Barge",IF(H334="Pusku-Proomu","Barge",IF(H334="Säiliöalus","Tanker",IF(H334="Ro-Ro-Matkustaja-Alus","RoPax",IF(H334="Irtolastialus","Bulk carrier",IF(H334="Kaasusäiliöalus","Gas tanker",IF(H334="Kemikaalisäiliöalus","Chemical tanker",IF(H334="Muu Alus","Other Vessel",IF(H334="Ro-Ro-Lastialus","RoRo",IF(H334="Öljysäiliöalus","Oil tanker",IF(H334="Ajoneuvojenkuljetusalus","Vehicle carrier",IF(H334="Kuiva Bulk","Dry bulk",IF(H334="Konttialus","Container ship",H334))))))))))))))))</f>
        <v>0</v>
      </c>
      <c r="R334" s="202">
        <f>IF(Q334="Other dry cargo",L334*Alukset_fx!$B$71,IF(OR(Q334="Dry bulk",Q334="Bulk carrier"),L334*Alukset_fx!$B$69,IF(Q334="Tugboat",L334*Alukset_fx!$B$76,IF(OR(Q334="Tanker",Q334="Gas tanker",Q334="Chemical tanker",Q334="Oil tanker"),L334*Alukset_fx!$B$68,IF(OR(Q334="RoRo",Q334="Vehicle carrier"),L334*Alukset_fx!$B$72,IF(Q334="RoPax",L334*Alukset_fx!$B$73,IF(Q334="Container ship",L334*Alukset_fx!$B$70,IF(Q334="Barge",0,L334*Alukset_fx!$B$75))))))))</f>
        <v>0</v>
      </c>
      <c r="S334" s="210">
        <f>IF(L334=0,IF(Q334="Other dry cargo",Alukset_fx!$H$73*(Alukset_Käynnit_Lask!K334^Alukset_fx!$I$73),IF(OR(Q334="Dry Bulk",Q334="Bulk carrier"),Alukset_fx!$H$71*(Alukset_Käynnit_Lask!K334^Alukset_fx!$I$71),IF(Q334="Tugboat",Alukset_fx!$H$78*(Alukset_Käynnit_Lask!K334^Alukset_fx!$I$78),IF(OR(Q334="Tanker",Q334="Gas tanker",Q334="Chemical tanker",Q334="Oil tanker"),Alukset_fx!$H$70*(Alukset_Käynnit_Lask!K334^Alukset_fx!$I$70),IF(Q334="Container ship",Alukset_fx!$H$72*(Alukset_Käynnit_Lask!K334^Alukset_fx!$I$72),IF(Q334="Barge",0,IF(Q334="RoPax",Alukset_fx!$H$75*(Alukset_Käynnit_Lask!K334^Alukset_fx!$I$75),IF(OR(Q334="RoRo",Q334="Vehicle carrier"),Alukset_fx!$H$74*(Alukset_Käynnit_Lask!K334^Alukset_fx!$I$74),Alukset_fx!$H$77*(Alukset_Käynnit_Lask!K334^Alukset_fx!$I$77))))))))),"-")</f>
        <v>0</v>
      </c>
      <c r="T334" s="208">
        <f>IF(R334=0,IF(Q334="Other dry cargo",S334*Alukset_fx!$B$71,IF(OR(Q334="Dry bulk",Q334="Bulk carrier"),S334*Alukset_fx!$B$69,IF(Q334="Tugboat",S334*Alukset_fx!$B$76,IF(OR(Q334="Tanker",Q334="Gas tanker",Q334="Chemical tanker",Q334="Oil tanker"),S334*Alukset_fx!$B$68,IF(OR(Q334="RoRo",Q334="Vehicle carrier"),S334*Alukset_fx!$B$72,IF(Q334="RoPax",S334*Alukset_fx!$B$73,IF(Q334="Container ship",S334*Alukset_fx!$B$70,S334*Alukset_fx!$B$75))))))),"-")</f>
        <v>0</v>
      </c>
      <c r="U334" s="208">
        <f t="shared" ref="U334:U397" si="66">IF(L334=0,S334,L334)</f>
        <v>0</v>
      </c>
      <c r="V334" s="208">
        <f t="shared" ref="V334:V397" si="67">IF(R334=0,T334,R334)</f>
        <v>0</v>
      </c>
      <c r="W334" s="202">
        <f>Alukset_Käynnit!N341</f>
        <v>0</v>
      </c>
      <c r="X334" s="211">
        <f>IF(Q334="Other dry cargo", Alukset_fx!$C$52, IF(OR(Q334="Dry bulk",Q334="Bulk carrier"),Alukset_fx!$C$35,IF(OR(Q334="Tanker",Q334="Gas tanker",Q334="Oil tanker"),Alukset_fx!$C$57,IF(Q334="Chemical tanker",Alukset_fx!$C$56,IF(OR(Q334="Tugboat",Q334="Barge"),0,IF(Q334="Other vessel",Alukset_fx!$C$54,IF(Q334="Container ship",Alukset_fx!$C$37,IF(OR(Q334="RoPax",Q334="RoRo",Q334="Vehicle carrier"),Alukset_fx!$C$55,0))))))))</f>
        <v>0</v>
      </c>
      <c r="Y334" s="211">
        <f>IF(Q334="Other dry cargo", Alukset_fx!$Q$52, IF(OR(Q334="Dry bulk",Q334="Bulk carrier"),Alukset_fx!$Q$35,IF(OR(Q334="Tanker",Q334="Gas tanker",Q334="Oil tanker"),Alukset_fx!$Q$57,IF(Q334="Chemical tanker",Alukset_fx!$Q$56,IF(OR(Q334="Tugboat",Q334="Barge"),0,IF(Q334="Other vessel",Alukset_fx!$Q$54,IF(Q334="Container ship",Alukset_fx!$Q$37,IF(OR(Q334="RoPax",Q334="RoRo",Q334="Vehicle carrier"),Alukset_fx!$Q$55,0))))))))</f>
        <v>0</v>
      </c>
      <c r="Z334" t="str">
        <f t="shared" ref="Z334:Z397" si="68">IF(Q334="Barge","-","MDO/MGO")</f>
        <v>MDO/MGO</v>
      </c>
      <c r="AA334" t="str">
        <f t="shared" ref="AA334:AA397" si="69">IF(Q334="Container ship","SSD",IF(Q334="Tugboat","HSD",IF(Q334="Barge","-","MSD")))</f>
        <v>MSD</v>
      </c>
      <c r="AB334" t="str">
        <f t="shared" ref="AB334:AB397" si="70">IF(Q334="Barge","-","MDO/MGO")</f>
        <v>MDO/MGO</v>
      </c>
      <c r="AC334" t="str">
        <f t="shared" ref="AC334:AC397" si="71">IF(Q334="Barge","-","MSD")</f>
        <v>MSD</v>
      </c>
      <c r="AD334" t="str">
        <f t="shared" ref="AD334:AD397" si="72">IF(OR(Q334="Tugboat",Q334="Barge"),"-","MDO/MGO")</f>
        <v>MDO/MGO</v>
      </c>
      <c r="AE334" t="str">
        <f t="shared" ref="AE334:AE397" si="73">IF(OR(Q334="Barge",Q334="Tugboat"),"-","ST")</f>
        <v>ST</v>
      </c>
      <c r="AG334">
        <f>Alukset_Käynnit!O341</f>
        <v>0</v>
      </c>
      <c r="AH334" s="207">
        <f>IF(AA334="SSD",((U334*Alukset_fx!$B$24)*Alukset_Käynnit_Lask!W334*(Alukset_fx!$K$49)/1000),IF(AA334="MSD",((U334*Alukset_fx!$B$24)*Alukset_Käynnit_Lask!W334*(Alukset_fx!$K$52)/1000),IF(AA334="HSD",((U334*Alukset_fx!$B$24)*Alukset_Käynnit_Lask!W334*(Alukset_fx!$K$55)/1000),0)))</f>
        <v>0</v>
      </c>
      <c r="AI334" s="207">
        <f>IF(AC334="MSD",((V334*Alukset_fx!$B$25)*Alukset_Käynnit_Lask!W334*(Alukset_fx!$L$52)/1000),IF(AC334="HSD",((V334*Alukset_fx!$B$25)*Alukset_Käynnit_Lask!W334*(Alukset_fx!$L$55)/1000),0))</f>
        <v>0</v>
      </c>
      <c r="AJ334" s="207">
        <f>X334*W334*Alukset_fx!$K$61/1000</f>
        <v>0</v>
      </c>
      <c r="AK334">
        <v>0</v>
      </c>
      <c r="AL334" s="207">
        <f>IF(AG334="Käytetty",0,IF(AC334="MSD",((V334*Alukset_fx!$O$25)*Alukset_Käynnit_Lask!O334*(Alukset_fx!$L$52)/1000),IF(AC334="HSD",((V334*Alukset_fx!$O$25)*Alukset_Käynnit_Lask!O334*(Alukset_fx!$L$55)/1000),0)))</f>
        <v>0</v>
      </c>
      <c r="AM334" s="207">
        <f>IF(AG334="Käytetty",0,Y334*O334*Alukset_fx!$K$61/1000)</f>
        <v>0</v>
      </c>
      <c r="AN334" s="213">
        <f t="shared" ref="AN334:AN397" si="74">SUM(AH334:AM334)/1000</f>
        <v>0</v>
      </c>
    </row>
    <row r="335" spans="1:40" x14ac:dyDescent="0.25">
      <c r="A335" s="203">
        <f>Alukset_Käynnit!A342</f>
        <v>0</v>
      </c>
      <c r="B335" s="203">
        <f>Alukset_Käynnit!B342</f>
        <v>0</v>
      </c>
      <c r="C335" s="262">
        <f>Alukset_Käynnit!C342</f>
        <v>0</v>
      </c>
      <c r="D335" s="266">
        <f>Alukset_Käynnit!D342</f>
        <v>0</v>
      </c>
      <c r="E335" s="262">
        <f>Alukset_Käynnit!E342</f>
        <v>0</v>
      </c>
      <c r="F335" s="262">
        <f>Alukset_Käynnit!F342</f>
        <v>0</v>
      </c>
      <c r="G335" s="262">
        <f>Alukset_Käynnit!G342</f>
        <v>0</v>
      </c>
      <c r="H335" s="262">
        <f>Alukset_Käynnit!H342</f>
        <v>0</v>
      </c>
      <c r="I335" s="262">
        <f>Alukset_Käynnit!I342</f>
        <v>0</v>
      </c>
      <c r="J335" s="262">
        <f>Alukset_Käynnit!J342</f>
        <v>0</v>
      </c>
      <c r="K335" s="262">
        <f>Alukset_Käynnit!K342</f>
        <v>0</v>
      </c>
      <c r="L335" s="205">
        <f>Alukset_Käynnit!L342</f>
        <v>0</v>
      </c>
      <c r="N335" s="273">
        <f t="shared" si="63"/>
        <v>0</v>
      </c>
      <c r="O335" s="274">
        <f t="shared" si="64"/>
        <v>0</v>
      </c>
      <c r="Q335" s="204">
        <f t="shared" si="65"/>
        <v>0</v>
      </c>
      <c r="R335" s="202">
        <f>IF(Q335="Other dry cargo",L335*Alukset_fx!$B$71,IF(OR(Q335="Dry bulk",Q335="Bulk carrier"),L335*Alukset_fx!$B$69,IF(Q335="Tugboat",L335*Alukset_fx!$B$76,IF(OR(Q335="Tanker",Q335="Gas tanker",Q335="Chemical tanker",Q335="Oil tanker"),L335*Alukset_fx!$B$68,IF(OR(Q335="RoRo",Q335="Vehicle carrier"),L335*Alukset_fx!$B$72,IF(Q335="RoPax",L335*Alukset_fx!$B$73,IF(Q335="Container ship",L335*Alukset_fx!$B$70,IF(Q335="Barge",0,L335*Alukset_fx!$B$75))))))))</f>
        <v>0</v>
      </c>
      <c r="S335" s="210">
        <f>IF(L335=0,IF(Q335="Other dry cargo",Alukset_fx!$H$73*(Alukset_Käynnit_Lask!K335^Alukset_fx!$I$73),IF(OR(Q335="Dry Bulk",Q335="Bulk carrier"),Alukset_fx!$H$71*(Alukset_Käynnit_Lask!K335^Alukset_fx!$I$71),IF(Q335="Tugboat",Alukset_fx!$H$78*(Alukset_Käynnit_Lask!K335^Alukset_fx!$I$78),IF(OR(Q335="Tanker",Q335="Gas tanker",Q335="Chemical tanker",Q335="Oil tanker"),Alukset_fx!$H$70*(Alukset_Käynnit_Lask!K335^Alukset_fx!$I$70),IF(Q335="Container ship",Alukset_fx!$H$72*(Alukset_Käynnit_Lask!K335^Alukset_fx!$I$72),IF(Q335="Barge",0,IF(Q335="RoPax",Alukset_fx!$H$75*(Alukset_Käynnit_Lask!K335^Alukset_fx!$I$75),IF(OR(Q335="RoRo",Q335="Vehicle carrier"),Alukset_fx!$H$74*(Alukset_Käynnit_Lask!K335^Alukset_fx!$I$74),Alukset_fx!$H$77*(Alukset_Käynnit_Lask!K335^Alukset_fx!$I$77))))))))),"-")</f>
        <v>0</v>
      </c>
      <c r="T335" s="208">
        <f>IF(R335=0,IF(Q335="Other dry cargo",S335*Alukset_fx!$B$71,IF(OR(Q335="Dry bulk",Q335="Bulk carrier"),S335*Alukset_fx!$B$69,IF(Q335="Tugboat",S335*Alukset_fx!$B$76,IF(OR(Q335="Tanker",Q335="Gas tanker",Q335="Chemical tanker",Q335="Oil tanker"),S335*Alukset_fx!$B$68,IF(OR(Q335="RoRo",Q335="Vehicle carrier"),S335*Alukset_fx!$B$72,IF(Q335="RoPax",S335*Alukset_fx!$B$73,IF(Q335="Container ship",S335*Alukset_fx!$B$70,S335*Alukset_fx!$B$75))))))),"-")</f>
        <v>0</v>
      </c>
      <c r="U335" s="208">
        <f t="shared" si="66"/>
        <v>0</v>
      </c>
      <c r="V335" s="208">
        <f t="shared" si="67"/>
        <v>0</v>
      </c>
      <c r="W335" s="202">
        <f>Alukset_Käynnit!N342</f>
        <v>0</v>
      </c>
      <c r="X335" s="211">
        <f>IF(Q335="Other dry cargo", Alukset_fx!$C$52, IF(OR(Q335="Dry bulk",Q335="Bulk carrier"),Alukset_fx!$C$35,IF(OR(Q335="Tanker",Q335="Gas tanker",Q335="Oil tanker"),Alukset_fx!$C$57,IF(Q335="Chemical tanker",Alukset_fx!$C$56,IF(OR(Q335="Tugboat",Q335="Barge"),0,IF(Q335="Other vessel",Alukset_fx!$C$54,IF(Q335="Container ship",Alukset_fx!$C$37,IF(OR(Q335="RoPax",Q335="RoRo",Q335="Vehicle carrier"),Alukset_fx!$C$55,0))))))))</f>
        <v>0</v>
      </c>
      <c r="Y335" s="211">
        <f>IF(Q335="Other dry cargo", Alukset_fx!$Q$52, IF(OR(Q335="Dry bulk",Q335="Bulk carrier"),Alukset_fx!$Q$35,IF(OR(Q335="Tanker",Q335="Gas tanker",Q335="Oil tanker"),Alukset_fx!$Q$57,IF(Q335="Chemical tanker",Alukset_fx!$Q$56,IF(OR(Q335="Tugboat",Q335="Barge"),0,IF(Q335="Other vessel",Alukset_fx!$Q$54,IF(Q335="Container ship",Alukset_fx!$Q$37,IF(OR(Q335="RoPax",Q335="RoRo",Q335="Vehicle carrier"),Alukset_fx!$Q$55,0))))))))</f>
        <v>0</v>
      </c>
      <c r="Z335" t="str">
        <f t="shared" si="68"/>
        <v>MDO/MGO</v>
      </c>
      <c r="AA335" t="str">
        <f t="shared" si="69"/>
        <v>MSD</v>
      </c>
      <c r="AB335" t="str">
        <f t="shared" si="70"/>
        <v>MDO/MGO</v>
      </c>
      <c r="AC335" t="str">
        <f t="shared" si="71"/>
        <v>MSD</v>
      </c>
      <c r="AD335" t="str">
        <f t="shared" si="72"/>
        <v>MDO/MGO</v>
      </c>
      <c r="AE335" t="str">
        <f t="shared" si="73"/>
        <v>ST</v>
      </c>
      <c r="AG335">
        <f>Alukset_Käynnit!O342</f>
        <v>0</v>
      </c>
      <c r="AH335" s="207">
        <f>IF(AA335="SSD",((U335*Alukset_fx!$B$24)*Alukset_Käynnit_Lask!W335*(Alukset_fx!$K$49)/1000),IF(AA335="MSD",((U335*Alukset_fx!$B$24)*Alukset_Käynnit_Lask!W335*(Alukset_fx!$K$52)/1000),IF(AA335="HSD",((U335*Alukset_fx!$B$24)*Alukset_Käynnit_Lask!W335*(Alukset_fx!$K$55)/1000),0)))</f>
        <v>0</v>
      </c>
      <c r="AI335" s="207">
        <f>IF(AC335="MSD",((V335*Alukset_fx!$B$25)*Alukset_Käynnit_Lask!W335*(Alukset_fx!$L$52)/1000),IF(AC335="HSD",((V335*Alukset_fx!$B$25)*Alukset_Käynnit_Lask!W335*(Alukset_fx!$L$55)/1000),0))</f>
        <v>0</v>
      </c>
      <c r="AJ335" s="207">
        <f>X335*W335*Alukset_fx!$K$61/1000</f>
        <v>0</v>
      </c>
      <c r="AK335">
        <v>0</v>
      </c>
      <c r="AL335" s="207">
        <f>IF(AG335="Käytetty",0,IF(AC335="MSD",((V335*Alukset_fx!$O$25)*Alukset_Käynnit_Lask!O335*(Alukset_fx!$L$52)/1000),IF(AC335="HSD",((V335*Alukset_fx!$O$25)*Alukset_Käynnit_Lask!O335*(Alukset_fx!$L$55)/1000),0)))</f>
        <v>0</v>
      </c>
      <c r="AM335" s="207">
        <f>IF(AG335="Käytetty",0,Y335*O335*Alukset_fx!$K$61/1000)</f>
        <v>0</v>
      </c>
      <c r="AN335" s="213">
        <f t="shared" si="74"/>
        <v>0</v>
      </c>
    </row>
    <row r="336" spans="1:40" x14ac:dyDescent="0.25">
      <c r="A336" s="203">
        <f>Alukset_Käynnit!A343</f>
        <v>0</v>
      </c>
      <c r="B336" s="203">
        <f>Alukset_Käynnit!B343</f>
        <v>0</v>
      </c>
      <c r="C336" s="262">
        <f>Alukset_Käynnit!C343</f>
        <v>0</v>
      </c>
      <c r="D336" s="266">
        <f>Alukset_Käynnit!D343</f>
        <v>0</v>
      </c>
      <c r="E336" s="262">
        <f>Alukset_Käynnit!E343</f>
        <v>0</v>
      </c>
      <c r="F336" s="262">
        <f>Alukset_Käynnit!F343</f>
        <v>0</v>
      </c>
      <c r="G336" s="262">
        <f>Alukset_Käynnit!G343</f>
        <v>0</v>
      </c>
      <c r="H336" s="262">
        <f>Alukset_Käynnit!H343</f>
        <v>0</v>
      </c>
      <c r="I336" s="262">
        <f>Alukset_Käynnit!I343</f>
        <v>0</v>
      </c>
      <c r="J336" s="262">
        <f>Alukset_Käynnit!J343</f>
        <v>0</v>
      </c>
      <c r="K336" s="262">
        <f>Alukset_Käynnit!K343</f>
        <v>0</v>
      </c>
      <c r="L336" s="205">
        <f>Alukset_Käynnit!L343</f>
        <v>0</v>
      </c>
      <c r="N336" s="273">
        <f t="shared" si="63"/>
        <v>0</v>
      </c>
      <c r="O336" s="274">
        <f t="shared" si="64"/>
        <v>0</v>
      </c>
      <c r="Q336" s="204">
        <f t="shared" si="65"/>
        <v>0</v>
      </c>
      <c r="R336" s="202">
        <f>IF(Q336="Other dry cargo",L336*Alukset_fx!$B$71,IF(OR(Q336="Dry bulk",Q336="Bulk carrier"),L336*Alukset_fx!$B$69,IF(Q336="Tugboat",L336*Alukset_fx!$B$76,IF(OR(Q336="Tanker",Q336="Gas tanker",Q336="Chemical tanker",Q336="Oil tanker"),L336*Alukset_fx!$B$68,IF(OR(Q336="RoRo",Q336="Vehicle carrier"),L336*Alukset_fx!$B$72,IF(Q336="RoPax",L336*Alukset_fx!$B$73,IF(Q336="Container ship",L336*Alukset_fx!$B$70,IF(Q336="Barge",0,L336*Alukset_fx!$B$75))))))))</f>
        <v>0</v>
      </c>
      <c r="S336" s="210">
        <f>IF(L336=0,IF(Q336="Other dry cargo",Alukset_fx!$H$73*(Alukset_Käynnit_Lask!K336^Alukset_fx!$I$73),IF(OR(Q336="Dry Bulk",Q336="Bulk carrier"),Alukset_fx!$H$71*(Alukset_Käynnit_Lask!K336^Alukset_fx!$I$71),IF(Q336="Tugboat",Alukset_fx!$H$78*(Alukset_Käynnit_Lask!K336^Alukset_fx!$I$78),IF(OR(Q336="Tanker",Q336="Gas tanker",Q336="Chemical tanker",Q336="Oil tanker"),Alukset_fx!$H$70*(Alukset_Käynnit_Lask!K336^Alukset_fx!$I$70),IF(Q336="Container ship",Alukset_fx!$H$72*(Alukset_Käynnit_Lask!K336^Alukset_fx!$I$72),IF(Q336="Barge",0,IF(Q336="RoPax",Alukset_fx!$H$75*(Alukset_Käynnit_Lask!K336^Alukset_fx!$I$75),IF(OR(Q336="RoRo",Q336="Vehicle carrier"),Alukset_fx!$H$74*(Alukset_Käynnit_Lask!K336^Alukset_fx!$I$74),Alukset_fx!$H$77*(Alukset_Käynnit_Lask!K336^Alukset_fx!$I$77))))))))),"-")</f>
        <v>0</v>
      </c>
      <c r="T336" s="208">
        <f>IF(R336=0,IF(Q336="Other dry cargo",S336*Alukset_fx!$B$71,IF(OR(Q336="Dry bulk",Q336="Bulk carrier"),S336*Alukset_fx!$B$69,IF(Q336="Tugboat",S336*Alukset_fx!$B$76,IF(OR(Q336="Tanker",Q336="Gas tanker",Q336="Chemical tanker",Q336="Oil tanker"),S336*Alukset_fx!$B$68,IF(OR(Q336="RoRo",Q336="Vehicle carrier"),S336*Alukset_fx!$B$72,IF(Q336="RoPax",S336*Alukset_fx!$B$73,IF(Q336="Container ship",S336*Alukset_fx!$B$70,S336*Alukset_fx!$B$75))))))),"-")</f>
        <v>0</v>
      </c>
      <c r="U336" s="208">
        <f t="shared" si="66"/>
        <v>0</v>
      </c>
      <c r="V336" s="208">
        <f t="shared" si="67"/>
        <v>0</v>
      </c>
      <c r="W336" s="202">
        <f>Alukset_Käynnit!N343</f>
        <v>0</v>
      </c>
      <c r="X336" s="211">
        <f>IF(Q336="Other dry cargo", Alukset_fx!$C$52, IF(OR(Q336="Dry bulk",Q336="Bulk carrier"),Alukset_fx!$C$35,IF(OR(Q336="Tanker",Q336="Gas tanker",Q336="Oil tanker"),Alukset_fx!$C$57,IF(Q336="Chemical tanker",Alukset_fx!$C$56,IF(OR(Q336="Tugboat",Q336="Barge"),0,IF(Q336="Other vessel",Alukset_fx!$C$54,IF(Q336="Container ship",Alukset_fx!$C$37,IF(OR(Q336="RoPax",Q336="RoRo",Q336="Vehicle carrier"),Alukset_fx!$C$55,0))))))))</f>
        <v>0</v>
      </c>
      <c r="Y336" s="211">
        <f>IF(Q336="Other dry cargo", Alukset_fx!$Q$52, IF(OR(Q336="Dry bulk",Q336="Bulk carrier"),Alukset_fx!$Q$35,IF(OR(Q336="Tanker",Q336="Gas tanker",Q336="Oil tanker"),Alukset_fx!$Q$57,IF(Q336="Chemical tanker",Alukset_fx!$Q$56,IF(OR(Q336="Tugboat",Q336="Barge"),0,IF(Q336="Other vessel",Alukset_fx!$Q$54,IF(Q336="Container ship",Alukset_fx!$Q$37,IF(OR(Q336="RoPax",Q336="RoRo",Q336="Vehicle carrier"),Alukset_fx!$Q$55,0))))))))</f>
        <v>0</v>
      </c>
      <c r="Z336" t="str">
        <f t="shared" si="68"/>
        <v>MDO/MGO</v>
      </c>
      <c r="AA336" t="str">
        <f t="shared" si="69"/>
        <v>MSD</v>
      </c>
      <c r="AB336" t="str">
        <f t="shared" si="70"/>
        <v>MDO/MGO</v>
      </c>
      <c r="AC336" t="str">
        <f t="shared" si="71"/>
        <v>MSD</v>
      </c>
      <c r="AD336" t="str">
        <f t="shared" si="72"/>
        <v>MDO/MGO</v>
      </c>
      <c r="AE336" t="str">
        <f t="shared" si="73"/>
        <v>ST</v>
      </c>
      <c r="AG336">
        <f>Alukset_Käynnit!O343</f>
        <v>0</v>
      </c>
      <c r="AH336" s="207">
        <f>IF(AA336="SSD",((U336*Alukset_fx!$B$24)*Alukset_Käynnit_Lask!W336*(Alukset_fx!$K$49)/1000),IF(AA336="MSD",((U336*Alukset_fx!$B$24)*Alukset_Käynnit_Lask!W336*(Alukset_fx!$K$52)/1000),IF(AA336="HSD",((U336*Alukset_fx!$B$24)*Alukset_Käynnit_Lask!W336*(Alukset_fx!$K$55)/1000),0)))</f>
        <v>0</v>
      </c>
      <c r="AI336" s="207">
        <f>IF(AC336="MSD",((V336*Alukset_fx!$B$25)*Alukset_Käynnit_Lask!W336*(Alukset_fx!$L$52)/1000),IF(AC336="HSD",((V336*Alukset_fx!$B$25)*Alukset_Käynnit_Lask!W336*(Alukset_fx!$L$55)/1000),0))</f>
        <v>0</v>
      </c>
      <c r="AJ336" s="207">
        <f>X336*W336*Alukset_fx!$K$61/1000</f>
        <v>0</v>
      </c>
      <c r="AK336">
        <v>0</v>
      </c>
      <c r="AL336" s="207">
        <f>IF(AG336="Käytetty",0,IF(AC336="MSD",((V336*Alukset_fx!$O$25)*Alukset_Käynnit_Lask!O336*(Alukset_fx!$L$52)/1000),IF(AC336="HSD",((V336*Alukset_fx!$O$25)*Alukset_Käynnit_Lask!O336*(Alukset_fx!$L$55)/1000),0)))</f>
        <v>0</v>
      </c>
      <c r="AM336" s="207">
        <f>IF(AG336="Käytetty",0,Y336*O336*Alukset_fx!$K$61/1000)</f>
        <v>0</v>
      </c>
      <c r="AN336" s="213">
        <f t="shared" si="74"/>
        <v>0</v>
      </c>
    </row>
    <row r="337" spans="1:40" x14ac:dyDescent="0.25">
      <c r="A337" s="203">
        <f>Alukset_Käynnit!A344</f>
        <v>0</v>
      </c>
      <c r="B337" s="203">
        <f>Alukset_Käynnit!B344</f>
        <v>0</v>
      </c>
      <c r="C337" s="262">
        <f>Alukset_Käynnit!C344</f>
        <v>0</v>
      </c>
      <c r="D337" s="266">
        <f>Alukset_Käynnit!D344</f>
        <v>0</v>
      </c>
      <c r="E337" s="262">
        <f>Alukset_Käynnit!E344</f>
        <v>0</v>
      </c>
      <c r="F337" s="262">
        <f>Alukset_Käynnit!F344</f>
        <v>0</v>
      </c>
      <c r="G337" s="262">
        <f>Alukset_Käynnit!G344</f>
        <v>0</v>
      </c>
      <c r="H337" s="262">
        <f>Alukset_Käynnit!H344</f>
        <v>0</v>
      </c>
      <c r="I337" s="262">
        <f>Alukset_Käynnit!I344</f>
        <v>0</v>
      </c>
      <c r="J337" s="262">
        <f>Alukset_Käynnit!J344</f>
        <v>0</v>
      </c>
      <c r="K337" s="262">
        <f>Alukset_Käynnit!K344</f>
        <v>0</v>
      </c>
      <c r="L337" s="205">
        <f>Alukset_Käynnit!L344</f>
        <v>0</v>
      </c>
      <c r="N337" s="273">
        <f t="shared" si="63"/>
        <v>0</v>
      </c>
      <c r="O337" s="274">
        <f t="shared" si="64"/>
        <v>0</v>
      </c>
      <c r="Q337" s="204">
        <f t="shared" si="65"/>
        <v>0</v>
      </c>
      <c r="R337" s="202">
        <f>IF(Q337="Other dry cargo",L337*Alukset_fx!$B$71,IF(OR(Q337="Dry bulk",Q337="Bulk carrier"),L337*Alukset_fx!$B$69,IF(Q337="Tugboat",L337*Alukset_fx!$B$76,IF(OR(Q337="Tanker",Q337="Gas tanker",Q337="Chemical tanker",Q337="Oil tanker"),L337*Alukset_fx!$B$68,IF(OR(Q337="RoRo",Q337="Vehicle carrier"),L337*Alukset_fx!$B$72,IF(Q337="RoPax",L337*Alukset_fx!$B$73,IF(Q337="Container ship",L337*Alukset_fx!$B$70,IF(Q337="Barge",0,L337*Alukset_fx!$B$75))))))))</f>
        <v>0</v>
      </c>
      <c r="S337" s="210">
        <f>IF(L337=0,IF(Q337="Other dry cargo",Alukset_fx!$H$73*(Alukset_Käynnit_Lask!K337^Alukset_fx!$I$73),IF(OR(Q337="Dry Bulk",Q337="Bulk carrier"),Alukset_fx!$H$71*(Alukset_Käynnit_Lask!K337^Alukset_fx!$I$71),IF(Q337="Tugboat",Alukset_fx!$H$78*(Alukset_Käynnit_Lask!K337^Alukset_fx!$I$78),IF(OR(Q337="Tanker",Q337="Gas tanker",Q337="Chemical tanker",Q337="Oil tanker"),Alukset_fx!$H$70*(Alukset_Käynnit_Lask!K337^Alukset_fx!$I$70),IF(Q337="Container ship",Alukset_fx!$H$72*(Alukset_Käynnit_Lask!K337^Alukset_fx!$I$72),IF(Q337="Barge",0,IF(Q337="RoPax",Alukset_fx!$H$75*(Alukset_Käynnit_Lask!K337^Alukset_fx!$I$75),IF(OR(Q337="RoRo",Q337="Vehicle carrier"),Alukset_fx!$H$74*(Alukset_Käynnit_Lask!K337^Alukset_fx!$I$74),Alukset_fx!$H$77*(Alukset_Käynnit_Lask!K337^Alukset_fx!$I$77))))))))),"-")</f>
        <v>0</v>
      </c>
      <c r="T337" s="208">
        <f>IF(R337=0,IF(Q337="Other dry cargo",S337*Alukset_fx!$B$71,IF(OR(Q337="Dry bulk",Q337="Bulk carrier"),S337*Alukset_fx!$B$69,IF(Q337="Tugboat",S337*Alukset_fx!$B$76,IF(OR(Q337="Tanker",Q337="Gas tanker",Q337="Chemical tanker",Q337="Oil tanker"),S337*Alukset_fx!$B$68,IF(OR(Q337="RoRo",Q337="Vehicle carrier"),S337*Alukset_fx!$B$72,IF(Q337="RoPax",S337*Alukset_fx!$B$73,IF(Q337="Container ship",S337*Alukset_fx!$B$70,S337*Alukset_fx!$B$75))))))),"-")</f>
        <v>0</v>
      </c>
      <c r="U337" s="208">
        <f t="shared" si="66"/>
        <v>0</v>
      </c>
      <c r="V337" s="208">
        <f t="shared" si="67"/>
        <v>0</v>
      </c>
      <c r="W337" s="202">
        <f>Alukset_Käynnit!N344</f>
        <v>0</v>
      </c>
      <c r="X337" s="211">
        <f>IF(Q337="Other dry cargo", Alukset_fx!$C$52, IF(OR(Q337="Dry bulk",Q337="Bulk carrier"),Alukset_fx!$C$35,IF(OR(Q337="Tanker",Q337="Gas tanker",Q337="Oil tanker"),Alukset_fx!$C$57,IF(Q337="Chemical tanker",Alukset_fx!$C$56,IF(OR(Q337="Tugboat",Q337="Barge"),0,IF(Q337="Other vessel",Alukset_fx!$C$54,IF(Q337="Container ship",Alukset_fx!$C$37,IF(OR(Q337="RoPax",Q337="RoRo",Q337="Vehicle carrier"),Alukset_fx!$C$55,0))))))))</f>
        <v>0</v>
      </c>
      <c r="Y337" s="211">
        <f>IF(Q337="Other dry cargo", Alukset_fx!$Q$52, IF(OR(Q337="Dry bulk",Q337="Bulk carrier"),Alukset_fx!$Q$35,IF(OR(Q337="Tanker",Q337="Gas tanker",Q337="Oil tanker"),Alukset_fx!$Q$57,IF(Q337="Chemical tanker",Alukset_fx!$Q$56,IF(OR(Q337="Tugboat",Q337="Barge"),0,IF(Q337="Other vessel",Alukset_fx!$Q$54,IF(Q337="Container ship",Alukset_fx!$Q$37,IF(OR(Q337="RoPax",Q337="RoRo",Q337="Vehicle carrier"),Alukset_fx!$Q$55,0))))))))</f>
        <v>0</v>
      </c>
      <c r="Z337" t="str">
        <f t="shared" si="68"/>
        <v>MDO/MGO</v>
      </c>
      <c r="AA337" t="str">
        <f t="shared" si="69"/>
        <v>MSD</v>
      </c>
      <c r="AB337" t="str">
        <f t="shared" si="70"/>
        <v>MDO/MGO</v>
      </c>
      <c r="AC337" t="str">
        <f t="shared" si="71"/>
        <v>MSD</v>
      </c>
      <c r="AD337" t="str">
        <f t="shared" si="72"/>
        <v>MDO/MGO</v>
      </c>
      <c r="AE337" t="str">
        <f t="shared" si="73"/>
        <v>ST</v>
      </c>
      <c r="AG337">
        <f>Alukset_Käynnit!O344</f>
        <v>0</v>
      </c>
      <c r="AH337" s="207">
        <f>IF(AA337="SSD",((U337*Alukset_fx!$B$24)*Alukset_Käynnit_Lask!W337*(Alukset_fx!$K$49)/1000),IF(AA337="MSD",((U337*Alukset_fx!$B$24)*Alukset_Käynnit_Lask!W337*(Alukset_fx!$K$52)/1000),IF(AA337="HSD",((U337*Alukset_fx!$B$24)*Alukset_Käynnit_Lask!W337*(Alukset_fx!$K$55)/1000),0)))</f>
        <v>0</v>
      </c>
      <c r="AI337" s="207">
        <f>IF(AC337="MSD",((V337*Alukset_fx!$B$25)*Alukset_Käynnit_Lask!W337*(Alukset_fx!$L$52)/1000),IF(AC337="HSD",((V337*Alukset_fx!$B$25)*Alukset_Käynnit_Lask!W337*(Alukset_fx!$L$55)/1000),0))</f>
        <v>0</v>
      </c>
      <c r="AJ337" s="207">
        <f>X337*W337*Alukset_fx!$K$61/1000</f>
        <v>0</v>
      </c>
      <c r="AK337">
        <v>0</v>
      </c>
      <c r="AL337" s="207">
        <f>IF(AG337="Käytetty",0,IF(AC337="MSD",((V337*Alukset_fx!$O$25)*Alukset_Käynnit_Lask!O337*(Alukset_fx!$L$52)/1000),IF(AC337="HSD",((V337*Alukset_fx!$O$25)*Alukset_Käynnit_Lask!O337*(Alukset_fx!$L$55)/1000),0)))</f>
        <v>0</v>
      </c>
      <c r="AM337" s="207">
        <f>IF(AG337="Käytetty",0,Y337*O337*Alukset_fx!$K$61/1000)</f>
        <v>0</v>
      </c>
      <c r="AN337" s="213">
        <f t="shared" si="74"/>
        <v>0</v>
      </c>
    </row>
    <row r="338" spans="1:40" x14ac:dyDescent="0.25">
      <c r="A338" s="203">
        <f>Alukset_Käynnit!A345</f>
        <v>0</v>
      </c>
      <c r="B338" s="203">
        <f>Alukset_Käynnit!B345</f>
        <v>0</v>
      </c>
      <c r="C338" s="262">
        <f>Alukset_Käynnit!C345</f>
        <v>0</v>
      </c>
      <c r="D338" s="266">
        <f>Alukset_Käynnit!D345</f>
        <v>0</v>
      </c>
      <c r="E338" s="262">
        <f>Alukset_Käynnit!E345</f>
        <v>0</v>
      </c>
      <c r="F338" s="262">
        <f>Alukset_Käynnit!F345</f>
        <v>0</v>
      </c>
      <c r="G338" s="262">
        <f>Alukset_Käynnit!G345</f>
        <v>0</v>
      </c>
      <c r="H338" s="262">
        <f>Alukset_Käynnit!H345</f>
        <v>0</v>
      </c>
      <c r="I338" s="262">
        <f>Alukset_Käynnit!I345</f>
        <v>0</v>
      </c>
      <c r="J338" s="262">
        <f>Alukset_Käynnit!J345</f>
        <v>0</v>
      </c>
      <c r="K338" s="262">
        <f>Alukset_Käynnit!K345</f>
        <v>0</v>
      </c>
      <c r="L338" s="205">
        <f>Alukset_Käynnit!L345</f>
        <v>0</v>
      </c>
      <c r="N338" s="273">
        <f t="shared" si="63"/>
        <v>0</v>
      </c>
      <c r="O338" s="274">
        <f t="shared" si="64"/>
        <v>0</v>
      </c>
      <c r="Q338" s="204">
        <f t="shared" si="65"/>
        <v>0</v>
      </c>
      <c r="R338" s="202">
        <f>IF(Q338="Other dry cargo",L338*Alukset_fx!$B$71,IF(OR(Q338="Dry bulk",Q338="Bulk carrier"),L338*Alukset_fx!$B$69,IF(Q338="Tugboat",L338*Alukset_fx!$B$76,IF(OR(Q338="Tanker",Q338="Gas tanker",Q338="Chemical tanker",Q338="Oil tanker"),L338*Alukset_fx!$B$68,IF(OR(Q338="RoRo",Q338="Vehicle carrier"),L338*Alukset_fx!$B$72,IF(Q338="RoPax",L338*Alukset_fx!$B$73,IF(Q338="Container ship",L338*Alukset_fx!$B$70,IF(Q338="Barge",0,L338*Alukset_fx!$B$75))))))))</f>
        <v>0</v>
      </c>
      <c r="S338" s="210">
        <f>IF(L338=0,IF(Q338="Other dry cargo",Alukset_fx!$H$73*(Alukset_Käynnit_Lask!K338^Alukset_fx!$I$73),IF(OR(Q338="Dry Bulk",Q338="Bulk carrier"),Alukset_fx!$H$71*(Alukset_Käynnit_Lask!K338^Alukset_fx!$I$71),IF(Q338="Tugboat",Alukset_fx!$H$78*(Alukset_Käynnit_Lask!K338^Alukset_fx!$I$78),IF(OR(Q338="Tanker",Q338="Gas tanker",Q338="Chemical tanker",Q338="Oil tanker"),Alukset_fx!$H$70*(Alukset_Käynnit_Lask!K338^Alukset_fx!$I$70),IF(Q338="Container ship",Alukset_fx!$H$72*(Alukset_Käynnit_Lask!K338^Alukset_fx!$I$72),IF(Q338="Barge",0,IF(Q338="RoPax",Alukset_fx!$H$75*(Alukset_Käynnit_Lask!K338^Alukset_fx!$I$75),IF(OR(Q338="RoRo",Q338="Vehicle carrier"),Alukset_fx!$H$74*(Alukset_Käynnit_Lask!K338^Alukset_fx!$I$74),Alukset_fx!$H$77*(Alukset_Käynnit_Lask!K338^Alukset_fx!$I$77))))))))),"-")</f>
        <v>0</v>
      </c>
      <c r="T338" s="208">
        <f>IF(R338=0,IF(Q338="Other dry cargo",S338*Alukset_fx!$B$71,IF(OR(Q338="Dry bulk",Q338="Bulk carrier"),S338*Alukset_fx!$B$69,IF(Q338="Tugboat",S338*Alukset_fx!$B$76,IF(OR(Q338="Tanker",Q338="Gas tanker",Q338="Chemical tanker",Q338="Oil tanker"),S338*Alukset_fx!$B$68,IF(OR(Q338="RoRo",Q338="Vehicle carrier"),S338*Alukset_fx!$B$72,IF(Q338="RoPax",S338*Alukset_fx!$B$73,IF(Q338="Container ship",S338*Alukset_fx!$B$70,S338*Alukset_fx!$B$75))))))),"-")</f>
        <v>0</v>
      </c>
      <c r="U338" s="208">
        <f t="shared" si="66"/>
        <v>0</v>
      </c>
      <c r="V338" s="208">
        <f t="shared" si="67"/>
        <v>0</v>
      </c>
      <c r="W338" s="202">
        <f>Alukset_Käynnit!N345</f>
        <v>0</v>
      </c>
      <c r="X338" s="211">
        <f>IF(Q338="Other dry cargo", Alukset_fx!$C$52, IF(OR(Q338="Dry bulk",Q338="Bulk carrier"),Alukset_fx!$C$35,IF(OR(Q338="Tanker",Q338="Gas tanker",Q338="Oil tanker"),Alukset_fx!$C$57,IF(Q338="Chemical tanker",Alukset_fx!$C$56,IF(OR(Q338="Tugboat",Q338="Barge"),0,IF(Q338="Other vessel",Alukset_fx!$C$54,IF(Q338="Container ship",Alukset_fx!$C$37,IF(OR(Q338="RoPax",Q338="RoRo",Q338="Vehicle carrier"),Alukset_fx!$C$55,0))))))))</f>
        <v>0</v>
      </c>
      <c r="Y338" s="211">
        <f>IF(Q338="Other dry cargo", Alukset_fx!$Q$52, IF(OR(Q338="Dry bulk",Q338="Bulk carrier"),Alukset_fx!$Q$35,IF(OR(Q338="Tanker",Q338="Gas tanker",Q338="Oil tanker"),Alukset_fx!$Q$57,IF(Q338="Chemical tanker",Alukset_fx!$Q$56,IF(OR(Q338="Tugboat",Q338="Barge"),0,IF(Q338="Other vessel",Alukset_fx!$Q$54,IF(Q338="Container ship",Alukset_fx!$Q$37,IF(OR(Q338="RoPax",Q338="RoRo",Q338="Vehicle carrier"),Alukset_fx!$Q$55,0))))))))</f>
        <v>0</v>
      </c>
      <c r="Z338" t="str">
        <f t="shared" si="68"/>
        <v>MDO/MGO</v>
      </c>
      <c r="AA338" t="str">
        <f t="shared" si="69"/>
        <v>MSD</v>
      </c>
      <c r="AB338" t="str">
        <f t="shared" si="70"/>
        <v>MDO/MGO</v>
      </c>
      <c r="AC338" t="str">
        <f t="shared" si="71"/>
        <v>MSD</v>
      </c>
      <c r="AD338" t="str">
        <f t="shared" si="72"/>
        <v>MDO/MGO</v>
      </c>
      <c r="AE338" t="str">
        <f t="shared" si="73"/>
        <v>ST</v>
      </c>
      <c r="AG338">
        <f>Alukset_Käynnit!O345</f>
        <v>0</v>
      </c>
      <c r="AH338" s="207">
        <f>IF(AA338="SSD",((U338*Alukset_fx!$B$24)*Alukset_Käynnit_Lask!W338*(Alukset_fx!$K$49)/1000),IF(AA338="MSD",((U338*Alukset_fx!$B$24)*Alukset_Käynnit_Lask!W338*(Alukset_fx!$K$52)/1000),IF(AA338="HSD",((U338*Alukset_fx!$B$24)*Alukset_Käynnit_Lask!W338*(Alukset_fx!$K$55)/1000),0)))</f>
        <v>0</v>
      </c>
      <c r="AI338" s="207">
        <f>IF(AC338="MSD",((V338*Alukset_fx!$B$25)*Alukset_Käynnit_Lask!W338*(Alukset_fx!$L$52)/1000),IF(AC338="HSD",((V338*Alukset_fx!$B$25)*Alukset_Käynnit_Lask!W338*(Alukset_fx!$L$55)/1000),0))</f>
        <v>0</v>
      </c>
      <c r="AJ338" s="207">
        <f>X338*W338*Alukset_fx!$K$61/1000</f>
        <v>0</v>
      </c>
      <c r="AK338">
        <v>0</v>
      </c>
      <c r="AL338" s="207">
        <f>IF(AG338="Käytetty",0,IF(AC338="MSD",((V338*Alukset_fx!$O$25)*Alukset_Käynnit_Lask!O338*(Alukset_fx!$L$52)/1000),IF(AC338="HSD",((V338*Alukset_fx!$O$25)*Alukset_Käynnit_Lask!O338*(Alukset_fx!$L$55)/1000),0)))</f>
        <v>0</v>
      </c>
      <c r="AM338" s="207">
        <f>IF(AG338="Käytetty",0,Y338*O338*Alukset_fx!$K$61/1000)</f>
        <v>0</v>
      </c>
      <c r="AN338" s="213">
        <f t="shared" si="74"/>
        <v>0</v>
      </c>
    </row>
    <row r="339" spans="1:40" x14ac:dyDescent="0.25">
      <c r="A339" s="203">
        <f>Alukset_Käynnit!A346</f>
        <v>0</v>
      </c>
      <c r="B339" s="203">
        <f>Alukset_Käynnit!B346</f>
        <v>0</v>
      </c>
      <c r="C339" s="262">
        <f>Alukset_Käynnit!C346</f>
        <v>0</v>
      </c>
      <c r="D339" s="266">
        <f>Alukset_Käynnit!D346</f>
        <v>0</v>
      </c>
      <c r="E339" s="262">
        <f>Alukset_Käynnit!E346</f>
        <v>0</v>
      </c>
      <c r="F339" s="262">
        <f>Alukset_Käynnit!F346</f>
        <v>0</v>
      </c>
      <c r="G339" s="262">
        <f>Alukset_Käynnit!G346</f>
        <v>0</v>
      </c>
      <c r="H339" s="262">
        <f>Alukset_Käynnit!H346</f>
        <v>0</v>
      </c>
      <c r="I339" s="262">
        <f>Alukset_Käynnit!I346</f>
        <v>0</v>
      </c>
      <c r="J339" s="262">
        <f>Alukset_Käynnit!J346</f>
        <v>0</v>
      </c>
      <c r="K339" s="262">
        <f>Alukset_Käynnit!K346</f>
        <v>0</v>
      </c>
      <c r="L339" s="205">
        <f>Alukset_Käynnit!L346</f>
        <v>0</v>
      </c>
      <c r="N339" s="273">
        <f t="shared" si="63"/>
        <v>0</v>
      </c>
      <c r="O339" s="274">
        <f t="shared" si="64"/>
        <v>0</v>
      </c>
      <c r="Q339" s="204">
        <f t="shared" si="65"/>
        <v>0</v>
      </c>
      <c r="R339" s="202">
        <f>IF(Q339="Other dry cargo",L339*Alukset_fx!$B$71,IF(OR(Q339="Dry bulk",Q339="Bulk carrier"),L339*Alukset_fx!$B$69,IF(Q339="Tugboat",L339*Alukset_fx!$B$76,IF(OR(Q339="Tanker",Q339="Gas tanker",Q339="Chemical tanker",Q339="Oil tanker"),L339*Alukset_fx!$B$68,IF(OR(Q339="RoRo",Q339="Vehicle carrier"),L339*Alukset_fx!$B$72,IF(Q339="RoPax",L339*Alukset_fx!$B$73,IF(Q339="Container ship",L339*Alukset_fx!$B$70,IF(Q339="Barge",0,L339*Alukset_fx!$B$75))))))))</f>
        <v>0</v>
      </c>
      <c r="S339" s="210">
        <f>IF(L339=0,IF(Q339="Other dry cargo",Alukset_fx!$H$73*(Alukset_Käynnit_Lask!K339^Alukset_fx!$I$73),IF(OR(Q339="Dry Bulk",Q339="Bulk carrier"),Alukset_fx!$H$71*(Alukset_Käynnit_Lask!K339^Alukset_fx!$I$71),IF(Q339="Tugboat",Alukset_fx!$H$78*(Alukset_Käynnit_Lask!K339^Alukset_fx!$I$78),IF(OR(Q339="Tanker",Q339="Gas tanker",Q339="Chemical tanker",Q339="Oil tanker"),Alukset_fx!$H$70*(Alukset_Käynnit_Lask!K339^Alukset_fx!$I$70),IF(Q339="Container ship",Alukset_fx!$H$72*(Alukset_Käynnit_Lask!K339^Alukset_fx!$I$72),IF(Q339="Barge",0,IF(Q339="RoPax",Alukset_fx!$H$75*(Alukset_Käynnit_Lask!K339^Alukset_fx!$I$75),IF(OR(Q339="RoRo",Q339="Vehicle carrier"),Alukset_fx!$H$74*(Alukset_Käynnit_Lask!K339^Alukset_fx!$I$74),Alukset_fx!$H$77*(Alukset_Käynnit_Lask!K339^Alukset_fx!$I$77))))))))),"-")</f>
        <v>0</v>
      </c>
      <c r="T339" s="208">
        <f>IF(R339=0,IF(Q339="Other dry cargo",S339*Alukset_fx!$B$71,IF(OR(Q339="Dry bulk",Q339="Bulk carrier"),S339*Alukset_fx!$B$69,IF(Q339="Tugboat",S339*Alukset_fx!$B$76,IF(OR(Q339="Tanker",Q339="Gas tanker",Q339="Chemical tanker",Q339="Oil tanker"),S339*Alukset_fx!$B$68,IF(OR(Q339="RoRo",Q339="Vehicle carrier"),S339*Alukset_fx!$B$72,IF(Q339="RoPax",S339*Alukset_fx!$B$73,IF(Q339="Container ship",S339*Alukset_fx!$B$70,S339*Alukset_fx!$B$75))))))),"-")</f>
        <v>0</v>
      </c>
      <c r="U339" s="208">
        <f t="shared" si="66"/>
        <v>0</v>
      </c>
      <c r="V339" s="208">
        <f t="shared" si="67"/>
        <v>0</v>
      </c>
      <c r="W339" s="202">
        <f>Alukset_Käynnit!N346</f>
        <v>0</v>
      </c>
      <c r="X339" s="211">
        <f>IF(Q339="Other dry cargo", Alukset_fx!$C$52, IF(OR(Q339="Dry bulk",Q339="Bulk carrier"),Alukset_fx!$C$35,IF(OR(Q339="Tanker",Q339="Gas tanker",Q339="Oil tanker"),Alukset_fx!$C$57,IF(Q339="Chemical tanker",Alukset_fx!$C$56,IF(OR(Q339="Tugboat",Q339="Barge"),0,IF(Q339="Other vessel",Alukset_fx!$C$54,IF(Q339="Container ship",Alukset_fx!$C$37,IF(OR(Q339="RoPax",Q339="RoRo",Q339="Vehicle carrier"),Alukset_fx!$C$55,0))))))))</f>
        <v>0</v>
      </c>
      <c r="Y339" s="211">
        <f>IF(Q339="Other dry cargo", Alukset_fx!$Q$52, IF(OR(Q339="Dry bulk",Q339="Bulk carrier"),Alukset_fx!$Q$35,IF(OR(Q339="Tanker",Q339="Gas tanker",Q339="Oil tanker"),Alukset_fx!$Q$57,IF(Q339="Chemical tanker",Alukset_fx!$Q$56,IF(OR(Q339="Tugboat",Q339="Barge"),0,IF(Q339="Other vessel",Alukset_fx!$Q$54,IF(Q339="Container ship",Alukset_fx!$Q$37,IF(OR(Q339="RoPax",Q339="RoRo",Q339="Vehicle carrier"),Alukset_fx!$Q$55,0))))))))</f>
        <v>0</v>
      </c>
      <c r="Z339" t="str">
        <f t="shared" si="68"/>
        <v>MDO/MGO</v>
      </c>
      <c r="AA339" t="str">
        <f t="shared" si="69"/>
        <v>MSD</v>
      </c>
      <c r="AB339" t="str">
        <f t="shared" si="70"/>
        <v>MDO/MGO</v>
      </c>
      <c r="AC339" t="str">
        <f t="shared" si="71"/>
        <v>MSD</v>
      </c>
      <c r="AD339" t="str">
        <f t="shared" si="72"/>
        <v>MDO/MGO</v>
      </c>
      <c r="AE339" t="str">
        <f t="shared" si="73"/>
        <v>ST</v>
      </c>
      <c r="AG339">
        <f>Alukset_Käynnit!O346</f>
        <v>0</v>
      </c>
      <c r="AH339" s="207">
        <f>IF(AA339="SSD",((U339*Alukset_fx!$B$24)*Alukset_Käynnit_Lask!W339*(Alukset_fx!$K$49)/1000),IF(AA339="MSD",((U339*Alukset_fx!$B$24)*Alukset_Käynnit_Lask!W339*(Alukset_fx!$K$52)/1000),IF(AA339="HSD",((U339*Alukset_fx!$B$24)*Alukset_Käynnit_Lask!W339*(Alukset_fx!$K$55)/1000),0)))</f>
        <v>0</v>
      </c>
      <c r="AI339" s="207">
        <f>IF(AC339="MSD",((V339*Alukset_fx!$B$25)*Alukset_Käynnit_Lask!W339*(Alukset_fx!$L$52)/1000),IF(AC339="HSD",((V339*Alukset_fx!$B$25)*Alukset_Käynnit_Lask!W339*(Alukset_fx!$L$55)/1000),0))</f>
        <v>0</v>
      </c>
      <c r="AJ339" s="207">
        <f>X339*W339*Alukset_fx!$K$61/1000</f>
        <v>0</v>
      </c>
      <c r="AK339">
        <v>0</v>
      </c>
      <c r="AL339" s="207">
        <f>IF(AG339="Käytetty",0,IF(AC339="MSD",((V339*Alukset_fx!$O$25)*Alukset_Käynnit_Lask!O339*(Alukset_fx!$L$52)/1000),IF(AC339="HSD",((V339*Alukset_fx!$O$25)*Alukset_Käynnit_Lask!O339*(Alukset_fx!$L$55)/1000),0)))</f>
        <v>0</v>
      </c>
      <c r="AM339" s="207">
        <f>IF(AG339="Käytetty",0,Y339*O339*Alukset_fx!$K$61/1000)</f>
        <v>0</v>
      </c>
      <c r="AN339" s="213">
        <f t="shared" si="74"/>
        <v>0</v>
      </c>
    </row>
    <row r="340" spans="1:40" x14ac:dyDescent="0.25">
      <c r="A340" s="203">
        <f>Alukset_Käynnit!A347</f>
        <v>0</v>
      </c>
      <c r="B340" s="203">
        <f>Alukset_Käynnit!B347</f>
        <v>0</v>
      </c>
      <c r="C340" s="262">
        <f>Alukset_Käynnit!C347</f>
        <v>0</v>
      </c>
      <c r="D340" s="266">
        <f>Alukset_Käynnit!D347</f>
        <v>0</v>
      </c>
      <c r="E340" s="262">
        <f>Alukset_Käynnit!E347</f>
        <v>0</v>
      </c>
      <c r="F340" s="262">
        <f>Alukset_Käynnit!F347</f>
        <v>0</v>
      </c>
      <c r="G340" s="262">
        <f>Alukset_Käynnit!G347</f>
        <v>0</v>
      </c>
      <c r="H340" s="262">
        <f>Alukset_Käynnit!H347</f>
        <v>0</v>
      </c>
      <c r="I340" s="262">
        <f>Alukset_Käynnit!I347</f>
        <v>0</v>
      </c>
      <c r="J340" s="262">
        <f>Alukset_Käynnit!J347</f>
        <v>0</v>
      </c>
      <c r="K340" s="262">
        <f>Alukset_Käynnit!K347</f>
        <v>0</v>
      </c>
      <c r="L340" s="205">
        <f>Alukset_Käynnit!L347</f>
        <v>0</v>
      </c>
      <c r="N340" s="273">
        <f t="shared" si="63"/>
        <v>0</v>
      </c>
      <c r="O340" s="274">
        <f t="shared" si="64"/>
        <v>0</v>
      </c>
      <c r="Q340" s="204">
        <f t="shared" si="65"/>
        <v>0</v>
      </c>
      <c r="R340" s="202">
        <f>IF(Q340="Other dry cargo",L340*Alukset_fx!$B$71,IF(OR(Q340="Dry bulk",Q340="Bulk carrier"),L340*Alukset_fx!$B$69,IF(Q340="Tugboat",L340*Alukset_fx!$B$76,IF(OR(Q340="Tanker",Q340="Gas tanker",Q340="Chemical tanker",Q340="Oil tanker"),L340*Alukset_fx!$B$68,IF(OR(Q340="RoRo",Q340="Vehicle carrier"),L340*Alukset_fx!$B$72,IF(Q340="RoPax",L340*Alukset_fx!$B$73,IF(Q340="Container ship",L340*Alukset_fx!$B$70,IF(Q340="Barge",0,L340*Alukset_fx!$B$75))))))))</f>
        <v>0</v>
      </c>
      <c r="S340" s="210">
        <f>IF(L340=0,IF(Q340="Other dry cargo",Alukset_fx!$H$73*(Alukset_Käynnit_Lask!K340^Alukset_fx!$I$73),IF(OR(Q340="Dry Bulk",Q340="Bulk carrier"),Alukset_fx!$H$71*(Alukset_Käynnit_Lask!K340^Alukset_fx!$I$71),IF(Q340="Tugboat",Alukset_fx!$H$78*(Alukset_Käynnit_Lask!K340^Alukset_fx!$I$78),IF(OR(Q340="Tanker",Q340="Gas tanker",Q340="Chemical tanker",Q340="Oil tanker"),Alukset_fx!$H$70*(Alukset_Käynnit_Lask!K340^Alukset_fx!$I$70),IF(Q340="Container ship",Alukset_fx!$H$72*(Alukset_Käynnit_Lask!K340^Alukset_fx!$I$72),IF(Q340="Barge",0,IF(Q340="RoPax",Alukset_fx!$H$75*(Alukset_Käynnit_Lask!K340^Alukset_fx!$I$75),IF(OR(Q340="RoRo",Q340="Vehicle carrier"),Alukset_fx!$H$74*(Alukset_Käynnit_Lask!K340^Alukset_fx!$I$74),Alukset_fx!$H$77*(Alukset_Käynnit_Lask!K340^Alukset_fx!$I$77))))))))),"-")</f>
        <v>0</v>
      </c>
      <c r="T340" s="208">
        <f>IF(R340=0,IF(Q340="Other dry cargo",S340*Alukset_fx!$B$71,IF(OR(Q340="Dry bulk",Q340="Bulk carrier"),S340*Alukset_fx!$B$69,IF(Q340="Tugboat",S340*Alukset_fx!$B$76,IF(OR(Q340="Tanker",Q340="Gas tanker",Q340="Chemical tanker",Q340="Oil tanker"),S340*Alukset_fx!$B$68,IF(OR(Q340="RoRo",Q340="Vehicle carrier"),S340*Alukset_fx!$B$72,IF(Q340="RoPax",S340*Alukset_fx!$B$73,IF(Q340="Container ship",S340*Alukset_fx!$B$70,S340*Alukset_fx!$B$75))))))),"-")</f>
        <v>0</v>
      </c>
      <c r="U340" s="208">
        <f t="shared" si="66"/>
        <v>0</v>
      </c>
      <c r="V340" s="208">
        <f t="shared" si="67"/>
        <v>0</v>
      </c>
      <c r="W340" s="202">
        <f>Alukset_Käynnit!N347</f>
        <v>0</v>
      </c>
      <c r="X340" s="211">
        <f>IF(Q340="Other dry cargo", Alukset_fx!$C$52, IF(OR(Q340="Dry bulk",Q340="Bulk carrier"),Alukset_fx!$C$35,IF(OR(Q340="Tanker",Q340="Gas tanker",Q340="Oil tanker"),Alukset_fx!$C$57,IF(Q340="Chemical tanker",Alukset_fx!$C$56,IF(OR(Q340="Tugboat",Q340="Barge"),0,IF(Q340="Other vessel",Alukset_fx!$C$54,IF(Q340="Container ship",Alukset_fx!$C$37,IF(OR(Q340="RoPax",Q340="RoRo",Q340="Vehicle carrier"),Alukset_fx!$C$55,0))))))))</f>
        <v>0</v>
      </c>
      <c r="Y340" s="211">
        <f>IF(Q340="Other dry cargo", Alukset_fx!$Q$52, IF(OR(Q340="Dry bulk",Q340="Bulk carrier"),Alukset_fx!$Q$35,IF(OR(Q340="Tanker",Q340="Gas tanker",Q340="Oil tanker"),Alukset_fx!$Q$57,IF(Q340="Chemical tanker",Alukset_fx!$Q$56,IF(OR(Q340="Tugboat",Q340="Barge"),0,IF(Q340="Other vessel",Alukset_fx!$Q$54,IF(Q340="Container ship",Alukset_fx!$Q$37,IF(OR(Q340="RoPax",Q340="RoRo",Q340="Vehicle carrier"),Alukset_fx!$Q$55,0))))))))</f>
        <v>0</v>
      </c>
      <c r="Z340" t="str">
        <f t="shared" si="68"/>
        <v>MDO/MGO</v>
      </c>
      <c r="AA340" t="str">
        <f t="shared" si="69"/>
        <v>MSD</v>
      </c>
      <c r="AB340" t="str">
        <f t="shared" si="70"/>
        <v>MDO/MGO</v>
      </c>
      <c r="AC340" t="str">
        <f t="shared" si="71"/>
        <v>MSD</v>
      </c>
      <c r="AD340" t="str">
        <f t="shared" si="72"/>
        <v>MDO/MGO</v>
      </c>
      <c r="AE340" t="str">
        <f t="shared" si="73"/>
        <v>ST</v>
      </c>
      <c r="AG340">
        <f>Alukset_Käynnit!O347</f>
        <v>0</v>
      </c>
      <c r="AH340" s="207">
        <f>IF(AA340="SSD",((U340*Alukset_fx!$B$24)*Alukset_Käynnit_Lask!W340*(Alukset_fx!$K$49)/1000),IF(AA340="MSD",((U340*Alukset_fx!$B$24)*Alukset_Käynnit_Lask!W340*(Alukset_fx!$K$52)/1000),IF(AA340="HSD",((U340*Alukset_fx!$B$24)*Alukset_Käynnit_Lask!W340*(Alukset_fx!$K$55)/1000),0)))</f>
        <v>0</v>
      </c>
      <c r="AI340" s="207">
        <f>IF(AC340="MSD",((V340*Alukset_fx!$B$25)*Alukset_Käynnit_Lask!W340*(Alukset_fx!$L$52)/1000),IF(AC340="HSD",((V340*Alukset_fx!$B$25)*Alukset_Käynnit_Lask!W340*(Alukset_fx!$L$55)/1000),0))</f>
        <v>0</v>
      </c>
      <c r="AJ340" s="207">
        <f>X340*W340*Alukset_fx!$K$61/1000</f>
        <v>0</v>
      </c>
      <c r="AK340">
        <v>0</v>
      </c>
      <c r="AL340" s="207">
        <f>IF(AG340="Käytetty",0,IF(AC340="MSD",((V340*Alukset_fx!$O$25)*Alukset_Käynnit_Lask!O340*(Alukset_fx!$L$52)/1000),IF(AC340="HSD",((V340*Alukset_fx!$O$25)*Alukset_Käynnit_Lask!O340*(Alukset_fx!$L$55)/1000),0)))</f>
        <v>0</v>
      </c>
      <c r="AM340" s="207">
        <f>IF(AG340="Käytetty",0,Y340*O340*Alukset_fx!$K$61/1000)</f>
        <v>0</v>
      </c>
      <c r="AN340" s="213">
        <f t="shared" si="74"/>
        <v>0</v>
      </c>
    </row>
    <row r="341" spans="1:40" x14ac:dyDescent="0.25">
      <c r="A341" s="203">
        <f>Alukset_Käynnit!A348</f>
        <v>0</v>
      </c>
      <c r="B341" s="203">
        <f>Alukset_Käynnit!B348</f>
        <v>0</v>
      </c>
      <c r="C341" s="262">
        <f>Alukset_Käynnit!C348</f>
        <v>0</v>
      </c>
      <c r="D341" s="266">
        <f>Alukset_Käynnit!D348</f>
        <v>0</v>
      </c>
      <c r="E341" s="262">
        <f>Alukset_Käynnit!E348</f>
        <v>0</v>
      </c>
      <c r="F341" s="262">
        <f>Alukset_Käynnit!F348</f>
        <v>0</v>
      </c>
      <c r="G341" s="262">
        <f>Alukset_Käynnit!G348</f>
        <v>0</v>
      </c>
      <c r="H341" s="262">
        <f>Alukset_Käynnit!H348</f>
        <v>0</v>
      </c>
      <c r="I341" s="262">
        <f>Alukset_Käynnit!I348</f>
        <v>0</v>
      </c>
      <c r="J341" s="262">
        <f>Alukset_Käynnit!J348</f>
        <v>0</v>
      </c>
      <c r="K341" s="262">
        <f>Alukset_Käynnit!K348</f>
        <v>0</v>
      </c>
      <c r="L341" s="205">
        <f>Alukset_Käynnit!L348</f>
        <v>0</v>
      </c>
      <c r="N341" s="273">
        <f t="shared" ref="N341:N404" si="75">(B341-A341)*1440</f>
        <v>0</v>
      </c>
      <c r="O341" s="274">
        <f t="shared" ref="O341:O404" si="76">N341/60</f>
        <v>0</v>
      </c>
      <c r="Q341" s="204">
        <f t="shared" si="65"/>
        <v>0</v>
      </c>
      <c r="R341" s="202">
        <f>IF(Q341="Other dry cargo",L341*Alukset_fx!$B$71,IF(OR(Q341="Dry bulk",Q341="Bulk carrier"),L341*Alukset_fx!$B$69,IF(Q341="Tugboat",L341*Alukset_fx!$B$76,IF(OR(Q341="Tanker",Q341="Gas tanker",Q341="Chemical tanker",Q341="Oil tanker"),L341*Alukset_fx!$B$68,IF(OR(Q341="RoRo",Q341="Vehicle carrier"),L341*Alukset_fx!$B$72,IF(Q341="RoPax",L341*Alukset_fx!$B$73,IF(Q341="Container ship",L341*Alukset_fx!$B$70,IF(Q341="Barge",0,L341*Alukset_fx!$B$75))))))))</f>
        <v>0</v>
      </c>
      <c r="S341" s="210">
        <f>IF(L341=0,IF(Q341="Other dry cargo",Alukset_fx!$H$73*(Alukset_Käynnit_Lask!K341^Alukset_fx!$I$73),IF(OR(Q341="Dry Bulk",Q341="Bulk carrier"),Alukset_fx!$H$71*(Alukset_Käynnit_Lask!K341^Alukset_fx!$I$71),IF(Q341="Tugboat",Alukset_fx!$H$78*(Alukset_Käynnit_Lask!K341^Alukset_fx!$I$78),IF(OR(Q341="Tanker",Q341="Gas tanker",Q341="Chemical tanker",Q341="Oil tanker"),Alukset_fx!$H$70*(Alukset_Käynnit_Lask!K341^Alukset_fx!$I$70),IF(Q341="Container ship",Alukset_fx!$H$72*(Alukset_Käynnit_Lask!K341^Alukset_fx!$I$72),IF(Q341="Barge",0,IF(Q341="RoPax",Alukset_fx!$H$75*(Alukset_Käynnit_Lask!K341^Alukset_fx!$I$75),IF(OR(Q341="RoRo",Q341="Vehicle carrier"),Alukset_fx!$H$74*(Alukset_Käynnit_Lask!K341^Alukset_fx!$I$74),Alukset_fx!$H$77*(Alukset_Käynnit_Lask!K341^Alukset_fx!$I$77))))))))),"-")</f>
        <v>0</v>
      </c>
      <c r="T341" s="208">
        <f>IF(R341=0,IF(Q341="Other dry cargo",S341*Alukset_fx!$B$71,IF(OR(Q341="Dry bulk",Q341="Bulk carrier"),S341*Alukset_fx!$B$69,IF(Q341="Tugboat",S341*Alukset_fx!$B$76,IF(OR(Q341="Tanker",Q341="Gas tanker",Q341="Chemical tanker",Q341="Oil tanker"),S341*Alukset_fx!$B$68,IF(OR(Q341="RoRo",Q341="Vehicle carrier"),S341*Alukset_fx!$B$72,IF(Q341="RoPax",S341*Alukset_fx!$B$73,IF(Q341="Container ship",S341*Alukset_fx!$B$70,S341*Alukset_fx!$B$75))))))),"-")</f>
        <v>0</v>
      </c>
      <c r="U341" s="208">
        <f t="shared" si="66"/>
        <v>0</v>
      </c>
      <c r="V341" s="208">
        <f t="shared" si="67"/>
        <v>0</v>
      </c>
      <c r="W341" s="202">
        <f>Alukset_Käynnit!N348</f>
        <v>0</v>
      </c>
      <c r="X341" s="211">
        <f>IF(Q341="Other dry cargo", Alukset_fx!$C$52, IF(OR(Q341="Dry bulk",Q341="Bulk carrier"),Alukset_fx!$C$35,IF(OR(Q341="Tanker",Q341="Gas tanker",Q341="Oil tanker"),Alukset_fx!$C$57,IF(Q341="Chemical tanker",Alukset_fx!$C$56,IF(OR(Q341="Tugboat",Q341="Barge"),0,IF(Q341="Other vessel",Alukset_fx!$C$54,IF(Q341="Container ship",Alukset_fx!$C$37,IF(OR(Q341="RoPax",Q341="RoRo",Q341="Vehicle carrier"),Alukset_fx!$C$55,0))))))))</f>
        <v>0</v>
      </c>
      <c r="Y341" s="211">
        <f>IF(Q341="Other dry cargo", Alukset_fx!$Q$52, IF(OR(Q341="Dry bulk",Q341="Bulk carrier"),Alukset_fx!$Q$35,IF(OR(Q341="Tanker",Q341="Gas tanker",Q341="Oil tanker"),Alukset_fx!$Q$57,IF(Q341="Chemical tanker",Alukset_fx!$Q$56,IF(OR(Q341="Tugboat",Q341="Barge"),0,IF(Q341="Other vessel",Alukset_fx!$Q$54,IF(Q341="Container ship",Alukset_fx!$Q$37,IF(OR(Q341="RoPax",Q341="RoRo",Q341="Vehicle carrier"),Alukset_fx!$Q$55,0))))))))</f>
        <v>0</v>
      </c>
      <c r="Z341" t="str">
        <f t="shared" si="68"/>
        <v>MDO/MGO</v>
      </c>
      <c r="AA341" t="str">
        <f t="shared" si="69"/>
        <v>MSD</v>
      </c>
      <c r="AB341" t="str">
        <f t="shared" si="70"/>
        <v>MDO/MGO</v>
      </c>
      <c r="AC341" t="str">
        <f t="shared" si="71"/>
        <v>MSD</v>
      </c>
      <c r="AD341" t="str">
        <f t="shared" si="72"/>
        <v>MDO/MGO</v>
      </c>
      <c r="AE341" t="str">
        <f t="shared" si="73"/>
        <v>ST</v>
      </c>
      <c r="AG341">
        <f>Alukset_Käynnit!O348</f>
        <v>0</v>
      </c>
      <c r="AH341" s="207">
        <f>IF(AA341="SSD",((U341*Alukset_fx!$B$24)*Alukset_Käynnit_Lask!W341*(Alukset_fx!$K$49)/1000),IF(AA341="MSD",((U341*Alukset_fx!$B$24)*Alukset_Käynnit_Lask!W341*(Alukset_fx!$K$52)/1000),IF(AA341="HSD",((U341*Alukset_fx!$B$24)*Alukset_Käynnit_Lask!W341*(Alukset_fx!$K$55)/1000),0)))</f>
        <v>0</v>
      </c>
      <c r="AI341" s="207">
        <f>IF(AC341="MSD",((V341*Alukset_fx!$B$25)*Alukset_Käynnit_Lask!W341*(Alukset_fx!$L$52)/1000),IF(AC341="HSD",((V341*Alukset_fx!$B$25)*Alukset_Käynnit_Lask!W341*(Alukset_fx!$L$55)/1000),0))</f>
        <v>0</v>
      </c>
      <c r="AJ341" s="207">
        <f>X341*W341*Alukset_fx!$K$61/1000</f>
        <v>0</v>
      </c>
      <c r="AK341">
        <v>0</v>
      </c>
      <c r="AL341" s="207">
        <f>IF(AG341="Käytetty",0,IF(AC341="MSD",((V341*Alukset_fx!$O$25)*Alukset_Käynnit_Lask!O341*(Alukset_fx!$L$52)/1000),IF(AC341="HSD",((V341*Alukset_fx!$O$25)*Alukset_Käynnit_Lask!O341*(Alukset_fx!$L$55)/1000),0)))</f>
        <v>0</v>
      </c>
      <c r="AM341" s="207">
        <f>IF(AG341="Käytetty",0,Y341*O341*Alukset_fx!$K$61/1000)</f>
        <v>0</v>
      </c>
      <c r="AN341" s="213">
        <f t="shared" si="74"/>
        <v>0</v>
      </c>
    </row>
    <row r="342" spans="1:40" x14ac:dyDescent="0.25">
      <c r="A342" s="203">
        <f>Alukset_Käynnit!A349</f>
        <v>0</v>
      </c>
      <c r="B342" s="203">
        <f>Alukset_Käynnit!B349</f>
        <v>0</v>
      </c>
      <c r="C342" s="262">
        <f>Alukset_Käynnit!C349</f>
        <v>0</v>
      </c>
      <c r="D342" s="266">
        <f>Alukset_Käynnit!D349</f>
        <v>0</v>
      </c>
      <c r="E342" s="262">
        <f>Alukset_Käynnit!E349</f>
        <v>0</v>
      </c>
      <c r="F342" s="262">
        <f>Alukset_Käynnit!F349</f>
        <v>0</v>
      </c>
      <c r="G342" s="262">
        <f>Alukset_Käynnit!G349</f>
        <v>0</v>
      </c>
      <c r="H342" s="262">
        <f>Alukset_Käynnit!H349</f>
        <v>0</v>
      </c>
      <c r="I342" s="262">
        <f>Alukset_Käynnit!I349</f>
        <v>0</v>
      </c>
      <c r="J342" s="262">
        <f>Alukset_Käynnit!J349</f>
        <v>0</v>
      </c>
      <c r="K342" s="262">
        <f>Alukset_Käynnit!K349</f>
        <v>0</v>
      </c>
      <c r="L342" s="205">
        <f>Alukset_Käynnit!L349</f>
        <v>0</v>
      </c>
      <c r="N342" s="273">
        <f t="shared" si="75"/>
        <v>0</v>
      </c>
      <c r="O342" s="274">
        <f t="shared" si="76"/>
        <v>0</v>
      </c>
      <c r="Q342" s="204">
        <f t="shared" si="65"/>
        <v>0</v>
      </c>
      <c r="R342" s="202">
        <f>IF(Q342="Other dry cargo",L342*Alukset_fx!$B$71,IF(OR(Q342="Dry bulk",Q342="Bulk carrier"),L342*Alukset_fx!$B$69,IF(Q342="Tugboat",L342*Alukset_fx!$B$76,IF(OR(Q342="Tanker",Q342="Gas tanker",Q342="Chemical tanker",Q342="Oil tanker"),L342*Alukset_fx!$B$68,IF(OR(Q342="RoRo",Q342="Vehicle carrier"),L342*Alukset_fx!$B$72,IF(Q342="RoPax",L342*Alukset_fx!$B$73,IF(Q342="Container ship",L342*Alukset_fx!$B$70,IF(Q342="Barge",0,L342*Alukset_fx!$B$75))))))))</f>
        <v>0</v>
      </c>
      <c r="S342" s="210">
        <f>IF(L342=0,IF(Q342="Other dry cargo",Alukset_fx!$H$73*(Alukset_Käynnit_Lask!K342^Alukset_fx!$I$73),IF(OR(Q342="Dry Bulk",Q342="Bulk carrier"),Alukset_fx!$H$71*(Alukset_Käynnit_Lask!K342^Alukset_fx!$I$71),IF(Q342="Tugboat",Alukset_fx!$H$78*(Alukset_Käynnit_Lask!K342^Alukset_fx!$I$78),IF(OR(Q342="Tanker",Q342="Gas tanker",Q342="Chemical tanker",Q342="Oil tanker"),Alukset_fx!$H$70*(Alukset_Käynnit_Lask!K342^Alukset_fx!$I$70),IF(Q342="Container ship",Alukset_fx!$H$72*(Alukset_Käynnit_Lask!K342^Alukset_fx!$I$72),IF(Q342="Barge",0,IF(Q342="RoPax",Alukset_fx!$H$75*(Alukset_Käynnit_Lask!K342^Alukset_fx!$I$75),IF(OR(Q342="RoRo",Q342="Vehicle carrier"),Alukset_fx!$H$74*(Alukset_Käynnit_Lask!K342^Alukset_fx!$I$74),Alukset_fx!$H$77*(Alukset_Käynnit_Lask!K342^Alukset_fx!$I$77))))))))),"-")</f>
        <v>0</v>
      </c>
      <c r="T342" s="208">
        <f>IF(R342=0,IF(Q342="Other dry cargo",S342*Alukset_fx!$B$71,IF(OR(Q342="Dry bulk",Q342="Bulk carrier"),S342*Alukset_fx!$B$69,IF(Q342="Tugboat",S342*Alukset_fx!$B$76,IF(OR(Q342="Tanker",Q342="Gas tanker",Q342="Chemical tanker",Q342="Oil tanker"),S342*Alukset_fx!$B$68,IF(OR(Q342="RoRo",Q342="Vehicle carrier"),S342*Alukset_fx!$B$72,IF(Q342="RoPax",S342*Alukset_fx!$B$73,IF(Q342="Container ship",S342*Alukset_fx!$B$70,S342*Alukset_fx!$B$75))))))),"-")</f>
        <v>0</v>
      </c>
      <c r="U342" s="208">
        <f t="shared" si="66"/>
        <v>0</v>
      </c>
      <c r="V342" s="208">
        <f t="shared" si="67"/>
        <v>0</v>
      </c>
      <c r="W342" s="202">
        <f>Alukset_Käynnit!N349</f>
        <v>0</v>
      </c>
      <c r="X342" s="211">
        <f>IF(Q342="Other dry cargo", Alukset_fx!$C$52, IF(OR(Q342="Dry bulk",Q342="Bulk carrier"),Alukset_fx!$C$35,IF(OR(Q342="Tanker",Q342="Gas tanker",Q342="Oil tanker"),Alukset_fx!$C$57,IF(Q342="Chemical tanker",Alukset_fx!$C$56,IF(OR(Q342="Tugboat",Q342="Barge"),0,IF(Q342="Other vessel",Alukset_fx!$C$54,IF(Q342="Container ship",Alukset_fx!$C$37,IF(OR(Q342="RoPax",Q342="RoRo",Q342="Vehicle carrier"),Alukset_fx!$C$55,0))))))))</f>
        <v>0</v>
      </c>
      <c r="Y342" s="211">
        <f>IF(Q342="Other dry cargo", Alukset_fx!$Q$52, IF(OR(Q342="Dry bulk",Q342="Bulk carrier"),Alukset_fx!$Q$35,IF(OR(Q342="Tanker",Q342="Gas tanker",Q342="Oil tanker"),Alukset_fx!$Q$57,IF(Q342="Chemical tanker",Alukset_fx!$Q$56,IF(OR(Q342="Tugboat",Q342="Barge"),0,IF(Q342="Other vessel",Alukset_fx!$Q$54,IF(Q342="Container ship",Alukset_fx!$Q$37,IF(OR(Q342="RoPax",Q342="RoRo",Q342="Vehicle carrier"),Alukset_fx!$Q$55,0))))))))</f>
        <v>0</v>
      </c>
      <c r="Z342" t="str">
        <f t="shared" si="68"/>
        <v>MDO/MGO</v>
      </c>
      <c r="AA342" t="str">
        <f t="shared" si="69"/>
        <v>MSD</v>
      </c>
      <c r="AB342" t="str">
        <f t="shared" si="70"/>
        <v>MDO/MGO</v>
      </c>
      <c r="AC342" t="str">
        <f t="shared" si="71"/>
        <v>MSD</v>
      </c>
      <c r="AD342" t="str">
        <f t="shared" si="72"/>
        <v>MDO/MGO</v>
      </c>
      <c r="AE342" t="str">
        <f t="shared" si="73"/>
        <v>ST</v>
      </c>
      <c r="AG342">
        <f>Alukset_Käynnit!O349</f>
        <v>0</v>
      </c>
      <c r="AH342" s="207">
        <f>IF(AA342="SSD",((U342*Alukset_fx!$B$24)*Alukset_Käynnit_Lask!W342*(Alukset_fx!$K$49)/1000),IF(AA342="MSD",((U342*Alukset_fx!$B$24)*Alukset_Käynnit_Lask!W342*(Alukset_fx!$K$52)/1000),IF(AA342="HSD",((U342*Alukset_fx!$B$24)*Alukset_Käynnit_Lask!W342*(Alukset_fx!$K$55)/1000),0)))</f>
        <v>0</v>
      </c>
      <c r="AI342" s="207">
        <f>IF(AC342="MSD",((V342*Alukset_fx!$B$25)*Alukset_Käynnit_Lask!W342*(Alukset_fx!$L$52)/1000),IF(AC342="HSD",((V342*Alukset_fx!$B$25)*Alukset_Käynnit_Lask!W342*(Alukset_fx!$L$55)/1000),0))</f>
        <v>0</v>
      </c>
      <c r="AJ342" s="207">
        <f>X342*W342*Alukset_fx!$K$61/1000</f>
        <v>0</v>
      </c>
      <c r="AK342">
        <v>0</v>
      </c>
      <c r="AL342" s="207">
        <f>IF(AG342="Käytetty",0,IF(AC342="MSD",((V342*Alukset_fx!$O$25)*Alukset_Käynnit_Lask!O342*(Alukset_fx!$L$52)/1000),IF(AC342="HSD",((V342*Alukset_fx!$O$25)*Alukset_Käynnit_Lask!O342*(Alukset_fx!$L$55)/1000),0)))</f>
        <v>0</v>
      </c>
      <c r="AM342" s="207">
        <f>IF(AG342="Käytetty",0,Y342*O342*Alukset_fx!$K$61/1000)</f>
        <v>0</v>
      </c>
      <c r="AN342" s="213">
        <f t="shared" si="74"/>
        <v>0</v>
      </c>
    </row>
    <row r="343" spans="1:40" x14ac:dyDescent="0.25">
      <c r="A343" s="203">
        <f>Alukset_Käynnit!A350</f>
        <v>0</v>
      </c>
      <c r="B343" s="203">
        <f>Alukset_Käynnit!B350</f>
        <v>0</v>
      </c>
      <c r="C343" s="262">
        <f>Alukset_Käynnit!C350</f>
        <v>0</v>
      </c>
      <c r="D343" s="266">
        <f>Alukset_Käynnit!D350</f>
        <v>0</v>
      </c>
      <c r="E343" s="262">
        <f>Alukset_Käynnit!E350</f>
        <v>0</v>
      </c>
      <c r="F343" s="262">
        <f>Alukset_Käynnit!F350</f>
        <v>0</v>
      </c>
      <c r="G343" s="262">
        <f>Alukset_Käynnit!G350</f>
        <v>0</v>
      </c>
      <c r="H343" s="262">
        <f>Alukset_Käynnit!H350</f>
        <v>0</v>
      </c>
      <c r="I343" s="262">
        <f>Alukset_Käynnit!I350</f>
        <v>0</v>
      </c>
      <c r="J343" s="262">
        <f>Alukset_Käynnit!J350</f>
        <v>0</v>
      </c>
      <c r="K343" s="262">
        <f>Alukset_Käynnit!K350</f>
        <v>0</v>
      </c>
      <c r="L343" s="205">
        <f>Alukset_Käynnit!L350</f>
        <v>0</v>
      </c>
      <c r="N343" s="273">
        <f t="shared" si="75"/>
        <v>0</v>
      </c>
      <c r="O343" s="274">
        <f t="shared" si="76"/>
        <v>0</v>
      </c>
      <c r="Q343" s="204">
        <f t="shared" si="65"/>
        <v>0</v>
      </c>
      <c r="R343" s="202">
        <f>IF(Q343="Other dry cargo",L343*Alukset_fx!$B$71,IF(OR(Q343="Dry bulk",Q343="Bulk carrier"),L343*Alukset_fx!$B$69,IF(Q343="Tugboat",L343*Alukset_fx!$B$76,IF(OR(Q343="Tanker",Q343="Gas tanker",Q343="Chemical tanker",Q343="Oil tanker"),L343*Alukset_fx!$B$68,IF(OR(Q343="RoRo",Q343="Vehicle carrier"),L343*Alukset_fx!$B$72,IF(Q343="RoPax",L343*Alukset_fx!$B$73,IF(Q343="Container ship",L343*Alukset_fx!$B$70,IF(Q343="Barge",0,L343*Alukset_fx!$B$75))))))))</f>
        <v>0</v>
      </c>
      <c r="S343" s="210">
        <f>IF(L343=0,IF(Q343="Other dry cargo",Alukset_fx!$H$73*(Alukset_Käynnit_Lask!K343^Alukset_fx!$I$73),IF(OR(Q343="Dry Bulk",Q343="Bulk carrier"),Alukset_fx!$H$71*(Alukset_Käynnit_Lask!K343^Alukset_fx!$I$71),IF(Q343="Tugboat",Alukset_fx!$H$78*(Alukset_Käynnit_Lask!K343^Alukset_fx!$I$78),IF(OR(Q343="Tanker",Q343="Gas tanker",Q343="Chemical tanker",Q343="Oil tanker"),Alukset_fx!$H$70*(Alukset_Käynnit_Lask!K343^Alukset_fx!$I$70),IF(Q343="Container ship",Alukset_fx!$H$72*(Alukset_Käynnit_Lask!K343^Alukset_fx!$I$72),IF(Q343="Barge",0,IF(Q343="RoPax",Alukset_fx!$H$75*(Alukset_Käynnit_Lask!K343^Alukset_fx!$I$75),IF(OR(Q343="RoRo",Q343="Vehicle carrier"),Alukset_fx!$H$74*(Alukset_Käynnit_Lask!K343^Alukset_fx!$I$74),Alukset_fx!$H$77*(Alukset_Käynnit_Lask!K343^Alukset_fx!$I$77))))))))),"-")</f>
        <v>0</v>
      </c>
      <c r="T343" s="208">
        <f>IF(R343=0,IF(Q343="Other dry cargo",S343*Alukset_fx!$B$71,IF(OR(Q343="Dry bulk",Q343="Bulk carrier"),S343*Alukset_fx!$B$69,IF(Q343="Tugboat",S343*Alukset_fx!$B$76,IF(OR(Q343="Tanker",Q343="Gas tanker",Q343="Chemical tanker",Q343="Oil tanker"),S343*Alukset_fx!$B$68,IF(OR(Q343="RoRo",Q343="Vehicle carrier"),S343*Alukset_fx!$B$72,IF(Q343="RoPax",S343*Alukset_fx!$B$73,IF(Q343="Container ship",S343*Alukset_fx!$B$70,S343*Alukset_fx!$B$75))))))),"-")</f>
        <v>0</v>
      </c>
      <c r="U343" s="208">
        <f t="shared" si="66"/>
        <v>0</v>
      </c>
      <c r="V343" s="208">
        <f t="shared" si="67"/>
        <v>0</v>
      </c>
      <c r="W343" s="202">
        <f>Alukset_Käynnit!N350</f>
        <v>0</v>
      </c>
      <c r="X343" s="211">
        <f>IF(Q343="Other dry cargo", Alukset_fx!$C$52, IF(OR(Q343="Dry bulk",Q343="Bulk carrier"),Alukset_fx!$C$35,IF(OR(Q343="Tanker",Q343="Gas tanker",Q343="Oil tanker"),Alukset_fx!$C$57,IF(Q343="Chemical tanker",Alukset_fx!$C$56,IF(OR(Q343="Tugboat",Q343="Barge"),0,IF(Q343="Other vessel",Alukset_fx!$C$54,IF(Q343="Container ship",Alukset_fx!$C$37,IF(OR(Q343="RoPax",Q343="RoRo",Q343="Vehicle carrier"),Alukset_fx!$C$55,0))))))))</f>
        <v>0</v>
      </c>
      <c r="Y343" s="211">
        <f>IF(Q343="Other dry cargo", Alukset_fx!$Q$52, IF(OR(Q343="Dry bulk",Q343="Bulk carrier"),Alukset_fx!$Q$35,IF(OR(Q343="Tanker",Q343="Gas tanker",Q343="Oil tanker"),Alukset_fx!$Q$57,IF(Q343="Chemical tanker",Alukset_fx!$Q$56,IF(OR(Q343="Tugboat",Q343="Barge"),0,IF(Q343="Other vessel",Alukset_fx!$Q$54,IF(Q343="Container ship",Alukset_fx!$Q$37,IF(OR(Q343="RoPax",Q343="RoRo",Q343="Vehicle carrier"),Alukset_fx!$Q$55,0))))))))</f>
        <v>0</v>
      </c>
      <c r="Z343" t="str">
        <f t="shared" si="68"/>
        <v>MDO/MGO</v>
      </c>
      <c r="AA343" t="str">
        <f t="shared" si="69"/>
        <v>MSD</v>
      </c>
      <c r="AB343" t="str">
        <f t="shared" si="70"/>
        <v>MDO/MGO</v>
      </c>
      <c r="AC343" t="str">
        <f t="shared" si="71"/>
        <v>MSD</v>
      </c>
      <c r="AD343" t="str">
        <f t="shared" si="72"/>
        <v>MDO/MGO</v>
      </c>
      <c r="AE343" t="str">
        <f t="shared" si="73"/>
        <v>ST</v>
      </c>
      <c r="AG343">
        <f>Alukset_Käynnit!O350</f>
        <v>0</v>
      </c>
      <c r="AH343" s="207">
        <f>IF(AA343="SSD",((U343*Alukset_fx!$B$24)*Alukset_Käynnit_Lask!W343*(Alukset_fx!$K$49)/1000),IF(AA343="MSD",((U343*Alukset_fx!$B$24)*Alukset_Käynnit_Lask!W343*(Alukset_fx!$K$52)/1000),IF(AA343="HSD",((U343*Alukset_fx!$B$24)*Alukset_Käynnit_Lask!W343*(Alukset_fx!$K$55)/1000),0)))</f>
        <v>0</v>
      </c>
      <c r="AI343" s="207">
        <f>IF(AC343="MSD",((V343*Alukset_fx!$B$25)*Alukset_Käynnit_Lask!W343*(Alukset_fx!$L$52)/1000),IF(AC343="HSD",((V343*Alukset_fx!$B$25)*Alukset_Käynnit_Lask!W343*(Alukset_fx!$L$55)/1000),0))</f>
        <v>0</v>
      </c>
      <c r="AJ343" s="207">
        <f>X343*W343*Alukset_fx!$K$61/1000</f>
        <v>0</v>
      </c>
      <c r="AK343">
        <v>0</v>
      </c>
      <c r="AL343" s="207">
        <f>IF(AG343="Käytetty",0,IF(AC343="MSD",((V343*Alukset_fx!$O$25)*Alukset_Käynnit_Lask!O343*(Alukset_fx!$L$52)/1000),IF(AC343="HSD",((V343*Alukset_fx!$O$25)*Alukset_Käynnit_Lask!O343*(Alukset_fx!$L$55)/1000),0)))</f>
        <v>0</v>
      </c>
      <c r="AM343" s="207">
        <f>IF(AG343="Käytetty",0,Y343*O343*Alukset_fx!$K$61/1000)</f>
        <v>0</v>
      </c>
      <c r="AN343" s="213">
        <f t="shared" si="74"/>
        <v>0</v>
      </c>
    </row>
    <row r="344" spans="1:40" x14ac:dyDescent="0.25">
      <c r="A344" s="203">
        <f>Alukset_Käynnit!A351</f>
        <v>0</v>
      </c>
      <c r="B344" s="203">
        <f>Alukset_Käynnit!B351</f>
        <v>0</v>
      </c>
      <c r="C344" s="262">
        <f>Alukset_Käynnit!C351</f>
        <v>0</v>
      </c>
      <c r="D344" s="266">
        <f>Alukset_Käynnit!D351</f>
        <v>0</v>
      </c>
      <c r="E344" s="262">
        <f>Alukset_Käynnit!E351</f>
        <v>0</v>
      </c>
      <c r="F344" s="262">
        <f>Alukset_Käynnit!F351</f>
        <v>0</v>
      </c>
      <c r="G344" s="262">
        <f>Alukset_Käynnit!G351</f>
        <v>0</v>
      </c>
      <c r="H344" s="262">
        <f>Alukset_Käynnit!H351</f>
        <v>0</v>
      </c>
      <c r="I344" s="262">
        <f>Alukset_Käynnit!I351</f>
        <v>0</v>
      </c>
      <c r="J344" s="262">
        <f>Alukset_Käynnit!J351</f>
        <v>0</v>
      </c>
      <c r="K344" s="262">
        <f>Alukset_Käynnit!K351</f>
        <v>0</v>
      </c>
      <c r="L344" s="205">
        <f>Alukset_Käynnit!L351</f>
        <v>0</v>
      </c>
      <c r="N344" s="273">
        <f t="shared" si="75"/>
        <v>0</v>
      </c>
      <c r="O344" s="274">
        <f t="shared" si="76"/>
        <v>0</v>
      </c>
      <c r="Q344" s="204">
        <f t="shared" si="65"/>
        <v>0</v>
      </c>
      <c r="R344" s="202">
        <f>IF(Q344="Other dry cargo",L344*Alukset_fx!$B$71,IF(OR(Q344="Dry bulk",Q344="Bulk carrier"),L344*Alukset_fx!$B$69,IF(Q344="Tugboat",L344*Alukset_fx!$B$76,IF(OR(Q344="Tanker",Q344="Gas tanker",Q344="Chemical tanker",Q344="Oil tanker"),L344*Alukset_fx!$B$68,IF(OR(Q344="RoRo",Q344="Vehicle carrier"),L344*Alukset_fx!$B$72,IF(Q344="RoPax",L344*Alukset_fx!$B$73,IF(Q344="Container ship",L344*Alukset_fx!$B$70,IF(Q344="Barge",0,L344*Alukset_fx!$B$75))))))))</f>
        <v>0</v>
      </c>
      <c r="S344" s="210">
        <f>IF(L344=0,IF(Q344="Other dry cargo",Alukset_fx!$H$73*(Alukset_Käynnit_Lask!K344^Alukset_fx!$I$73),IF(OR(Q344="Dry Bulk",Q344="Bulk carrier"),Alukset_fx!$H$71*(Alukset_Käynnit_Lask!K344^Alukset_fx!$I$71),IF(Q344="Tugboat",Alukset_fx!$H$78*(Alukset_Käynnit_Lask!K344^Alukset_fx!$I$78),IF(OR(Q344="Tanker",Q344="Gas tanker",Q344="Chemical tanker",Q344="Oil tanker"),Alukset_fx!$H$70*(Alukset_Käynnit_Lask!K344^Alukset_fx!$I$70),IF(Q344="Container ship",Alukset_fx!$H$72*(Alukset_Käynnit_Lask!K344^Alukset_fx!$I$72),IF(Q344="Barge",0,IF(Q344="RoPax",Alukset_fx!$H$75*(Alukset_Käynnit_Lask!K344^Alukset_fx!$I$75),IF(OR(Q344="RoRo",Q344="Vehicle carrier"),Alukset_fx!$H$74*(Alukset_Käynnit_Lask!K344^Alukset_fx!$I$74),Alukset_fx!$H$77*(Alukset_Käynnit_Lask!K344^Alukset_fx!$I$77))))))))),"-")</f>
        <v>0</v>
      </c>
      <c r="T344" s="208">
        <f>IF(R344=0,IF(Q344="Other dry cargo",S344*Alukset_fx!$B$71,IF(OR(Q344="Dry bulk",Q344="Bulk carrier"),S344*Alukset_fx!$B$69,IF(Q344="Tugboat",S344*Alukset_fx!$B$76,IF(OR(Q344="Tanker",Q344="Gas tanker",Q344="Chemical tanker",Q344="Oil tanker"),S344*Alukset_fx!$B$68,IF(OR(Q344="RoRo",Q344="Vehicle carrier"),S344*Alukset_fx!$B$72,IF(Q344="RoPax",S344*Alukset_fx!$B$73,IF(Q344="Container ship",S344*Alukset_fx!$B$70,S344*Alukset_fx!$B$75))))))),"-")</f>
        <v>0</v>
      </c>
      <c r="U344" s="208">
        <f t="shared" si="66"/>
        <v>0</v>
      </c>
      <c r="V344" s="208">
        <f t="shared" si="67"/>
        <v>0</v>
      </c>
      <c r="W344" s="202">
        <f>Alukset_Käynnit!N351</f>
        <v>0</v>
      </c>
      <c r="X344" s="211">
        <f>IF(Q344="Other dry cargo", Alukset_fx!$C$52, IF(OR(Q344="Dry bulk",Q344="Bulk carrier"),Alukset_fx!$C$35,IF(OR(Q344="Tanker",Q344="Gas tanker",Q344="Oil tanker"),Alukset_fx!$C$57,IF(Q344="Chemical tanker",Alukset_fx!$C$56,IF(OR(Q344="Tugboat",Q344="Barge"),0,IF(Q344="Other vessel",Alukset_fx!$C$54,IF(Q344="Container ship",Alukset_fx!$C$37,IF(OR(Q344="RoPax",Q344="RoRo",Q344="Vehicle carrier"),Alukset_fx!$C$55,0))))))))</f>
        <v>0</v>
      </c>
      <c r="Y344" s="211">
        <f>IF(Q344="Other dry cargo", Alukset_fx!$Q$52, IF(OR(Q344="Dry bulk",Q344="Bulk carrier"),Alukset_fx!$Q$35,IF(OR(Q344="Tanker",Q344="Gas tanker",Q344="Oil tanker"),Alukset_fx!$Q$57,IF(Q344="Chemical tanker",Alukset_fx!$Q$56,IF(OR(Q344="Tugboat",Q344="Barge"),0,IF(Q344="Other vessel",Alukset_fx!$Q$54,IF(Q344="Container ship",Alukset_fx!$Q$37,IF(OR(Q344="RoPax",Q344="RoRo",Q344="Vehicle carrier"),Alukset_fx!$Q$55,0))))))))</f>
        <v>0</v>
      </c>
      <c r="Z344" t="str">
        <f t="shared" si="68"/>
        <v>MDO/MGO</v>
      </c>
      <c r="AA344" t="str">
        <f t="shared" si="69"/>
        <v>MSD</v>
      </c>
      <c r="AB344" t="str">
        <f t="shared" si="70"/>
        <v>MDO/MGO</v>
      </c>
      <c r="AC344" t="str">
        <f t="shared" si="71"/>
        <v>MSD</v>
      </c>
      <c r="AD344" t="str">
        <f t="shared" si="72"/>
        <v>MDO/MGO</v>
      </c>
      <c r="AE344" t="str">
        <f t="shared" si="73"/>
        <v>ST</v>
      </c>
      <c r="AG344">
        <f>Alukset_Käynnit!O351</f>
        <v>0</v>
      </c>
      <c r="AH344" s="207">
        <f>IF(AA344="SSD",((U344*Alukset_fx!$B$24)*Alukset_Käynnit_Lask!W344*(Alukset_fx!$K$49)/1000),IF(AA344="MSD",((U344*Alukset_fx!$B$24)*Alukset_Käynnit_Lask!W344*(Alukset_fx!$K$52)/1000),IF(AA344="HSD",((U344*Alukset_fx!$B$24)*Alukset_Käynnit_Lask!W344*(Alukset_fx!$K$55)/1000),0)))</f>
        <v>0</v>
      </c>
      <c r="AI344" s="207">
        <f>IF(AC344="MSD",((V344*Alukset_fx!$B$25)*Alukset_Käynnit_Lask!W344*(Alukset_fx!$L$52)/1000),IF(AC344="HSD",((V344*Alukset_fx!$B$25)*Alukset_Käynnit_Lask!W344*(Alukset_fx!$L$55)/1000),0))</f>
        <v>0</v>
      </c>
      <c r="AJ344" s="207">
        <f>X344*W344*Alukset_fx!$K$61/1000</f>
        <v>0</v>
      </c>
      <c r="AK344">
        <v>0</v>
      </c>
      <c r="AL344" s="207">
        <f>IF(AG344="Käytetty",0,IF(AC344="MSD",((V344*Alukset_fx!$O$25)*Alukset_Käynnit_Lask!O344*(Alukset_fx!$L$52)/1000),IF(AC344="HSD",((V344*Alukset_fx!$O$25)*Alukset_Käynnit_Lask!O344*(Alukset_fx!$L$55)/1000),0)))</f>
        <v>0</v>
      </c>
      <c r="AM344" s="207">
        <f>IF(AG344="Käytetty",0,Y344*O344*Alukset_fx!$K$61/1000)</f>
        <v>0</v>
      </c>
      <c r="AN344" s="213">
        <f t="shared" si="74"/>
        <v>0</v>
      </c>
    </row>
    <row r="345" spans="1:40" x14ac:dyDescent="0.25">
      <c r="A345" s="203">
        <f>Alukset_Käynnit!A352</f>
        <v>0</v>
      </c>
      <c r="B345" s="203">
        <f>Alukset_Käynnit!B352</f>
        <v>0</v>
      </c>
      <c r="C345" s="262">
        <f>Alukset_Käynnit!C352</f>
        <v>0</v>
      </c>
      <c r="D345" s="266">
        <f>Alukset_Käynnit!D352</f>
        <v>0</v>
      </c>
      <c r="E345" s="262">
        <f>Alukset_Käynnit!E352</f>
        <v>0</v>
      </c>
      <c r="F345" s="262">
        <f>Alukset_Käynnit!F352</f>
        <v>0</v>
      </c>
      <c r="G345" s="262">
        <f>Alukset_Käynnit!G352</f>
        <v>0</v>
      </c>
      <c r="H345" s="262">
        <f>Alukset_Käynnit!H352</f>
        <v>0</v>
      </c>
      <c r="I345" s="262">
        <f>Alukset_Käynnit!I352</f>
        <v>0</v>
      </c>
      <c r="J345" s="262">
        <f>Alukset_Käynnit!J352</f>
        <v>0</v>
      </c>
      <c r="K345" s="262">
        <f>Alukset_Käynnit!K352</f>
        <v>0</v>
      </c>
      <c r="L345" s="205">
        <f>Alukset_Käynnit!L352</f>
        <v>0</v>
      </c>
      <c r="N345" s="273">
        <f t="shared" si="75"/>
        <v>0</v>
      </c>
      <c r="O345" s="274">
        <f t="shared" si="76"/>
        <v>0</v>
      </c>
      <c r="Q345" s="204">
        <f t="shared" si="65"/>
        <v>0</v>
      </c>
      <c r="R345" s="202">
        <f>IF(Q345="Other dry cargo",L345*Alukset_fx!$B$71,IF(OR(Q345="Dry bulk",Q345="Bulk carrier"),L345*Alukset_fx!$B$69,IF(Q345="Tugboat",L345*Alukset_fx!$B$76,IF(OR(Q345="Tanker",Q345="Gas tanker",Q345="Chemical tanker",Q345="Oil tanker"),L345*Alukset_fx!$B$68,IF(OR(Q345="RoRo",Q345="Vehicle carrier"),L345*Alukset_fx!$B$72,IF(Q345="RoPax",L345*Alukset_fx!$B$73,IF(Q345="Container ship",L345*Alukset_fx!$B$70,IF(Q345="Barge",0,L345*Alukset_fx!$B$75))))))))</f>
        <v>0</v>
      </c>
      <c r="S345" s="210">
        <f>IF(L345=0,IF(Q345="Other dry cargo",Alukset_fx!$H$73*(Alukset_Käynnit_Lask!K345^Alukset_fx!$I$73),IF(OR(Q345="Dry Bulk",Q345="Bulk carrier"),Alukset_fx!$H$71*(Alukset_Käynnit_Lask!K345^Alukset_fx!$I$71),IF(Q345="Tugboat",Alukset_fx!$H$78*(Alukset_Käynnit_Lask!K345^Alukset_fx!$I$78),IF(OR(Q345="Tanker",Q345="Gas tanker",Q345="Chemical tanker",Q345="Oil tanker"),Alukset_fx!$H$70*(Alukset_Käynnit_Lask!K345^Alukset_fx!$I$70),IF(Q345="Container ship",Alukset_fx!$H$72*(Alukset_Käynnit_Lask!K345^Alukset_fx!$I$72),IF(Q345="Barge",0,IF(Q345="RoPax",Alukset_fx!$H$75*(Alukset_Käynnit_Lask!K345^Alukset_fx!$I$75),IF(OR(Q345="RoRo",Q345="Vehicle carrier"),Alukset_fx!$H$74*(Alukset_Käynnit_Lask!K345^Alukset_fx!$I$74),Alukset_fx!$H$77*(Alukset_Käynnit_Lask!K345^Alukset_fx!$I$77))))))))),"-")</f>
        <v>0</v>
      </c>
      <c r="T345" s="208">
        <f>IF(R345=0,IF(Q345="Other dry cargo",S345*Alukset_fx!$B$71,IF(OR(Q345="Dry bulk",Q345="Bulk carrier"),S345*Alukset_fx!$B$69,IF(Q345="Tugboat",S345*Alukset_fx!$B$76,IF(OR(Q345="Tanker",Q345="Gas tanker",Q345="Chemical tanker",Q345="Oil tanker"),S345*Alukset_fx!$B$68,IF(OR(Q345="RoRo",Q345="Vehicle carrier"),S345*Alukset_fx!$B$72,IF(Q345="RoPax",S345*Alukset_fx!$B$73,IF(Q345="Container ship",S345*Alukset_fx!$B$70,S345*Alukset_fx!$B$75))))))),"-")</f>
        <v>0</v>
      </c>
      <c r="U345" s="208">
        <f t="shared" si="66"/>
        <v>0</v>
      </c>
      <c r="V345" s="208">
        <f t="shared" si="67"/>
        <v>0</v>
      </c>
      <c r="W345" s="202">
        <f>Alukset_Käynnit!N352</f>
        <v>0</v>
      </c>
      <c r="X345" s="211">
        <f>IF(Q345="Other dry cargo", Alukset_fx!$C$52, IF(OR(Q345="Dry bulk",Q345="Bulk carrier"),Alukset_fx!$C$35,IF(OR(Q345="Tanker",Q345="Gas tanker",Q345="Oil tanker"),Alukset_fx!$C$57,IF(Q345="Chemical tanker",Alukset_fx!$C$56,IF(OR(Q345="Tugboat",Q345="Barge"),0,IF(Q345="Other vessel",Alukset_fx!$C$54,IF(Q345="Container ship",Alukset_fx!$C$37,IF(OR(Q345="RoPax",Q345="RoRo",Q345="Vehicle carrier"),Alukset_fx!$C$55,0))))))))</f>
        <v>0</v>
      </c>
      <c r="Y345" s="211">
        <f>IF(Q345="Other dry cargo", Alukset_fx!$Q$52, IF(OR(Q345="Dry bulk",Q345="Bulk carrier"),Alukset_fx!$Q$35,IF(OR(Q345="Tanker",Q345="Gas tanker",Q345="Oil tanker"),Alukset_fx!$Q$57,IF(Q345="Chemical tanker",Alukset_fx!$Q$56,IF(OR(Q345="Tugboat",Q345="Barge"),0,IF(Q345="Other vessel",Alukset_fx!$Q$54,IF(Q345="Container ship",Alukset_fx!$Q$37,IF(OR(Q345="RoPax",Q345="RoRo",Q345="Vehicle carrier"),Alukset_fx!$Q$55,0))))))))</f>
        <v>0</v>
      </c>
      <c r="Z345" t="str">
        <f t="shared" si="68"/>
        <v>MDO/MGO</v>
      </c>
      <c r="AA345" t="str">
        <f t="shared" si="69"/>
        <v>MSD</v>
      </c>
      <c r="AB345" t="str">
        <f t="shared" si="70"/>
        <v>MDO/MGO</v>
      </c>
      <c r="AC345" t="str">
        <f t="shared" si="71"/>
        <v>MSD</v>
      </c>
      <c r="AD345" t="str">
        <f t="shared" si="72"/>
        <v>MDO/MGO</v>
      </c>
      <c r="AE345" t="str">
        <f t="shared" si="73"/>
        <v>ST</v>
      </c>
      <c r="AG345">
        <f>Alukset_Käynnit!O352</f>
        <v>0</v>
      </c>
      <c r="AH345" s="207">
        <f>IF(AA345="SSD",((U345*Alukset_fx!$B$24)*Alukset_Käynnit_Lask!W345*(Alukset_fx!$K$49)/1000),IF(AA345="MSD",((U345*Alukset_fx!$B$24)*Alukset_Käynnit_Lask!W345*(Alukset_fx!$K$52)/1000),IF(AA345="HSD",((U345*Alukset_fx!$B$24)*Alukset_Käynnit_Lask!W345*(Alukset_fx!$K$55)/1000),0)))</f>
        <v>0</v>
      </c>
      <c r="AI345" s="207">
        <f>IF(AC345="MSD",((V345*Alukset_fx!$B$25)*Alukset_Käynnit_Lask!W345*(Alukset_fx!$L$52)/1000),IF(AC345="HSD",((V345*Alukset_fx!$B$25)*Alukset_Käynnit_Lask!W345*(Alukset_fx!$L$55)/1000),0))</f>
        <v>0</v>
      </c>
      <c r="AJ345" s="207">
        <f>X345*W345*Alukset_fx!$K$61/1000</f>
        <v>0</v>
      </c>
      <c r="AK345">
        <v>0</v>
      </c>
      <c r="AL345" s="207">
        <f>IF(AG345="Käytetty",0,IF(AC345="MSD",((V345*Alukset_fx!$O$25)*Alukset_Käynnit_Lask!O345*(Alukset_fx!$L$52)/1000),IF(AC345="HSD",((V345*Alukset_fx!$O$25)*Alukset_Käynnit_Lask!O345*(Alukset_fx!$L$55)/1000),0)))</f>
        <v>0</v>
      </c>
      <c r="AM345" s="207">
        <f>IF(AG345="Käytetty",0,Y345*O345*Alukset_fx!$K$61/1000)</f>
        <v>0</v>
      </c>
      <c r="AN345" s="213">
        <f t="shared" si="74"/>
        <v>0</v>
      </c>
    </row>
    <row r="346" spans="1:40" x14ac:dyDescent="0.25">
      <c r="A346" s="203">
        <f>Alukset_Käynnit!A353</f>
        <v>0</v>
      </c>
      <c r="B346" s="203">
        <f>Alukset_Käynnit!B353</f>
        <v>0</v>
      </c>
      <c r="C346" s="262">
        <f>Alukset_Käynnit!C353</f>
        <v>0</v>
      </c>
      <c r="D346" s="266">
        <f>Alukset_Käynnit!D353</f>
        <v>0</v>
      </c>
      <c r="E346" s="262">
        <f>Alukset_Käynnit!E353</f>
        <v>0</v>
      </c>
      <c r="F346" s="262">
        <f>Alukset_Käynnit!F353</f>
        <v>0</v>
      </c>
      <c r="G346" s="262">
        <f>Alukset_Käynnit!G353</f>
        <v>0</v>
      </c>
      <c r="H346" s="262">
        <f>Alukset_Käynnit!H353</f>
        <v>0</v>
      </c>
      <c r="I346" s="262">
        <f>Alukset_Käynnit!I353</f>
        <v>0</v>
      </c>
      <c r="J346" s="262">
        <f>Alukset_Käynnit!J353</f>
        <v>0</v>
      </c>
      <c r="K346" s="262">
        <f>Alukset_Käynnit!K353</f>
        <v>0</v>
      </c>
      <c r="L346" s="205">
        <f>Alukset_Käynnit!L353</f>
        <v>0</v>
      </c>
      <c r="N346" s="273">
        <f t="shared" si="75"/>
        <v>0</v>
      </c>
      <c r="O346" s="274">
        <f t="shared" si="76"/>
        <v>0</v>
      </c>
      <c r="Q346" s="204">
        <f t="shared" si="65"/>
        <v>0</v>
      </c>
      <c r="R346" s="202">
        <f>IF(Q346="Other dry cargo",L346*Alukset_fx!$B$71,IF(OR(Q346="Dry bulk",Q346="Bulk carrier"),L346*Alukset_fx!$B$69,IF(Q346="Tugboat",L346*Alukset_fx!$B$76,IF(OR(Q346="Tanker",Q346="Gas tanker",Q346="Chemical tanker",Q346="Oil tanker"),L346*Alukset_fx!$B$68,IF(OR(Q346="RoRo",Q346="Vehicle carrier"),L346*Alukset_fx!$B$72,IF(Q346="RoPax",L346*Alukset_fx!$B$73,IF(Q346="Container ship",L346*Alukset_fx!$B$70,IF(Q346="Barge",0,L346*Alukset_fx!$B$75))))))))</f>
        <v>0</v>
      </c>
      <c r="S346" s="210">
        <f>IF(L346=0,IF(Q346="Other dry cargo",Alukset_fx!$H$73*(Alukset_Käynnit_Lask!K346^Alukset_fx!$I$73),IF(OR(Q346="Dry Bulk",Q346="Bulk carrier"),Alukset_fx!$H$71*(Alukset_Käynnit_Lask!K346^Alukset_fx!$I$71),IF(Q346="Tugboat",Alukset_fx!$H$78*(Alukset_Käynnit_Lask!K346^Alukset_fx!$I$78),IF(OR(Q346="Tanker",Q346="Gas tanker",Q346="Chemical tanker",Q346="Oil tanker"),Alukset_fx!$H$70*(Alukset_Käynnit_Lask!K346^Alukset_fx!$I$70),IF(Q346="Container ship",Alukset_fx!$H$72*(Alukset_Käynnit_Lask!K346^Alukset_fx!$I$72),IF(Q346="Barge",0,IF(Q346="RoPax",Alukset_fx!$H$75*(Alukset_Käynnit_Lask!K346^Alukset_fx!$I$75),IF(OR(Q346="RoRo",Q346="Vehicle carrier"),Alukset_fx!$H$74*(Alukset_Käynnit_Lask!K346^Alukset_fx!$I$74),Alukset_fx!$H$77*(Alukset_Käynnit_Lask!K346^Alukset_fx!$I$77))))))))),"-")</f>
        <v>0</v>
      </c>
      <c r="T346" s="208">
        <f>IF(R346=0,IF(Q346="Other dry cargo",S346*Alukset_fx!$B$71,IF(OR(Q346="Dry bulk",Q346="Bulk carrier"),S346*Alukset_fx!$B$69,IF(Q346="Tugboat",S346*Alukset_fx!$B$76,IF(OR(Q346="Tanker",Q346="Gas tanker",Q346="Chemical tanker",Q346="Oil tanker"),S346*Alukset_fx!$B$68,IF(OR(Q346="RoRo",Q346="Vehicle carrier"),S346*Alukset_fx!$B$72,IF(Q346="RoPax",S346*Alukset_fx!$B$73,IF(Q346="Container ship",S346*Alukset_fx!$B$70,S346*Alukset_fx!$B$75))))))),"-")</f>
        <v>0</v>
      </c>
      <c r="U346" s="208">
        <f t="shared" si="66"/>
        <v>0</v>
      </c>
      <c r="V346" s="208">
        <f t="shared" si="67"/>
        <v>0</v>
      </c>
      <c r="W346" s="202">
        <f>Alukset_Käynnit!N353</f>
        <v>0</v>
      </c>
      <c r="X346" s="211">
        <f>IF(Q346="Other dry cargo", Alukset_fx!$C$52, IF(OR(Q346="Dry bulk",Q346="Bulk carrier"),Alukset_fx!$C$35,IF(OR(Q346="Tanker",Q346="Gas tanker",Q346="Oil tanker"),Alukset_fx!$C$57,IF(Q346="Chemical tanker",Alukset_fx!$C$56,IF(OR(Q346="Tugboat",Q346="Barge"),0,IF(Q346="Other vessel",Alukset_fx!$C$54,IF(Q346="Container ship",Alukset_fx!$C$37,IF(OR(Q346="RoPax",Q346="RoRo",Q346="Vehicle carrier"),Alukset_fx!$C$55,0))))))))</f>
        <v>0</v>
      </c>
      <c r="Y346" s="211">
        <f>IF(Q346="Other dry cargo", Alukset_fx!$Q$52, IF(OR(Q346="Dry bulk",Q346="Bulk carrier"),Alukset_fx!$Q$35,IF(OR(Q346="Tanker",Q346="Gas tanker",Q346="Oil tanker"),Alukset_fx!$Q$57,IF(Q346="Chemical tanker",Alukset_fx!$Q$56,IF(OR(Q346="Tugboat",Q346="Barge"),0,IF(Q346="Other vessel",Alukset_fx!$Q$54,IF(Q346="Container ship",Alukset_fx!$Q$37,IF(OR(Q346="RoPax",Q346="RoRo",Q346="Vehicle carrier"),Alukset_fx!$Q$55,0))))))))</f>
        <v>0</v>
      </c>
      <c r="Z346" t="str">
        <f t="shared" si="68"/>
        <v>MDO/MGO</v>
      </c>
      <c r="AA346" t="str">
        <f t="shared" si="69"/>
        <v>MSD</v>
      </c>
      <c r="AB346" t="str">
        <f t="shared" si="70"/>
        <v>MDO/MGO</v>
      </c>
      <c r="AC346" t="str">
        <f t="shared" si="71"/>
        <v>MSD</v>
      </c>
      <c r="AD346" t="str">
        <f t="shared" si="72"/>
        <v>MDO/MGO</v>
      </c>
      <c r="AE346" t="str">
        <f t="shared" si="73"/>
        <v>ST</v>
      </c>
      <c r="AG346">
        <f>Alukset_Käynnit!O353</f>
        <v>0</v>
      </c>
      <c r="AH346" s="207">
        <f>IF(AA346="SSD",((U346*Alukset_fx!$B$24)*Alukset_Käynnit_Lask!W346*(Alukset_fx!$K$49)/1000),IF(AA346="MSD",((U346*Alukset_fx!$B$24)*Alukset_Käynnit_Lask!W346*(Alukset_fx!$K$52)/1000),IF(AA346="HSD",((U346*Alukset_fx!$B$24)*Alukset_Käynnit_Lask!W346*(Alukset_fx!$K$55)/1000),0)))</f>
        <v>0</v>
      </c>
      <c r="AI346" s="207">
        <f>IF(AC346="MSD",((V346*Alukset_fx!$B$25)*Alukset_Käynnit_Lask!W346*(Alukset_fx!$L$52)/1000),IF(AC346="HSD",((V346*Alukset_fx!$B$25)*Alukset_Käynnit_Lask!W346*(Alukset_fx!$L$55)/1000),0))</f>
        <v>0</v>
      </c>
      <c r="AJ346" s="207">
        <f>X346*W346*Alukset_fx!$K$61/1000</f>
        <v>0</v>
      </c>
      <c r="AK346">
        <v>0</v>
      </c>
      <c r="AL346" s="207">
        <f>IF(AG346="Käytetty",0,IF(AC346="MSD",((V346*Alukset_fx!$O$25)*Alukset_Käynnit_Lask!O346*(Alukset_fx!$L$52)/1000),IF(AC346="HSD",((V346*Alukset_fx!$O$25)*Alukset_Käynnit_Lask!O346*(Alukset_fx!$L$55)/1000),0)))</f>
        <v>0</v>
      </c>
      <c r="AM346" s="207">
        <f>IF(AG346="Käytetty",0,Y346*O346*Alukset_fx!$K$61/1000)</f>
        <v>0</v>
      </c>
      <c r="AN346" s="213">
        <f t="shared" si="74"/>
        <v>0</v>
      </c>
    </row>
    <row r="347" spans="1:40" x14ac:dyDescent="0.25">
      <c r="A347" s="203">
        <f>Alukset_Käynnit!A354</f>
        <v>0</v>
      </c>
      <c r="B347" s="203">
        <f>Alukset_Käynnit!B354</f>
        <v>0</v>
      </c>
      <c r="C347" s="262">
        <f>Alukset_Käynnit!C354</f>
        <v>0</v>
      </c>
      <c r="D347" s="266">
        <f>Alukset_Käynnit!D354</f>
        <v>0</v>
      </c>
      <c r="E347" s="262">
        <f>Alukset_Käynnit!E354</f>
        <v>0</v>
      </c>
      <c r="F347" s="262">
        <f>Alukset_Käynnit!F354</f>
        <v>0</v>
      </c>
      <c r="G347" s="262">
        <f>Alukset_Käynnit!G354</f>
        <v>0</v>
      </c>
      <c r="H347" s="262">
        <f>Alukset_Käynnit!H354</f>
        <v>0</v>
      </c>
      <c r="I347" s="262">
        <f>Alukset_Käynnit!I354</f>
        <v>0</v>
      </c>
      <c r="J347" s="262">
        <f>Alukset_Käynnit!J354</f>
        <v>0</v>
      </c>
      <c r="K347" s="262">
        <f>Alukset_Käynnit!K354</f>
        <v>0</v>
      </c>
      <c r="L347" s="205">
        <f>Alukset_Käynnit!L354</f>
        <v>0</v>
      </c>
      <c r="N347" s="273">
        <f t="shared" si="75"/>
        <v>0</v>
      </c>
      <c r="O347" s="274">
        <f t="shared" si="76"/>
        <v>0</v>
      </c>
      <c r="Q347" s="204">
        <f t="shared" si="65"/>
        <v>0</v>
      </c>
      <c r="R347" s="202">
        <f>IF(Q347="Other dry cargo",L347*Alukset_fx!$B$71,IF(OR(Q347="Dry bulk",Q347="Bulk carrier"),L347*Alukset_fx!$B$69,IF(Q347="Tugboat",L347*Alukset_fx!$B$76,IF(OR(Q347="Tanker",Q347="Gas tanker",Q347="Chemical tanker",Q347="Oil tanker"),L347*Alukset_fx!$B$68,IF(OR(Q347="RoRo",Q347="Vehicle carrier"),L347*Alukset_fx!$B$72,IF(Q347="RoPax",L347*Alukset_fx!$B$73,IF(Q347="Container ship",L347*Alukset_fx!$B$70,IF(Q347="Barge",0,L347*Alukset_fx!$B$75))))))))</f>
        <v>0</v>
      </c>
      <c r="S347" s="210">
        <f>IF(L347=0,IF(Q347="Other dry cargo",Alukset_fx!$H$73*(Alukset_Käynnit_Lask!K347^Alukset_fx!$I$73),IF(OR(Q347="Dry Bulk",Q347="Bulk carrier"),Alukset_fx!$H$71*(Alukset_Käynnit_Lask!K347^Alukset_fx!$I$71),IF(Q347="Tugboat",Alukset_fx!$H$78*(Alukset_Käynnit_Lask!K347^Alukset_fx!$I$78),IF(OR(Q347="Tanker",Q347="Gas tanker",Q347="Chemical tanker",Q347="Oil tanker"),Alukset_fx!$H$70*(Alukset_Käynnit_Lask!K347^Alukset_fx!$I$70),IF(Q347="Container ship",Alukset_fx!$H$72*(Alukset_Käynnit_Lask!K347^Alukset_fx!$I$72),IF(Q347="Barge",0,IF(Q347="RoPax",Alukset_fx!$H$75*(Alukset_Käynnit_Lask!K347^Alukset_fx!$I$75),IF(OR(Q347="RoRo",Q347="Vehicle carrier"),Alukset_fx!$H$74*(Alukset_Käynnit_Lask!K347^Alukset_fx!$I$74),Alukset_fx!$H$77*(Alukset_Käynnit_Lask!K347^Alukset_fx!$I$77))))))))),"-")</f>
        <v>0</v>
      </c>
      <c r="T347" s="208">
        <f>IF(R347=0,IF(Q347="Other dry cargo",S347*Alukset_fx!$B$71,IF(OR(Q347="Dry bulk",Q347="Bulk carrier"),S347*Alukset_fx!$B$69,IF(Q347="Tugboat",S347*Alukset_fx!$B$76,IF(OR(Q347="Tanker",Q347="Gas tanker",Q347="Chemical tanker",Q347="Oil tanker"),S347*Alukset_fx!$B$68,IF(OR(Q347="RoRo",Q347="Vehicle carrier"),S347*Alukset_fx!$B$72,IF(Q347="RoPax",S347*Alukset_fx!$B$73,IF(Q347="Container ship",S347*Alukset_fx!$B$70,S347*Alukset_fx!$B$75))))))),"-")</f>
        <v>0</v>
      </c>
      <c r="U347" s="208">
        <f t="shared" si="66"/>
        <v>0</v>
      </c>
      <c r="V347" s="208">
        <f t="shared" si="67"/>
        <v>0</v>
      </c>
      <c r="W347" s="202">
        <f>Alukset_Käynnit!N354</f>
        <v>0</v>
      </c>
      <c r="X347" s="211">
        <f>IF(Q347="Other dry cargo", Alukset_fx!$C$52, IF(OR(Q347="Dry bulk",Q347="Bulk carrier"),Alukset_fx!$C$35,IF(OR(Q347="Tanker",Q347="Gas tanker",Q347="Oil tanker"),Alukset_fx!$C$57,IF(Q347="Chemical tanker",Alukset_fx!$C$56,IF(OR(Q347="Tugboat",Q347="Barge"),0,IF(Q347="Other vessel",Alukset_fx!$C$54,IF(Q347="Container ship",Alukset_fx!$C$37,IF(OR(Q347="RoPax",Q347="RoRo",Q347="Vehicle carrier"),Alukset_fx!$C$55,0))))))))</f>
        <v>0</v>
      </c>
      <c r="Y347" s="211">
        <f>IF(Q347="Other dry cargo", Alukset_fx!$Q$52, IF(OR(Q347="Dry bulk",Q347="Bulk carrier"),Alukset_fx!$Q$35,IF(OR(Q347="Tanker",Q347="Gas tanker",Q347="Oil tanker"),Alukset_fx!$Q$57,IF(Q347="Chemical tanker",Alukset_fx!$Q$56,IF(OR(Q347="Tugboat",Q347="Barge"),0,IF(Q347="Other vessel",Alukset_fx!$Q$54,IF(Q347="Container ship",Alukset_fx!$Q$37,IF(OR(Q347="RoPax",Q347="RoRo",Q347="Vehicle carrier"),Alukset_fx!$Q$55,0))))))))</f>
        <v>0</v>
      </c>
      <c r="Z347" t="str">
        <f t="shared" si="68"/>
        <v>MDO/MGO</v>
      </c>
      <c r="AA347" t="str">
        <f t="shared" si="69"/>
        <v>MSD</v>
      </c>
      <c r="AB347" t="str">
        <f t="shared" si="70"/>
        <v>MDO/MGO</v>
      </c>
      <c r="AC347" t="str">
        <f t="shared" si="71"/>
        <v>MSD</v>
      </c>
      <c r="AD347" t="str">
        <f t="shared" si="72"/>
        <v>MDO/MGO</v>
      </c>
      <c r="AE347" t="str">
        <f t="shared" si="73"/>
        <v>ST</v>
      </c>
      <c r="AG347">
        <f>Alukset_Käynnit!O354</f>
        <v>0</v>
      </c>
      <c r="AH347" s="207">
        <f>IF(AA347="SSD",((U347*Alukset_fx!$B$24)*Alukset_Käynnit_Lask!W347*(Alukset_fx!$K$49)/1000),IF(AA347="MSD",((U347*Alukset_fx!$B$24)*Alukset_Käynnit_Lask!W347*(Alukset_fx!$K$52)/1000),IF(AA347="HSD",((U347*Alukset_fx!$B$24)*Alukset_Käynnit_Lask!W347*(Alukset_fx!$K$55)/1000),0)))</f>
        <v>0</v>
      </c>
      <c r="AI347" s="207">
        <f>IF(AC347="MSD",((V347*Alukset_fx!$B$25)*Alukset_Käynnit_Lask!W347*(Alukset_fx!$L$52)/1000),IF(AC347="HSD",((V347*Alukset_fx!$B$25)*Alukset_Käynnit_Lask!W347*(Alukset_fx!$L$55)/1000),0))</f>
        <v>0</v>
      </c>
      <c r="AJ347" s="207">
        <f>X347*W347*Alukset_fx!$K$61/1000</f>
        <v>0</v>
      </c>
      <c r="AK347">
        <v>0</v>
      </c>
      <c r="AL347" s="207">
        <f>IF(AG347="Käytetty",0,IF(AC347="MSD",((V347*Alukset_fx!$O$25)*Alukset_Käynnit_Lask!O347*(Alukset_fx!$L$52)/1000),IF(AC347="HSD",((V347*Alukset_fx!$O$25)*Alukset_Käynnit_Lask!O347*(Alukset_fx!$L$55)/1000),0)))</f>
        <v>0</v>
      </c>
      <c r="AM347" s="207">
        <f>IF(AG347="Käytetty",0,Y347*O347*Alukset_fx!$K$61/1000)</f>
        <v>0</v>
      </c>
      <c r="AN347" s="213">
        <f t="shared" si="74"/>
        <v>0</v>
      </c>
    </row>
    <row r="348" spans="1:40" x14ac:dyDescent="0.25">
      <c r="A348" s="203">
        <f>Alukset_Käynnit!A355</f>
        <v>0</v>
      </c>
      <c r="B348" s="203">
        <f>Alukset_Käynnit!B355</f>
        <v>0</v>
      </c>
      <c r="C348" s="262">
        <f>Alukset_Käynnit!C355</f>
        <v>0</v>
      </c>
      <c r="D348" s="266">
        <f>Alukset_Käynnit!D355</f>
        <v>0</v>
      </c>
      <c r="E348" s="262">
        <f>Alukset_Käynnit!E355</f>
        <v>0</v>
      </c>
      <c r="F348" s="262">
        <f>Alukset_Käynnit!F355</f>
        <v>0</v>
      </c>
      <c r="G348" s="262">
        <f>Alukset_Käynnit!G355</f>
        <v>0</v>
      </c>
      <c r="H348" s="262">
        <f>Alukset_Käynnit!H355</f>
        <v>0</v>
      </c>
      <c r="I348" s="262">
        <f>Alukset_Käynnit!I355</f>
        <v>0</v>
      </c>
      <c r="J348" s="262">
        <f>Alukset_Käynnit!J355</f>
        <v>0</v>
      </c>
      <c r="K348" s="262">
        <f>Alukset_Käynnit!K355</f>
        <v>0</v>
      </c>
      <c r="L348" s="205">
        <f>Alukset_Käynnit!L355</f>
        <v>0</v>
      </c>
      <c r="N348" s="273">
        <f t="shared" si="75"/>
        <v>0</v>
      </c>
      <c r="O348" s="274">
        <f t="shared" si="76"/>
        <v>0</v>
      </c>
      <c r="Q348" s="204">
        <f t="shared" si="65"/>
        <v>0</v>
      </c>
      <c r="R348" s="202">
        <f>IF(Q348="Other dry cargo",L348*Alukset_fx!$B$71,IF(OR(Q348="Dry bulk",Q348="Bulk carrier"),L348*Alukset_fx!$B$69,IF(Q348="Tugboat",L348*Alukset_fx!$B$76,IF(OR(Q348="Tanker",Q348="Gas tanker",Q348="Chemical tanker",Q348="Oil tanker"),L348*Alukset_fx!$B$68,IF(OR(Q348="RoRo",Q348="Vehicle carrier"),L348*Alukset_fx!$B$72,IF(Q348="RoPax",L348*Alukset_fx!$B$73,IF(Q348="Container ship",L348*Alukset_fx!$B$70,IF(Q348="Barge",0,L348*Alukset_fx!$B$75))))))))</f>
        <v>0</v>
      </c>
      <c r="S348" s="210">
        <f>IF(L348=0,IF(Q348="Other dry cargo",Alukset_fx!$H$73*(Alukset_Käynnit_Lask!K348^Alukset_fx!$I$73),IF(OR(Q348="Dry Bulk",Q348="Bulk carrier"),Alukset_fx!$H$71*(Alukset_Käynnit_Lask!K348^Alukset_fx!$I$71),IF(Q348="Tugboat",Alukset_fx!$H$78*(Alukset_Käynnit_Lask!K348^Alukset_fx!$I$78),IF(OR(Q348="Tanker",Q348="Gas tanker",Q348="Chemical tanker",Q348="Oil tanker"),Alukset_fx!$H$70*(Alukset_Käynnit_Lask!K348^Alukset_fx!$I$70),IF(Q348="Container ship",Alukset_fx!$H$72*(Alukset_Käynnit_Lask!K348^Alukset_fx!$I$72),IF(Q348="Barge",0,IF(Q348="RoPax",Alukset_fx!$H$75*(Alukset_Käynnit_Lask!K348^Alukset_fx!$I$75),IF(OR(Q348="RoRo",Q348="Vehicle carrier"),Alukset_fx!$H$74*(Alukset_Käynnit_Lask!K348^Alukset_fx!$I$74),Alukset_fx!$H$77*(Alukset_Käynnit_Lask!K348^Alukset_fx!$I$77))))))))),"-")</f>
        <v>0</v>
      </c>
      <c r="T348" s="208">
        <f>IF(R348=0,IF(Q348="Other dry cargo",S348*Alukset_fx!$B$71,IF(OR(Q348="Dry bulk",Q348="Bulk carrier"),S348*Alukset_fx!$B$69,IF(Q348="Tugboat",S348*Alukset_fx!$B$76,IF(OR(Q348="Tanker",Q348="Gas tanker",Q348="Chemical tanker",Q348="Oil tanker"),S348*Alukset_fx!$B$68,IF(OR(Q348="RoRo",Q348="Vehicle carrier"),S348*Alukset_fx!$B$72,IF(Q348="RoPax",S348*Alukset_fx!$B$73,IF(Q348="Container ship",S348*Alukset_fx!$B$70,S348*Alukset_fx!$B$75))))))),"-")</f>
        <v>0</v>
      </c>
      <c r="U348" s="208">
        <f t="shared" si="66"/>
        <v>0</v>
      </c>
      <c r="V348" s="208">
        <f t="shared" si="67"/>
        <v>0</v>
      </c>
      <c r="W348" s="202">
        <f>Alukset_Käynnit!N355</f>
        <v>0</v>
      </c>
      <c r="X348" s="211">
        <f>IF(Q348="Other dry cargo", Alukset_fx!$C$52, IF(OR(Q348="Dry bulk",Q348="Bulk carrier"),Alukset_fx!$C$35,IF(OR(Q348="Tanker",Q348="Gas tanker",Q348="Oil tanker"),Alukset_fx!$C$57,IF(Q348="Chemical tanker",Alukset_fx!$C$56,IF(OR(Q348="Tugboat",Q348="Barge"),0,IF(Q348="Other vessel",Alukset_fx!$C$54,IF(Q348="Container ship",Alukset_fx!$C$37,IF(OR(Q348="RoPax",Q348="RoRo",Q348="Vehicle carrier"),Alukset_fx!$C$55,0))))))))</f>
        <v>0</v>
      </c>
      <c r="Y348" s="211">
        <f>IF(Q348="Other dry cargo", Alukset_fx!$Q$52, IF(OR(Q348="Dry bulk",Q348="Bulk carrier"),Alukset_fx!$Q$35,IF(OR(Q348="Tanker",Q348="Gas tanker",Q348="Oil tanker"),Alukset_fx!$Q$57,IF(Q348="Chemical tanker",Alukset_fx!$Q$56,IF(OR(Q348="Tugboat",Q348="Barge"),0,IF(Q348="Other vessel",Alukset_fx!$Q$54,IF(Q348="Container ship",Alukset_fx!$Q$37,IF(OR(Q348="RoPax",Q348="RoRo",Q348="Vehicle carrier"),Alukset_fx!$Q$55,0))))))))</f>
        <v>0</v>
      </c>
      <c r="Z348" t="str">
        <f t="shared" si="68"/>
        <v>MDO/MGO</v>
      </c>
      <c r="AA348" t="str">
        <f t="shared" si="69"/>
        <v>MSD</v>
      </c>
      <c r="AB348" t="str">
        <f t="shared" si="70"/>
        <v>MDO/MGO</v>
      </c>
      <c r="AC348" t="str">
        <f t="shared" si="71"/>
        <v>MSD</v>
      </c>
      <c r="AD348" t="str">
        <f t="shared" si="72"/>
        <v>MDO/MGO</v>
      </c>
      <c r="AE348" t="str">
        <f t="shared" si="73"/>
        <v>ST</v>
      </c>
      <c r="AG348">
        <f>Alukset_Käynnit!O355</f>
        <v>0</v>
      </c>
      <c r="AH348" s="207">
        <f>IF(AA348="SSD",((U348*Alukset_fx!$B$24)*Alukset_Käynnit_Lask!W348*(Alukset_fx!$K$49)/1000),IF(AA348="MSD",((U348*Alukset_fx!$B$24)*Alukset_Käynnit_Lask!W348*(Alukset_fx!$K$52)/1000),IF(AA348="HSD",((U348*Alukset_fx!$B$24)*Alukset_Käynnit_Lask!W348*(Alukset_fx!$K$55)/1000),0)))</f>
        <v>0</v>
      </c>
      <c r="AI348" s="207">
        <f>IF(AC348="MSD",((V348*Alukset_fx!$B$25)*Alukset_Käynnit_Lask!W348*(Alukset_fx!$L$52)/1000),IF(AC348="HSD",((V348*Alukset_fx!$B$25)*Alukset_Käynnit_Lask!W348*(Alukset_fx!$L$55)/1000),0))</f>
        <v>0</v>
      </c>
      <c r="AJ348" s="207">
        <f>X348*W348*Alukset_fx!$K$61/1000</f>
        <v>0</v>
      </c>
      <c r="AK348">
        <v>0</v>
      </c>
      <c r="AL348" s="207">
        <f>IF(AG348="Käytetty",0,IF(AC348="MSD",((V348*Alukset_fx!$O$25)*Alukset_Käynnit_Lask!O348*(Alukset_fx!$L$52)/1000),IF(AC348="HSD",((V348*Alukset_fx!$O$25)*Alukset_Käynnit_Lask!O348*(Alukset_fx!$L$55)/1000),0)))</f>
        <v>0</v>
      </c>
      <c r="AM348" s="207">
        <f>IF(AG348="Käytetty",0,Y348*O348*Alukset_fx!$K$61/1000)</f>
        <v>0</v>
      </c>
      <c r="AN348" s="213">
        <f t="shared" si="74"/>
        <v>0</v>
      </c>
    </row>
    <row r="349" spans="1:40" x14ac:dyDescent="0.25">
      <c r="A349" s="203">
        <f>Alukset_Käynnit!A356</f>
        <v>0</v>
      </c>
      <c r="B349" s="203">
        <f>Alukset_Käynnit!B356</f>
        <v>0</v>
      </c>
      <c r="C349" s="262">
        <f>Alukset_Käynnit!C356</f>
        <v>0</v>
      </c>
      <c r="D349" s="266">
        <f>Alukset_Käynnit!D356</f>
        <v>0</v>
      </c>
      <c r="E349" s="262">
        <f>Alukset_Käynnit!E356</f>
        <v>0</v>
      </c>
      <c r="F349" s="262">
        <f>Alukset_Käynnit!F356</f>
        <v>0</v>
      </c>
      <c r="G349" s="262">
        <f>Alukset_Käynnit!G356</f>
        <v>0</v>
      </c>
      <c r="H349" s="262">
        <f>Alukset_Käynnit!H356</f>
        <v>0</v>
      </c>
      <c r="I349" s="262">
        <f>Alukset_Käynnit!I356</f>
        <v>0</v>
      </c>
      <c r="J349" s="262">
        <f>Alukset_Käynnit!J356</f>
        <v>0</v>
      </c>
      <c r="K349" s="262">
        <f>Alukset_Käynnit!K356</f>
        <v>0</v>
      </c>
      <c r="L349" s="205">
        <f>Alukset_Käynnit!L356</f>
        <v>0</v>
      </c>
      <c r="N349" s="273">
        <f t="shared" si="75"/>
        <v>0</v>
      </c>
      <c r="O349" s="274">
        <f t="shared" si="76"/>
        <v>0</v>
      </c>
      <c r="Q349" s="204">
        <f t="shared" si="65"/>
        <v>0</v>
      </c>
      <c r="R349" s="202">
        <f>IF(Q349="Other dry cargo",L349*Alukset_fx!$B$71,IF(OR(Q349="Dry bulk",Q349="Bulk carrier"),L349*Alukset_fx!$B$69,IF(Q349="Tugboat",L349*Alukset_fx!$B$76,IF(OR(Q349="Tanker",Q349="Gas tanker",Q349="Chemical tanker",Q349="Oil tanker"),L349*Alukset_fx!$B$68,IF(OR(Q349="RoRo",Q349="Vehicle carrier"),L349*Alukset_fx!$B$72,IF(Q349="RoPax",L349*Alukset_fx!$B$73,IF(Q349="Container ship",L349*Alukset_fx!$B$70,IF(Q349="Barge",0,L349*Alukset_fx!$B$75))))))))</f>
        <v>0</v>
      </c>
      <c r="S349" s="210">
        <f>IF(L349=0,IF(Q349="Other dry cargo",Alukset_fx!$H$73*(Alukset_Käynnit_Lask!K349^Alukset_fx!$I$73),IF(OR(Q349="Dry Bulk",Q349="Bulk carrier"),Alukset_fx!$H$71*(Alukset_Käynnit_Lask!K349^Alukset_fx!$I$71),IF(Q349="Tugboat",Alukset_fx!$H$78*(Alukset_Käynnit_Lask!K349^Alukset_fx!$I$78),IF(OR(Q349="Tanker",Q349="Gas tanker",Q349="Chemical tanker",Q349="Oil tanker"),Alukset_fx!$H$70*(Alukset_Käynnit_Lask!K349^Alukset_fx!$I$70),IF(Q349="Container ship",Alukset_fx!$H$72*(Alukset_Käynnit_Lask!K349^Alukset_fx!$I$72),IF(Q349="Barge",0,IF(Q349="RoPax",Alukset_fx!$H$75*(Alukset_Käynnit_Lask!K349^Alukset_fx!$I$75),IF(OR(Q349="RoRo",Q349="Vehicle carrier"),Alukset_fx!$H$74*(Alukset_Käynnit_Lask!K349^Alukset_fx!$I$74),Alukset_fx!$H$77*(Alukset_Käynnit_Lask!K349^Alukset_fx!$I$77))))))))),"-")</f>
        <v>0</v>
      </c>
      <c r="T349" s="208">
        <f>IF(R349=0,IF(Q349="Other dry cargo",S349*Alukset_fx!$B$71,IF(OR(Q349="Dry bulk",Q349="Bulk carrier"),S349*Alukset_fx!$B$69,IF(Q349="Tugboat",S349*Alukset_fx!$B$76,IF(OR(Q349="Tanker",Q349="Gas tanker",Q349="Chemical tanker",Q349="Oil tanker"),S349*Alukset_fx!$B$68,IF(OR(Q349="RoRo",Q349="Vehicle carrier"),S349*Alukset_fx!$B$72,IF(Q349="RoPax",S349*Alukset_fx!$B$73,IF(Q349="Container ship",S349*Alukset_fx!$B$70,S349*Alukset_fx!$B$75))))))),"-")</f>
        <v>0</v>
      </c>
      <c r="U349" s="208">
        <f t="shared" si="66"/>
        <v>0</v>
      </c>
      <c r="V349" s="208">
        <f t="shared" si="67"/>
        <v>0</v>
      </c>
      <c r="W349" s="202">
        <f>Alukset_Käynnit!N356</f>
        <v>0</v>
      </c>
      <c r="X349" s="211">
        <f>IF(Q349="Other dry cargo", Alukset_fx!$C$52, IF(OR(Q349="Dry bulk",Q349="Bulk carrier"),Alukset_fx!$C$35,IF(OR(Q349="Tanker",Q349="Gas tanker",Q349="Oil tanker"),Alukset_fx!$C$57,IF(Q349="Chemical tanker",Alukset_fx!$C$56,IF(OR(Q349="Tugboat",Q349="Barge"),0,IF(Q349="Other vessel",Alukset_fx!$C$54,IF(Q349="Container ship",Alukset_fx!$C$37,IF(OR(Q349="RoPax",Q349="RoRo",Q349="Vehicle carrier"),Alukset_fx!$C$55,0))))))))</f>
        <v>0</v>
      </c>
      <c r="Y349" s="211">
        <f>IF(Q349="Other dry cargo", Alukset_fx!$Q$52, IF(OR(Q349="Dry bulk",Q349="Bulk carrier"),Alukset_fx!$Q$35,IF(OR(Q349="Tanker",Q349="Gas tanker",Q349="Oil tanker"),Alukset_fx!$Q$57,IF(Q349="Chemical tanker",Alukset_fx!$Q$56,IF(OR(Q349="Tugboat",Q349="Barge"),0,IF(Q349="Other vessel",Alukset_fx!$Q$54,IF(Q349="Container ship",Alukset_fx!$Q$37,IF(OR(Q349="RoPax",Q349="RoRo",Q349="Vehicle carrier"),Alukset_fx!$Q$55,0))))))))</f>
        <v>0</v>
      </c>
      <c r="Z349" t="str">
        <f t="shared" si="68"/>
        <v>MDO/MGO</v>
      </c>
      <c r="AA349" t="str">
        <f t="shared" si="69"/>
        <v>MSD</v>
      </c>
      <c r="AB349" t="str">
        <f t="shared" si="70"/>
        <v>MDO/MGO</v>
      </c>
      <c r="AC349" t="str">
        <f t="shared" si="71"/>
        <v>MSD</v>
      </c>
      <c r="AD349" t="str">
        <f t="shared" si="72"/>
        <v>MDO/MGO</v>
      </c>
      <c r="AE349" t="str">
        <f t="shared" si="73"/>
        <v>ST</v>
      </c>
      <c r="AG349">
        <f>Alukset_Käynnit!O356</f>
        <v>0</v>
      </c>
      <c r="AH349" s="207">
        <f>IF(AA349="SSD",((U349*Alukset_fx!$B$24)*Alukset_Käynnit_Lask!W349*(Alukset_fx!$K$49)/1000),IF(AA349="MSD",((U349*Alukset_fx!$B$24)*Alukset_Käynnit_Lask!W349*(Alukset_fx!$K$52)/1000),IF(AA349="HSD",((U349*Alukset_fx!$B$24)*Alukset_Käynnit_Lask!W349*(Alukset_fx!$K$55)/1000),0)))</f>
        <v>0</v>
      </c>
      <c r="AI349" s="207">
        <f>IF(AC349="MSD",((V349*Alukset_fx!$B$25)*Alukset_Käynnit_Lask!W349*(Alukset_fx!$L$52)/1000),IF(AC349="HSD",((V349*Alukset_fx!$B$25)*Alukset_Käynnit_Lask!W349*(Alukset_fx!$L$55)/1000),0))</f>
        <v>0</v>
      </c>
      <c r="AJ349" s="207">
        <f>X349*W349*Alukset_fx!$K$61/1000</f>
        <v>0</v>
      </c>
      <c r="AK349">
        <v>0</v>
      </c>
      <c r="AL349" s="207">
        <f>IF(AG349="Käytetty",0,IF(AC349="MSD",((V349*Alukset_fx!$O$25)*Alukset_Käynnit_Lask!O349*(Alukset_fx!$L$52)/1000),IF(AC349="HSD",((V349*Alukset_fx!$O$25)*Alukset_Käynnit_Lask!O349*(Alukset_fx!$L$55)/1000),0)))</f>
        <v>0</v>
      </c>
      <c r="AM349" s="207">
        <f>IF(AG349="Käytetty",0,Y349*O349*Alukset_fx!$K$61/1000)</f>
        <v>0</v>
      </c>
      <c r="AN349" s="213">
        <f t="shared" si="74"/>
        <v>0</v>
      </c>
    </row>
    <row r="350" spans="1:40" x14ac:dyDescent="0.25">
      <c r="A350" s="203">
        <f>Alukset_Käynnit!A357</f>
        <v>0</v>
      </c>
      <c r="B350" s="203">
        <f>Alukset_Käynnit!B357</f>
        <v>0</v>
      </c>
      <c r="C350" s="262">
        <f>Alukset_Käynnit!C357</f>
        <v>0</v>
      </c>
      <c r="D350" s="266">
        <f>Alukset_Käynnit!D357</f>
        <v>0</v>
      </c>
      <c r="E350" s="262">
        <f>Alukset_Käynnit!E357</f>
        <v>0</v>
      </c>
      <c r="F350" s="262">
        <f>Alukset_Käynnit!F357</f>
        <v>0</v>
      </c>
      <c r="G350" s="262">
        <f>Alukset_Käynnit!G357</f>
        <v>0</v>
      </c>
      <c r="H350" s="262">
        <f>Alukset_Käynnit!H357</f>
        <v>0</v>
      </c>
      <c r="I350" s="262">
        <f>Alukset_Käynnit!I357</f>
        <v>0</v>
      </c>
      <c r="J350" s="262">
        <f>Alukset_Käynnit!J357</f>
        <v>0</v>
      </c>
      <c r="K350" s="262">
        <f>Alukset_Käynnit!K357</f>
        <v>0</v>
      </c>
      <c r="L350" s="205">
        <f>Alukset_Käynnit!L357</f>
        <v>0</v>
      </c>
      <c r="N350" s="273">
        <f t="shared" si="75"/>
        <v>0</v>
      </c>
      <c r="O350" s="274">
        <f t="shared" si="76"/>
        <v>0</v>
      </c>
      <c r="Q350" s="204">
        <f t="shared" si="65"/>
        <v>0</v>
      </c>
      <c r="R350" s="202">
        <f>IF(Q350="Other dry cargo",L350*Alukset_fx!$B$71,IF(OR(Q350="Dry bulk",Q350="Bulk carrier"),L350*Alukset_fx!$B$69,IF(Q350="Tugboat",L350*Alukset_fx!$B$76,IF(OR(Q350="Tanker",Q350="Gas tanker",Q350="Chemical tanker",Q350="Oil tanker"),L350*Alukset_fx!$B$68,IF(OR(Q350="RoRo",Q350="Vehicle carrier"),L350*Alukset_fx!$B$72,IF(Q350="RoPax",L350*Alukset_fx!$B$73,IF(Q350="Container ship",L350*Alukset_fx!$B$70,IF(Q350="Barge",0,L350*Alukset_fx!$B$75))))))))</f>
        <v>0</v>
      </c>
      <c r="S350" s="210">
        <f>IF(L350=0,IF(Q350="Other dry cargo",Alukset_fx!$H$73*(Alukset_Käynnit_Lask!K350^Alukset_fx!$I$73),IF(OR(Q350="Dry Bulk",Q350="Bulk carrier"),Alukset_fx!$H$71*(Alukset_Käynnit_Lask!K350^Alukset_fx!$I$71),IF(Q350="Tugboat",Alukset_fx!$H$78*(Alukset_Käynnit_Lask!K350^Alukset_fx!$I$78),IF(OR(Q350="Tanker",Q350="Gas tanker",Q350="Chemical tanker",Q350="Oil tanker"),Alukset_fx!$H$70*(Alukset_Käynnit_Lask!K350^Alukset_fx!$I$70),IF(Q350="Container ship",Alukset_fx!$H$72*(Alukset_Käynnit_Lask!K350^Alukset_fx!$I$72),IF(Q350="Barge",0,IF(Q350="RoPax",Alukset_fx!$H$75*(Alukset_Käynnit_Lask!K350^Alukset_fx!$I$75),IF(OR(Q350="RoRo",Q350="Vehicle carrier"),Alukset_fx!$H$74*(Alukset_Käynnit_Lask!K350^Alukset_fx!$I$74),Alukset_fx!$H$77*(Alukset_Käynnit_Lask!K350^Alukset_fx!$I$77))))))))),"-")</f>
        <v>0</v>
      </c>
      <c r="T350" s="208">
        <f>IF(R350=0,IF(Q350="Other dry cargo",S350*Alukset_fx!$B$71,IF(OR(Q350="Dry bulk",Q350="Bulk carrier"),S350*Alukset_fx!$B$69,IF(Q350="Tugboat",S350*Alukset_fx!$B$76,IF(OR(Q350="Tanker",Q350="Gas tanker",Q350="Chemical tanker",Q350="Oil tanker"),S350*Alukset_fx!$B$68,IF(OR(Q350="RoRo",Q350="Vehicle carrier"),S350*Alukset_fx!$B$72,IF(Q350="RoPax",S350*Alukset_fx!$B$73,IF(Q350="Container ship",S350*Alukset_fx!$B$70,S350*Alukset_fx!$B$75))))))),"-")</f>
        <v>0</v>
      </c>
      <c r="U350" s="208">
        <f t="shared" si="66"/>
        <v>0</v>
      </c>
      <c r="V350" s="208">
        <f t="shared" si="67"/>
        <v>0</v>
      </c>
      <c r="W350" s="202">
        <f>Alukset_Käynnit!N357</f>
        <v>0</v>
      </c>
      <c r="X350" s="211">
        <f>IF(Q350="Other dry cargo", Alukset_fx!$C$52, IF(OR(Q350="Dry bulk",Q350="Bulk carrier"),Alukset_fx!$C$35,IF(OR(Q350="Tanker",Q350="Gas tanker",Q350="Oil tanker"),Alukset_fx!$C$57,IF(Q350="Chemical tanker",Alukset_fx!$C$56,IF(OR(Q350="Tugboat",Q350="Barge"),0,IF(Q350="Other vessel",Alukset_fx!$C$54,IF(Q350="Container ship",Alukset_fx!$C$37,IF(OR(Q350="RoPax",Q350="RoRo",Q350="Vehicle carrier"),Alukset_fx!$C$55,0))))))))</f>
        <v>0</v>
      </c>
      <c r="Y350" s="211">
        <f>IF(Q350="Other dry cargo", Alukset_fx!$Q$52, IF(OR(Q350="Dry bulk",Q350="Bulk carrier"),Alukset_fx!$Q$35,IF(OR(Q350="Tanker",Q350="Gas tanker",Q350="Oil tanker"),Alukset_fx!$Q$57,IF(Q350="Chemical tanker",Alukset_fx!$Q$56,IF(OR(Q350="Tugboat",Q350="Barge"),0,IF(Q350="Other vessel",Alukset_fx!$Q$54,IF(Q350="Container ship",Alukset_fx!$Q$37,IF(OR(Q350="RoPax",Q350="RoRo",Q350="Vehicle carrier"),Alukset_fx!$Q$55,0))))))))</f>
        <v>0</v>
      </c>
      <c r="Z350" t="str">
        <f t="shared" si="68"/>
        <v>MDO/MGO</v>
      </c>
      <c r="AA350" t="str">
        <f t="shared" si="69"/>
        <v>MSD</v>
      </c>
      <c r="AB350" t="str">
        <f t="shared" si="70"/>
        <v>MDO/MGO</v>
      </c>
      <c r="AC350" t="str">
        <f t="shared" si="71"/>
        <v>MSD</v>
      </c>
      <c r="AD350" t="str">
        <f t="shared" si="72"/>
        <v>MDO/MGO</v>
      </c>
      <c r="AE350" t="str">
        <f t="shared" si="73"/>
        <v>ST</v>
      </c>
      <c r="AG350">
        <f>Alukset_Käynnit!O357</f>
        <v>0</v>
      </c>
      <c r="AH350" s="207">
        <f>IF(AA350="SSD",((U350*Alukset_fx!$B$24)*Alukset_Käynnit_Lask!W350*(Alukset_fx!$K$49)/1000),IF(AA350="MSD",((U350*Alukset_fx!$B$24)*Alukset_Käynnit_Lask!W350*(Alukset_fx!$K$52)/1000),IF(AA350="HSD",((U350*Alukset_fx!$B$24)*Alukset_Käynnit_Lask!W350*(Alukset_fx!$K$55)/1000),0)))</f>
        <v>0</v>
      </c>
      <c r="AI350" s="207">
        <f>IF(AC350="MSD",((V350*Alukset_fx!$B$25)*Alukset_Käynnit_Lask!W350*(Alukset_fx!$L$52)/1000),IF(AC350="HSD",((V350*Alukset_fx!$B$25)*Alukset_Käynnit_Lask!W350*(Alukset_fx!$L$55)/1000),0))</f>
        <v>0</v>
      </c>
      <c r="AJ350" s="207">
        <f>X350*W350*Alukset_fx!$K$61/1000</f>
        <v>0</v>
      </c>
      <c r="AK350">
        <v>0</v>
      </c>
      <c r="AL350" s="207">
        <f>IF(AG350="Käytetty",0,IF(AC350="MSD",((V350*Alukset_fx!$O$25)*Alukset_Käynnit_Lask!O350*(Alukset_fx!$L$52)/1000),IF(AC350="HSD",((V350*Alukset_fx!$O$25)*Alukset_Käynnit_Lask!O350*(Alukset_fx!$L$55)/1000),0)))</f>
        <v>0</v>
      </c>
      <c r="AM350" s="207">
        <f>IF(AG350="Käytetty",0,Y350*O350*Alukset_fx!$K$61/1000)</f>
        <v>0</v>
      </c>
      <c r="AN350" s="213">
        <f t="shared" si="74"/>
        <v>0</v>
      </c>
    </row>
    <row r="351" spans="1:40" x14ac:dyDescent="0.25">
      <c r="A351" s="203">
        <f>Alukset_Käynnit!A358</f>
        <v>0</v>
      </c>
      <c r="B351" s="203">
        <f>Alukset_Käynnit!B358</f>
        <v>0</v>
      </c>
      <c r="C351" s="262">
        <f>Alukset_Käynnit!C358</f>
        <v>0</v>
      </c>
      <c r="D351" s="266">
        <f>Alukset_Käynnit!D358</f>
        <v>0</v>
      </c>
      <c r="E351" s="262">
        <f>Alukset_Käynnit!E358</f>
        <v>0</v>
      </c>
      <c r="F351" s="262">
        <f>Alukset_Käynnit!F358</f>
        <v>0</v>
      </c>
      <c r="G351" s="262">
        <f>Alukset_Käynnit!G358</f>
        <v>0</v>
      </c>
      <c r="H351" s="262">
        <f>Alukset_Käynnit!H358</f>
        <v>0</v>
      </c>
      <c r="I351" s="262">
        <f>Alukset_Käynnit!I358</f>
        <v>0</v>
      </c>
      <c r="J351" s="262">
        <f>Alukset_Käynnit!J358</f>
        <v>0</v>
      </c>
      <c r="K351" s="262">
        <f>Alukset_Käynnit!K358</f>
        <v>0</v>
      </c>
      <c r="L351" s="205">
        <f>Alukset_Käynnit!L358</f>
        <v>0</v>
      </c>
      <c r="N351" s="273">
        <f t="shared" si="75"/>
        <v>0</v>
      </c>
      <c r="O351" s="274">
        <f t="shared" si="76"/>
        <v>0</v>
      </c>
      <c r="Q351" s="204">
        <f t="shared" si="65"/>
        <v>0</v>
      </c>
      <c r="R351" s="202">
        <f>IF(Q351="Other dry cargo",L351*Alukset_fx!$B$71,IF(OR(Q351="Dry bulk",Q351="Bulk carrier"),L351*Alukset_fx!$B$69,IF(Q351="Tugboat",L351*Alukset_fx!$B$76,IF(OR(Q351="Tanker",Q351="Gas tanker",Q351="Chemical tanker",Q351="Oil tanker"),L351*Alukset_fx!$B$68,IF(OR(Q351="RoRo",Q351="Vehicle carrier"),L351*Alukset_fx!$B$72,IF(Q351="RoPax",L351*Alukset_fx!$B$73,IF(Q351="Container ship",L351*Alukset_fx!$B$70,IF(Q351="Barge",0,L351*Alukset_fx!$B$75))))))))</f>
        <v>0</v>
      </c>
      <c r="S351" s="210">
        <f>IF(L351=0,IF(Q351="Other dry cargo",Alukset_fx!$H$73*(Alukset_Käynnit_Lask!K351^Alukset_fx!$I$73),IF(OR(Q351="Dry Bulk",Q351="Bulk carrier"),Alukset_fx!$H$71*(Alukset_Käynnit_Lask!K351^Alukset_fx!$I$71),IF(Q351="Tugboat",Alukset_fx!$H$78*(Alukset_Käynnit_Lask!K351^Alukset_fx!$I$78),IF(OR(Q351="Tanker",Q351="Gas tanker",Q351="Chemical tanker",Q351="Oil tanker"),Alukset_fx!$H$70*(Alukset_Käynnit_Lask!K351^Alukset_fx!$I$70),IF(Q351="Container ship",Alukset_fx!$H$72*(Alukset_Käynnit_Lask!K351^Alukset_fx!$I$72),IF(Q351="Barge",0,IF(Q351="RoPax",Alukset_fx!$H$75*(Alukset_Käynnit_Lask!K351^Alukset_fx!$I$75),IF(OR(Q351="RoRo",Q351="Vehicle carrier"),Alukset_fx!$H$74*(Alukset_Käynnit_Lask!K351^Alukset_fx!$I$74),Alukset_fx!$H$77*(Alukset_Käynnit_Lask!K351^Alukset_fx!$I$77))))))))),"-")</f>
        <v>0</v>
      </c>
      <c r="T351" s="208">
        <f>IF(R351=0,IF(Q351="Other dry cargo",S351*Alukset_fx!$B$71,IF(OR(Q351="Dry bulk",Q351="Bulk carrier"),S351*Alukset_fx!$B$69,IF(Q351="Tugboat",S351*Alukset_fx!$B$76,IF(OR(Q351="Tanker",Q351="Gas tanker",Q351="Chemical tanker",Q351="Oil tanker"),S351*Alukset_fx!$B$68,IF(OR(Q351="RoRo",Q351="Vehicle carrier"),S351*Alukset_fx!$B$72,IF(Q351="RoPax",S351*Alukset_fx!$B$73,IF(Q351="Container ship",S351*Alukset_fx!$B$70,S351*Alukset_fx!$B$75))))))),"-")</f>
        <v>0</v>
      </c>
      <c r="U351" s="208">
        <f t="shared" si="66"/>
        <v>0</v>
      </c>
      <c r="V351" s="208">
        <f t="shared" si="67"/>
        <v>0</v>
      </c>
      <c r="W351" s="202">
        <f>Alukset_Käynnit!N358</f>
        <v>0</v>
      </c>
      <c r="X351" s="211">
        <f>IF(Q351="Other dry cargo", Alukset_fx!$C$52, IF(OR(Q351="Dry bulk",Q351="Bulk carrier"),Alukset_fx!$C$35,IF(OR(Q351="Tanker",Q351="Gas tanker",Q351="Oil tanker"),Alukset_fx!$C$57,IF(Q351="Chemical tanker",Alukset_fx!$C$56,IF(OR(Q351="Tugboat",Q351="Barge"),0,IF(Q351="Other vessel",Alukset_fx!$C$54,IF(Q351="Container ship",Alukset_fx!$C$37,IF(OR(Q351="RoPax",Q351="RoRo",Q351="Vehicle carrier"),Alukset_fx!$C$55,0))))))))</f>
        <v>0</v>
      </c>
      <c r="Y351" s="211">
        <f>IF(Q351="Other dry cargo", Alukset_fx!$Q$52, IF(OR(Q351="Dry bulk",Q351="Bulk carrier"),Alukset_fx!$Q$35,IF(OR(Q351="Tanker",Q351="Gas tanker",Q351="Oil tanker"),Alukset_fx!$Q$57,IF(Q351="Chemical tanker",Alukset_fx!$Q$56,IF(OR(Q351="Tugboat",Q351="Barge"),0,IF(Q351="Other vessel",Alukset_fx!$Q$54,IF(Q351="Container ship",Alukset_fx!$Q$37,IF(OR(Q351="RoPax",Q351="RoRo",Q351="Vehicle carrier"),Alukset_fx!$Q$55,0))))))))</f>
        <v>0</v>
      </c>
      <c r="Z351" t="str">
        <f t="shared" si="68"/>
        <v>MDO/MGO</v>
      </c>
      <c r="AA351" t="str">
        <f t="shared" si="69"/>
        <v>MSD</v>
      </c>
      <c r="AB351" t="str">
        <f t="shared" si="70"/>
        <v>MDO/MGO</v>
      </c>
      <c r="AC351" t="str">
        <f t="shared" si="71"/>
        <v>MSD</v>
      </c>
      <c r="AD351" t="str">
        <f t="shared" si="72"/>
        <v>MDO/MGO</v>
      </c>
      <c r="AE351" t="str">
        <f t="shared" si="73"/>
        <v>ST</v>
      </c>
      <c r="AG351">
        <f>Alukset_Käynnit!O358</f>
        <v>0</v>
      </c>
      <c r="AH351" s="207">
        <f>IF(AA351="SSD",((U351*Alukset_fx!$B$24)*Alukset_Käynnit_Lask!W351*(Alukset_fx!$K$49)/1000),IF(AA351="MSD",((U351*Alukset_fx!$B$24)*Alukset_Käynnit_Lask!W351*(Alukset_fx!$K$52)/1000),IF(AA351="HSD",((U351*Alukset_fx!$B$24)*Alukset_Käynnit_Lask!W351*(Alukset_fx!$K$55)/1000),0)))</f>
        <v>0</v>
      </c>
      <c r="AI351" s="207">
        <f>IF(AC351="MSD",((V351*Alukset_fx!$B$25)*Alukset_Käynnit_Lask!W351*(Alukset_fx!$L$52)/1000),IF(AC351="HSD",((V351*Alukset_fx!$B$25)*Alukset_Käynnit_Lask!W351*(Alukset_fx!$L$55)/1000),0))</f>
        <v>0</v>
      </c>
      <c r="AJ351" s="207">
        <f>X351*W351*Alukset_fx!$K$61/1000</f>
        <v>0</v>
      </c>
      <c r="AK351">
        <v>0</v>
      </c>
      <c r="AL351" s="207">
        <f>IF(AG351="Käytetty",0,IF(AC351="MSD",((V351*Alukset_fx!$O$25)*Alukset_Käynnit_Lask!O351*(Alukset_fx!$L$52)/1000),IF(AC351="HSD",((V351*Alukset_fx!$O$25)*Alukset_Käynnit_Lask!O351*(Alukset_fx!$L$55)/1000),0)))</f>
        <v>0</v>
      </c>
      <c r="AM351" s="207">
        <f>IF(AG351="Käytetty",0,Y351*O351*Alukset_fx!$K$61/1000)</f>
        <v>0</v>
      </c>
      <c r="AN351" s="213">
        <f t="shared" si="74"/>
        <v>0</v>
      </c>
    </row>
    <row r="352" spans="1:40" x14ac:dyDescent="0.25">
      <c r="A352" s="203">
        <f>Alukset_Käynnit!A359</f>
        <v>0</v>
      </c>
      <c r="B352" s="203">
        <f>Alukset_Käynnit!B359</f>
        <v>0</v>
      </c>
      <c r="C352" s="262">
        <f>Alukset_Käynnit!C359</f>
        <v>0</v>
      </c>
      <c r="D352" s="266">
        <f>Alukset_Käynnit!D359</f>
        <v>0</v>
      </c>
      <c r="E352" s="262">
        <f>Alukset_Käynnit!E359</f>
        <v>0</v>
      </c>
      <c r="F352" s="262">
        <f>Alukset_Käynnit!F359</f>
        <v>0</v>
      </c>
      <c r="G352" s="262">
        <f>Alukset_Käynnit!G359</f>
        <v>0</v>
      </c>
      <c r="H352" s="262">
        <f>Alukset_Käynnit!H359</f>
        <v>0</v>
      </c>
      <c r="I352" s="262">
        <f>Alukset_Käynnit!I359</f>
        <v>0</v>
      </c>
      <c r="J352" s="262">
        <f>Alukset_Käynnit!J359</f>
        <v>0</v>
      </c>
      <c r="K352" s="262">
        <f>Alukset_Käynnit!K359</f>
        <v>0</v>
      </c>
      <c r="L352" s="205">
        <f>Alukset_Käynnit!L359</f>
        <v>0</v>
      </c>
      <c r="N352" s="273">
        <f t="shared" si="75"/>
        <v>0</v>
      </c>
      <c r="O352" s="274">
        <f t="shared" si="76"/>
        <v>0</v>
      </c>
      <c r="Q352" s="204">
        <f t="shared" si="65"/>
        <v>0</v>
      </c>
      <c r="R352" s="202">
        <f>IF(Q352="Other dry cargo",L352*Alukset_fx!$B$71,IF(OR(Q352="Dry bulk",Q352="Bulk carrier"),L352*Alukset_fx!$B$69,IF(Q352="Tugboat",L352*Alukset_fx!$B$76,IF(OR(Q352="Tanker",Q352="Gas tanker",Q352="Chemical tanker",Q352="Oil tanker"),L352*Alukset_fx!$B$68,IF(OR(Q352="RoRo",Q352="Vehicle carrier"),L352*Alukset_fx!$B$72,IF(Q352="RoPax",L352*Alukset_fx!$B$73,IF(Q352="Container ship",L352*Alukset_fx!$B$70,IF(Q352="Barge",0,L352*Alukset_fx!$B$75))))))))</f>
        <v>0</v>
      </c>
      <c r="S352" s="210">
        <f>IF(L352=0,IF(Q352="Other dry cargo",Alukset_fx!$H$73*(Alukset_Käynnit_Lask!K352^Alukset_fx!$I$73),IF(OR(Q352="Dry Bulk",Q352="Bulk carrier"),Alukset_fx!$H$71*(Alukset_Käynnit_Lask!K352^Alukset_fx!$I$71),IF(Q352="Tugboat",Alukset_fx!$H$78*(Alukset_Käynnit_Lask!K352^Alukset_fx!$I$78),IF(OR(Q352="Tanker",Q352="Gas tanker",Q352="Chemical tanker",Q352="Oil tanker"),Alukset_fx!$H$70*(Alukset_Käynnit_Lask!K352^Alukset_fx!$I$70),IF(Q352="Container ship",Alukset_fx!$H$72*(Alukset_Käynnit_Lask!K352^Alukset_fx!$I$72),IF(Q352="Barge",0,IF(Q352="RoPax",Alukset_fx!$H$75*(Alukset_Käynnit_Lask!K352^Alukset_fx!$I$75),IF(OR(Q352="RoRo",Q352="Vehicle carrier"),Alukset_fx!$H$74*(Alukset_Käynnit_Lask!K352^Alukset_fx!$I$74),Alukset_fx!$H$77*(Alukset_Käynnit_Lask!K352^Alukset_fx!$I$77))))))))),"-")</f>
        <v>0</v>
      </c>
      <c r="T352" s="208">
        <f>IF(R352=0,IF(Q352="Other dry cargo",S352*Alukset_fx!$B$71,IF(OR(Q352="Dry bulk",Q352="Bulk carrier"),S352*Alukset_fx!$B$69,IF(Q352="Tugboat",S352*Alukset_fx!$B$76,IF(OR(Q352="Tanker",Q352="Gas tanker",Q352="Chemical tanker",Q352="Oil tanker"),S352*Alukset_fx!$B$68,IF(OR(Q352="RoRo",Q352="Vehicle carrier"),S352*Alukset_fx!$B$72,IF(Q352="RoPax",S352*Alukset_fx!$B$73,IF(Q352="Container ship",S352*Alukset_fx!$B$70,S352*Alukset_fx!$B$75))))))),"-")</f>
        <v>0</v>
      </c>
      <c r="U352" s="208">
        <f t="shared" si="66"/>
        <v>0</v>
      </c>
      <c r="V352" s="208">
        <f t="shared" si="67"/>
        <v>0</v>
      </c>
      <c r="W352" s="202">
        <f>Alukset_Käynnit!N359</f>
        <v>0</v>
      </c>
      <c r="X352" s="211">
        <f>IF(Q352="Other dry cargo", Alukset_fx!$C$52, IF(OR(Q352="Dry bulk",Q352="Bulk carrier"),Alukset_fx!$C$35,IF(OR(Q352="Tanker",Q352="Gas tanker",Q352="Oil tanker"),Alukset_fx!$C$57,IF(Q352="Chemical tanker",Alukset_fx!$C$56,IF(OR(Q352="Tugboat",Q352="Barge"),0,IF(Q352="Other vessel",Alukset_fx!$C$54,IF(Q352="Container ship",Alukset_fx!$C$37,IF(OR(Q352="RoPax",Q352="RoRo",Q352="Vehicle carrier"),Alukset_fx!$C$55,0))))))))</f>
        <v>0</v>
      </c>
      <c r="Y352" s="211">
        <f>IF(Q352="Other dry cargo", Alukset_fx!$Q$52, IF(OR(Q352="Dry bulk",Q352="Bulk carrier"),Alukset_fx!$Q$35,IF(OR(Q352="Tanker",Q352="Gas tanker",Q352="Oil tanker"),Alukset_fx!$Q$57,IF(Q352="Chemical tanker",Alukset_fx!$Q$56,IF(OR(Q352="Tugboat",Q352="Barge"),0,IF(Q352="Other vessel",Alukset_fx!$Q$54,IF(Q352="Container ship",Alukset_fx!$Q$37,IF(OR(Q352="RoPax",Q352="RoRo",Q352="Vehicle carrier"),Alukset_fx!$Q$55,0))))))))</f>
        <v>0</v>
      </c>
      <c r="Z352" t="str">
        <f t="shared" si="68"/>
        <v>MDO/MGO</v>
      </c>
      <c r="AA352" t="str">
        <f t="shared" si="69"/>
        <v>MSD</v>
      </c>
      <c r="AB352" t="str">
        <f t="shared" si="70"/>
        <v>MDO/MGO</v>
      </c>
      <c r="AC352" t="str">
        <f t="shared" si="71"/>
        <v>MSD</v>
      </c>
      <c r="AD352" t="str">
        <f t="shared" si="72"/>
        <v>MDO/MGO</v>
      </c>
      <c r="AE352" t="str">
        <f t="shared" si="73"/>
        <v>ST</v>
      </c>
      <c r="AG352">
        <f>Alukset_Käynnit!O359</f>
        <v>0</v>
      </c>
      <c r="AH352" s="207">
        <f>IF(AA352="SSD",((U352*Alukset_fx!$B$24)*Alukset_Käynnit_Lask!W352*(Alukset_fx!$K$49)/1000),IF(AA352="MSD",((U352*Alukset_fx!$B$24)*Alukset_Käynnit_Lask!W352*(Alukset_fx!$K$52)/1000),IF(AA352="HSD",((U352*Alukset_fx!$B$24)*Alukset_Käynnit_Lask!W352*(Alukset_fx!$K$55)/1000),0)))</f>
        <v>0</v>
      </c>
      <c r="AI352" s="207">
        <f>IF(AC352="MSD",((V352*Alukset_fx!$B$25)*Alukset_Käynnit_Lask!W352*(Alukset_fx!$L$52)/1000),IF(AC352="HSD",((V352*Alukset_fx!$B$25)*Alukset_Käynnit_Lask!W352*(Alukset_fx!$L$55)/1000),0))</f>
        <v>0</v>
      </c>
      <c r="AJ352" s="207">
        <f>X352*W352*Alukset_fx!$K$61/1000</f>
        <v>0</v>
      </c>
      <c r="AK352">
        <v>0</v>
      </c>
      <c r="AL352" s="207">
        <f>IF(AG352="Käytetty",0,IF(AC352="MSD",((V352*Alukset_fx!$O$25)*Alukset_Käynnit_Lask!O352*(Alukset_fx!$L$52)/1000),IF(AC352="HSD",((V352*Alukset_fx!$O$25)*Alukset_Käynnit_Lask!O352*(Alukset_fx!$L$55)/1000),0)))</f>
        <v>0</v>
      </c>
      <c r="AM352" s="207">
        <f>IF(AG352="Käytetty",0,Y352*O352*Alukset_fx!$K$61/1000)</f>
        <v>0</v>
      </c>
      <c r="AN352" s="213">
        <f t="shared" si="74"/>
        <v>0</v>
      </c>
    </row>
    <row r="353" spans="1:40" x14ac:dyDescent="0.25">
      <c r="A353" s="203">
        <f>Alukset_Käynnit!A360</f>
        <v>0</v>
      </c>
      <c r="B353" s="203">
        <f>Alukset_Käynnit!B360</f>
        <v>0</v>
      </c>
      <c r="C353" s="262">
        <f>Alukset_Käynnit!C360</f>
        <v>0</v>
      </c>
      <c r="D353" s="266">
        <f>Alukset_Käynnit!D360</f>
        <v>0</v>
      </c>
      <c r="E353" s="262">
        <f>Alukset_Käynnit!E360</f>
        <v>0</v>
      </c>
      <c r="F353" s="262">
        <f>Alukset_Käynnit!F360</f>
        <v>0</v>
      </c>
      <c r="G353" s="262">
        <f>Alukset_Käynnit!G360</f>
        <v>0</v>
      </c>
      <c r="H353" s="262">
        <f>Alukset_Käynnit!H360</f>
        <v>0</v>
      </c>
      <c r="I353" s="262">
        <f>Alukset_Käynnit!I360</f>
        <v>0</v>
      </c>
      <c r="J353" s="262">
        <f>Alukset_Käynnit!J360</f>
        <v>0</v>
      </c>
      <c r="K353" s="262">
        <f>Alukset_Käynnit!K360</f>
        <v>0</v>
      </c>
      <c r="L353" s="205">
        <f>Alukset_Käynnit!L360</f>
        <v>0</v>
      </c>
      <c r="N353" s="273">
        <f t="shared" si="75"/>
        <v>0</v>
      </c>
      <c r="O353" s="274">
        <f t="shared" si="76"/>
        <v>0</v>
      </c>
      <c r="Q353" s="204">
        <f t="shared" si="65"/>
        <v>0</v>
      </c>
      <c r="R353" s="202">
        <f>IF(Q353="Other dry cargo",L353*Alukset_fx!$B$71,IF(OR(Q353="Dry bulk",Q353="Bulk carrier"),L353*Alukset_fx!$B$69,IF(Q353="Tugboat",L353*Alukset_fx!$B$76,IF(OR(Q353="Tanker",Q353="Gas tanker",Q353="Chemical tanker",Q353="Oil tanker"),L353*Alukset_fx!$B$68,IF(OR(Q353="RoRo",Q353="Vehicle carrier"),L353*Alukset_fx!$B$72,IF(Q353="RoPax",L353*Alukset_fx!$B$73,IF(Q353="Container ship",L353*Alukset_fx!$B$70,IF(Q353="Barge",0,L353*Alukset_fx!$B$75))))))))</f>
        <v>0</v>
      </c>
      <c r="S353" s="210">
        <f>IF(L353=0,IF(Q353="Other dry cargo",Alukset_fx!$H$73*(Alukset_Käynnit_Lask!K353^Alukset_fx!$I$73),IF(OR(Q353="Dry Bulk",Q353="Bulk carrier"),Alukset_fx!$H$71*(Alukset_Käynnit_Lask!K353^Alukset_fx!$I$71),IF(Q353="Tugboat",Alukset_fx!$H$78*(Alukset_Käynnit_Lask!K353^Alukset_fx!$I$78),IF(OR(Q353="Tanker",Q353="Gas tanker",Q353="Chemical tanker",Q353="Oil tanker"),Alukset_fx!$H$70*(Alukset_Käynnit_Lask!K353^Alukset_fx!$I$70),IF(Q353="Container ship",Alukset_fx!$H$72*(Alukset_Käynnit_Lask!K353^Alukset_fx!$I$72),IF(Q353="Barge",0,IF(Q353="RoPax",Alukset_fx!$H$75*(Alukset_Käynnit_Lask!K353^Alukset_fx!$I$75),IF(OR(Q353="RoRo",Q353="Vehicle carrier"),Alukset_fx!$H$74*(Alukset_Käynnit_Lask!K353^Alukset_fx!$I$74),Alukset_fx!$H$77*(Alukset_Käynnit_Lask!K353^Alukset_fx!$I$77))))))))),"-")</f>
        <v>0</v>
      </c>
      <c r="T353" s="208">
        <f>IF(R353=0,IF(Q353="Other dry cargo",S353*Alukset_fx!$B$71,IF(OR(Q353="Dry bulk",Q353="Bulk carrier"),S353*Alukset_fx!$B$69,IF(Q353="Tugboat",S353*Alukset_fx!$B$76,IF(OR(Q353="Tanker",Q353="Gas tanker",Q353="Chemical tanker",Q353="Oil tanker"),S353*Alukset_fx!$B$68,IF(OR(Q353="RoRo",Q353="Vehicle carrier"),S353*Alukset_fx!$B$72,IF(Q353="RoPax",S353*Alukset_fx!$B$73,IF(Q353="Container ship",S353*Alukset_fx!$B$70,S353*Alukset_fx!$B$75))))))),"-")</f>
        <v>0</v>
      </c>
      <c r="U353" s="208">
        <f t="shared" si="66"/>
        <v>0</v>
      </c>
      <c r="V353" s="208">
        <f t="shared" si="67"/>
        <v>0</v>
      </c>
      <c r="W353" s="202">
        <f>Alukset_Käynnit!N360</f>
        <v>0</v>
      </c>
      <c r="X353" s="211">
        <f>IF(Q353="Other dry cargo", Alukset_fx!$C$52, IF(OR(Q353="Dry bulk",Q353="Bulk carrier"),Alukset_fx!$C$35,IF(OR(Q353="Tanker",Q353="Gas tanker",Q353="Oil tanker"),Alukset_fx!$C$57,IF(Q353="Chemical tanker",Alukset_fx!$C$56,IF(OR(Q353="Tugboat",Q353="Barge"),0,IF(Q353="Other vessel",Alukset_fx!$C$54,IF(Q353="Container ship",Alukset_fx!$C$37,IF(OR(Q353="RoPax",Q353="RoRo",Q353="Vehicle carrier"),Alukset_fx!$C$55,0))))))))</f>
        <v>0</v>
      </c>
      <c r="Y353" s="211">
        <f>IF(Q353="Other dry cargo", Alukset_fx!$Q$52, IF(OR(Q353="Dry bulk",Q353="Bulk carrier"),Alukset_fx!$Q$35,IF(OR(Q353="Tanker",Q353="Gas tanker",Q353="Oil tanker"),Alukset_fx!$Q$57,IF(Q353="Chemical tanker",Alukset_fx!$Q$56,IF(OR(Q353="Tugboat",Q353="Barge"),0,IF(Q353="Other vessel",Alukset_fx!$Q$54,IF(Q353="Container ship",Alukset_fx!$Q$37,IF(OR(Q353="RoPax",Q353="RoRo",Q353="Vehicle carrier"),Alukset_fx!$Q$55,0))))))))</f>
        <v>0</v>
      </c>
      <c r="Z353" t="str">
        <f t="shared" si="68"/>
        <v>MDO/MGO</v>
      </c>
      <c r="AA353" t="str">
        <f t="shared" si="69"/>
        <v>MSD</v>
      </c>
      <c r="AB353" t="str">
        <f t="shared" si="70"/>
        <v>MDO/MGO</v>
      </c>
      <c r="AC353" t="str">
        <f t="shared" si="71"/>
        <v>MSD</v>
      </c>
      <c r="AD353" t="str">
        <f t="shared" si="72"/>
        <v>MDO/MGO</v>
      </c>
      <c r="AE353" t="str">
        <f t="shared" si="73"/>
        <v>ST</v>
      </c>
      <c r="AG353">
        <f>Alukset_Käynnit!O360</f>
        <v>0</v>
      </c>
      <c r="AH353" s="207">
        <f>IF(AA353="SSD",((U353*Alukset_fx!$B$24)*Alukset_Käynnit_Lask!W353*(Alukset_fx!$K$49)/1000),IF(AA353="MSD",((U353*Alukset_fx!$B$24)*Alukset_Käynnit_Lask!W353*(Alukset_fx!$K$52)/1000),IF(AA353="HSD",((U353*Alukset_fx!$B$24)*Alukset_Käynnit_Lask!W353*(Alukset_fx!$K$55)/1000),0)))</f>
        <v>0</v>
      </c>
      <c r="AI353" s="207">
        <f>IF(AC353="MSD",((V353*Alukset_fx!$B$25)*Alukset_Käynnit_Lask!W353*(Alukset_fx!$L$52)/1000),IF(AC353="HSD",((V353*Alukset_fx!$B$25)*Alukset_Käynnit_Lask!W353*(Alukset_fx!$L$55)/1000),0))</f>
        <v>0</v>
      </c>
      <c r="AJ353" s="207">
        <f>X353*W353*Alukset_fx!$K$61/1000</f>
        <v>0</v>
      </c>
      <c r="AK353">
        <v>0</v>
      </c>
      <c r="AL353" s="207">
        <f>IF(AG353="Käytetty",0,IF(AC353="MSD",((V353*Alukset_fx!$O$25)*Alukset_Käynnit_Lask!O353*(Alukset_fx!$L$52)/1000),IF(AC353="HSD",((V353*Alukset_fx!$O$25)*Alukset_Käynnit_Lask!O353*(Alukset_fx!$L$55)/1000),0)))</f>
        <v>0</v>
      </c>
      <c r="AM353" s="207">
        <f>IF(AG353="Käytetty",0,Y353*O353*Alukset_fx!$K$61/1000)</f>
        <v>0</v>
      </c>
      <c r="AN353" s="213">
        <f t="shared" si="74"/>
        <v>0</v>
      </c>
    </row>
    <row r="354" spans="1:40" x14ac:dyDescent="0.25">
      <c r="A354" s="203">
        <f>Alukset_Käynnit!A361</f>
        <v>0</v>
      </c>
      <c r="B354" s="203">
        <f>Alukset_Käynnit!B361</f>
        <v>0</v>
      </c>
      <c r="C354" s="262">
        <f>Alukset_Käynnit!C361</f>
        <v>0</v>
      </c>
      <c r="D354" s="266">
        <f>Alukset_Käynnit!D361</f>
        <v>0</v>
      </c>
      <c r="E354" s="262">
        <f>Alukset_Käynnit!E361</f>
        <v>0</v>
      </c>
      <c r="F354" s="262">
        <f>Alukset_Käynnit!F361</f>
        <v>0</v>
      </c>
      <c r="G354" s="262">
        <f>Alukset_Käynnit!G361</f>
        <v>0</v>
      </c>
      <c r="H354" s="262">
        <f>Alukset_Käynnit!H361</f>
        <v>0</v>
      </c>
      <c r="I354" s="262">
        <f>Alukset_Käynnit!I361</f>
        <v>0</v>
      </c>
      <c r="J354" s="262">
        <f>Alukset_Käynnit!J361</f>
        <v>0</v>
      </c>
      <c r="K354" s="262">
        <f>Alukset_Käynnit!K361</f>
        <v>0</v>
      </c>
      <c r="L354" s="205">
        <f>Alukset_Käynnit!L361</f>
        <v>0</v>
      </c>
      <c r="N354" s="273">
        <f t="shared" si="75"/>
        <v>0</v>
      </c>
      <c r="O354" s="274">
        <f t="shared" si="76"/>
        <v>0</v>
      </c>
      <c r="Q354" s="204">
        <f t="shared" si="65"/>
        <v>0</v>
      </c>
      <c r="R354" s="202">
        <f>IF(Q354="Other dry cargo",L354*Alukset_fx!$B$71,IF(OR(Q354="Dry bulk",Q354="Bulk carrier"),L354*Alukset_fx!$B$69,IF(Q354="Tugboat",L354*Alukset_fx!$B$76,IF(OR(Q354="Tanker",Q354="Gas tanker",Q354="Chemical tanker",Q354="Oil tanker"),L354*Alukset_fx!$B$68,IF(OR(Q354="RoRo",Q354="Vehicle carrier"),L354*Alukset_fx!$B$72,IF(Q354="RoPax",L354*Alukset_fx!$B$73,IF(Q354="Container ship",L354*Alukset_fx!$B$70,IF(Q354="Barge",0,L354*Alukset_fx!$B$75))))))))</f>
        <v>0</v>
      </c>
      <c r="S354" s="210">
        <f>IF(L354=0,IF(Q354="Other dry cargo",Alukset_fx!$H$73*(Alukset_Käynnit_Lask!K354^Alukset_fx!$I$73),IF(OR(Q354="Dry Bulk",Q354="Bulk carrier"),Alukset_fx!$H$71*(Alukset_Käynnit_Lask!K354^Alukset_fx!$I$71),IF(Q354="Tugboat",Alukset_fx!$H$78*(Alukset_Käynnit_Lask!K354^Alukset_fx!$I$78),IF(OR(Q354="Tanker",Q354="Gas tanker",Q354="Chemical tanker",Q354="Oil tanker"),Alukset_fx!$H$70*(Alukset_Käynnit_Lask!K354^Alukset_fx!$I$70),IF(Q354="Container ship",Alukset_fx!$H$72*(Alukset_Käynnit_Lask!K354^Alukset_fx!$I$72),IF(Q354="Barge",0,IF(Q354="RoPax",Alukset_fx!$H$75*(Alukset_Käynnit_Lask!K354^Alukset_fx!$I$75),IF(OR(Q354="RoRo",Q354="Vehicle carrier"),Alukset_fx!$H$74*(Alukset_Käynnit_Lask!K354^Alukset_fx!$I$74),Alukset_fx!$H$77*(Alukset_Käynnit_Lask!K354^Alukset_fx!$I$77))))))))),"-")</f>
        <v>0</v>
      </c>
      <c r="T354" s="208">
        <f>IF(R354=0,IF(Q354="Other dry cargo",S354*Alukset_fx!$B$71,IF(OR(Q354="Dry bulk",Q354="Bulk carrier"),S354*Alukset_fx!$B$69,IF(Q354="Tugboat",S354*Alukset_fx!$B$76,IF(OR(Q354="Tanker",Q354="Gas tanker",Q354="Chemical tanker",Q354="Oil tanker"),S354*Alukset_fx!$B$68,IF(OR(Q354="RoRo",Q354="Vehicle carrier"),S354*Alukset_fx!$B$72,IF(Q354="RoPax",S354*Alukset_fx!$B$73,IF(Q354="Container ship",S354*Alukset_fx!$B$70,S354*Alukset_fx!$B$75))))))),"-")</f>
        <v>0</v>
      </c>
      <c r="U354" s="208">
        <f t="shared" si="66"/>
        <v>0</v>
      </c>
      <c r="V354" s="208">
        <f t="shared" si="67"/>
        <v>0</v>
      </c>
      <c r="W354" s="202">
        <f>Alukset_Käynnit!N361</f>
        <v>0</v>
      </c>
      <c r="X354" s="211">
        <f>IF(Q354="Other dry cargo", Alukset_fx!$C$52, IF(OR(Q354="Dry bulk",Q354="Bulk carrier"),Alukset_fx!$C$35,IF(OR(Q354="Tanker",Q354="Gas tanker",Q354="Oil tanker"),Alukset_fx!$C$57,IF(Q354="Chemical tanker",Alukset_fx!$C$56,IF(OR(Q354="Tugboat",Q354="Barge"),0,IF(Q354="Other vessel",Alukset_fx!$C$54,IF(Q354="Container ship",Alukset_fx!$C$37,IF(OR(Q354="RoPax",Q354="RoRo",Q354="Vehicle carrier"),Alukset_fx!$C$55,0))))))))</f>
        <v>0</v>
      </c>
      <c r="Y354" s="211">
        <f>IF(Q354="Other dry cargo", Alukset_fx!$Q$52, IF(OR(Q354="Dry bulk",Q354="Bulk carrier"),Alukset_fx!$Q$35,IF(OR(Q354="Tanker",Q354="Gas tanker",Q354="Oil tanker"),Alukset_fx!$Q$57,IF(Q354="Chemical tanker",Alukset_fx!$Q$56,IF(OR(Q354="Tugboat",Q354="Barge"),0,IF(Q354="Other vessel",Alukset_fx!$Q$54,IF(Q354="Container ship",Alukset_fx!$Q$37,IF(OR(Q354="RoPax",Q354="RoRo",Q354="Vehicle carrier"),Alukset_fx!$Q$55,0))))))))</f>
        <v>0</v>
      </c>
      <c r="Z354" t="str">
        <f t="shared" si="68"/>
        <v>MDO/MGO</v>
      </c>
      <c r="AA354" t="str">
        <f t="shared" si="69"/>
        <v>MSD</v>
      </c>
      <c r="AB354" t="str">
        <f t="shared" si="70"/>
        <v>MDO/MGO</v>
      </c>
      <c r="AC354" t="str">
        <f t="shared" si="71"/>
        <v>MSD</v>
      </c>
      <c r="AD354" t="str">
        <f t="shared" si="72"/>
        <v>MDO/MGO</v>
      </c>
      <c r="AE354" t="str">
        <f t="shared" si="73"/>
        <v>ST</v>
      </c>
      <c r="AG354">
        <f>Alukset_Käynnit!O361</f>
        <v>0</v>
      </c>
      <c r="AH354" s="207">
        <f>IF(AA354="SSD",((U354*Alukset_fx!$B$24)*Alukset_Käynnit_Lask!W354*(Alukset_fx!$K$49)/1000),IF(AA354="MSD",((U354*Alukset_fx!$B$24)*Alukset_Käynnit_Lask!W354*(Alukset_fx!$K$52)/1000),IF(AA354="HSD",((U354*Alukset_fx!$B$24)*Alukset_Käynnit_Lask!W354*(Alukset_fx!$K$55)/1000),0)))</f>
        <v>0</v>
      </c>
      <c r="AI354" s="207">
        <f>IF(AC354="MSD",((V354*Alukset_fx!$B$25)*Alukset_Käynnit_Lask!W354*(Alukset_fx!$L$52)/1000),IF(AC354="HSD",((V354*Alukset_fx!$B$25)*Alukset_Käynnit_Lask!W354*(Alukset_fx!$L$55)/1000),0))</f>
        <v>0</v>
      </c>
      <c r="AJ354" s="207">
        <f>X354*W354*Alukset_fx!$K$61/1000</f>
        <v>0</v>
      </c>
      <c r="AK354">
        <v>0</v>
      </c>
      <c r="AL354" s="207">
        <f>IF(AG354="Käytetty",0,IF(AC354="MSD",((V354*Alukset_fx!$O$25)*Alukset_Käynnit_Lask!O354*(Alukset_fx!$L$52)/1000),IF(AC354="HSD",((V354*Alukset_fx!$O$25)*Alukset_Käynnit_Lask!O354*(Alukset_fx!$L$55)/1000),0)))</f>
        <v>0</v>
      </c>
      <c r="AM354" s="207">
        <f>IF(AG354="Käytetty",0,Y354*O354*Alukset_fx!$K$61/1000)</f>
        <v>0</v>
      </c>
      <c r="AN354" s="213">
        <f t="shared" si="74"/>
        <v>0</v>
      </c>
    </row>
    <row r="355" spans="1:40" x14ac:dyDescent="0.25">
      <c r="A355" s="203">
        <f>Alukset_Käynnit!A362</f>
        <v>0</v>
      </c>
      <c r="B355" s="203">
        <f>Alukset_Käynnit!B362</f>
        <v>0</v>
      </c>
      <c r="C355" s="262">
        <f>Alukset_Käynnit!C362</f>
        <v>0</v>
      </c>
      <c r="D355" s="266">
        <f>Alukset_Käynnit!D362</f>
        <v>0</v>
      </c>
      <c r="E355" s="262">
        <f>Alukset_Käynnit!E362</f>
        <v>0</v>
      </c>
      <c r="F355" s="262">
        <f>Alukset_Käynnit!F362</f>
        <v>0</v>
      </c>
      <c r="G355" s="262">
        <f>Alukset_Käynnit!G362</f>
        <v>0</v>
      </c>
      <c r="H355" s="262">
        <f>Alukset_Käynnit!H362</f>
        <v>0</v>
      </c>
      <c r="I355" s="262">
        <f>Alukset_Käynnit!I362</f>
        <v>0</v>
      </c>
      <c r="J355" s="262">
        <f>Alukset_Käynnit!J362</f>
        <v>0</v>
      </c>
      <c r="K355" s="262">
        <f>Alukset_Käynnit!K362</f>
        <v>0</v>
      </c>
      <c r="L355" s="205">
        <f>Alukset_Käynnit!L362</f>
        <v>0</v>
      </c>
      <c r="N355" s="273">
        <f t="shared" si="75"/>
        <v>0</v>
      </c>
      <c r="O355" s="274">
        <f t="shared" si="76"/>
        <v>0</v>
      </c>
      <c r="Q355" s="204">
        <f t="shared" si="65"/>
        <v>0</v>
      </c>
      <c r="R355" s="202">
        <f>IF(Q355="Other dry cargo",L355*Alukset_fx!$B$71,IF(OR(Q355="Dry bulk",Q355="Bulk carrier"),L355*Alukset_fx!$B$69,IF(Q355="Tugboat",L355*Alukset_fx!$B$76,IF(OR(Q355="Tanker",Q355="Gas tanker",Q355="Chemical tanker",Q355="Oil tanker"),L355*Alukset_fx!$B$68,IF(OR(Q355="RoRo",Q355="Vehicle carrier"),L355*Alukset_fx!$B$72,IF(Q355="RoPax",L355*Alukset_fx!$B$73,IF(Q355="Container ship",L355*Alukset_fx!$B$70,IF(Q355="Barge",0,L355*Alukset_fx!$B$75))))))))</f>
        <v>0</v>
      </c>
      <c r="S355" s="210">
        <f>IF(L355=0,IF(Q355="Other dry cargo",Alukset_fx!$H$73*(Alukset_Käynnit_Lask!K355^Alukset_fx!$I$73),IF(OR(Q355="Dry Bulk",Q355="Bulk carrier"),Alukset_fx!$H$71*(Alukset_Käynnit_Lask!K355^Alukset_fx!$I$71),IF(Q355="Tugboat",Alukset_fx!$H$78*(Alukset_Käynnit_Lask!K355^Alukset_fx!$I$78),IF(OR(Q355="Tanker",Q355="Gas tanker",Q355="Chemical tanker",Q355="Oil tanker"),Alukset_fx!$H$70*(Alukset_Käynnit_Lask!K355^Alukset_fx!$I$70),IF(Q355="Container ship",Alukset_fx!$H$72*(Alukset_Käynnit_Lask!K355^Alukset_fx!$I$72),IF(Q355="Barge",0,IF(Q355="RoPax",Alukset_fx!$H$75*(Alukset_Käynnit_Lask!K355^Alukset_fx!$I$75),IF(OR(Q355="RoRo",Q355="Vehicle carrier"),Alukset_fx!$H$74*(Alukset_Käynnit_Lask!K355^Alukset_fx!$I$74),Alukset_fx!$H$77*(Alukset_Käynnit_Lask!K355^Alukset_fx!$I$77))))))))),"-")</f>
        <v>0</v>
      </c>
      <c r="T355" s="208">
        <f>IF(R355=0,IF(Q355="Other dry cargo",S355*Alukset_fx!$B$71,IF(OR(Q355="Dry bulk",Q355="Bulk carrier"),S355*Alukset_fx!$B$69,IF(Q355="Tugboat",S355*Alukset_fx!$B$76,IF(OR(Q355="Tanker",Q355="Gas tanker",Q355="Chemical tanker",Q355="Oil tanker"),S355*Alukset_fx!$B$68,IF(OR(Q355="RoRo",Q355="Vehicle carrier"),S355*Alukset_fx!$B$72,IF(Q355="RoPax",S355*Alukset_fx!$B$73,IF(Q355="Container ship",S355*Alukset_fx!$B$70,S355*Alukset_fx!$B$75))))))),"-")</f>
        <v>0</v>
      </c>
      <c r="U355" s="208">
        <f t="shared" si="66"/>
        <v>0</v>
      </c>
      <c r="V355" s="208">
        <f t="shared" si="67"/>
        <v>0</v>
      </c>
      <c r="W355" s="202">
        <f>Alukset_Käynnit!N362</f>
        <v>0</v>
      </c>
      <c r="X355" s="211">
        <f>IF(Q355="Other dry cargo", Alukset_fx!$C$52, IF(OR(Q355="Dry bulk",Q355="Bulk carrier"),Alukset_fx!$C$35,IF(OR(Q355="Tanker",Q355="Gas tanker",Q355="Oil tanker"),Alukset_fx!$C$57,IF(Q355="Chemical tanker",Alukset_fx!$C$56,IF(OR(Q355="Tugboat",Q355="Barge"),0,IF(Q355="Other vessel",Alukset_fx!$C$54,IF(Q355="Container ship",Alukset_fx!$C$37,IF(OR(Q355="RoPax",Q355="RoRo",Q355="Vehicle carrier"),Alukset_fx!$C$55,0))))))))</f>
        <v>0</v>
      </c>
      <c r="Y355" s="211">
        <f>IF(Q355="Other dry cargo", Alukset_fx!$Q$52, IF(OR(Q355="Dry bulk",Q355="Bulk carrier"),Alukset_fx!$Q$35,IF(OR(Q355="Tanker",Q355="Gas tanker",Q355="Oil tanker"),Alukset_fx!$Q$57,IF(Q355="Chemical tanker",Alukset_fx!$Q$56,IF(OR(Q355="Tugboat",Q355="Barge"),0,IF(Q355="Other vessel",Alukset_fx!$Q$54,IF(Q355="Container ship",Alukset_fx!$Q$37,IF(OR(Q355="RoPax",Q355="RoRo",Q355="Vehicle carrier"),Alukset_fx!$Q$55,0))))))))</f>
        <v>0</v>
      </c>
      <c r="Z355" t="str">
        <f t="shared" si="68"/>
        <v>MDO/MGO</v>
      </c>
      <c r="AA355" t="str">
        <f t="shared" si="69"/>
        <v>MSD</v>
      </c>
      <c r="AB355" t="str">
        <f t="shared" si="70"/>
        <v>MDO/MGO</v>
      </c>
      <c r="AC355" t="str">
        <f t="shared" si="71"/>
        <v>MSD</v>
      </c>
      <c r="AD355" t="str">
        <f t="shared" si="72"/>
        <v>MDO/MGO</v>
      </c>
      <c r="AE355" t="str">
        <f t="shared" si="73"/>
        <v>ST</v>
      </c>
      <c r="AG355">
        <f>Alukset_Käynnit!O362</f>
        <v>0</v>
      </c>
      <c r="AH355" s="207">
        <f>IF(AA355="SSD",((U355*Alukset_fx!$B$24)*Alukset_Käynnit_Lask!W355*(Alukset_fx!$K$49)/1000),IF(AA355="MSD",((U355*Alukset_fx!$B$24)*Alukset_Käynnit_Lask!W355*(Alukset_fx!$K$52)/1000),IF(AA355="HSD",((U355*Alukset_fx!$B$24)*Alukset_Käynnit_Lask!W355*(Alukset_fx!$K$55)/1000),0)))</f>
        <v>0</v>
      </c>
      <c r="AI355" s="207">
        <f>IF(AC355="MSD",((V355*Alukset_fx!$B$25)*Alukset_Käynnit_Lask!W355*(Alukset_fx!$L$52)/1000),IF(AC355="HSD",((V355*Alukset_fx!$B$25)*Alukset_Käynnit_Lask!W355*(Alukset_fx!$L$55)/1000),0))</f>
        <v>0</v>
      </c>
      <c r="AJ355" s="207">
        <f>X355*W355*Alukset_fx!$K$61/1000</f>
        <v>0</v>
      </c>
      <c r="AK355">
        <v>0</v>
      </c>
      <c r="AL355" s="207">
        <f>IF(AG355="Käytetty",0,IF(AC355="MSD",((V355*Alukset_fx!$O$25)*Alukset_Käynnit_Lask!O355*(Alukset_fx!$L$52)/1000),IF(AC355="HSD",((V355*Alukset_fx!$O$25)*Alukset_Käynnit_Lask!O355*(Alukset_fx!$L$55)/1000),0)))</f>
        <v>0</v>
      </c>
      <c r="AM355" s="207">
        <f>IF(AG355="Käytetty",0,Y355*O355*Alukset_fx!$K$61/1000)</f>
        <v>0</v>
      </c>
      <c r="AN355" s="213">
        <f t="shared" si="74"/>
        <v>0</v>
      </c>
    </row>
    <row r="356" spans="1:40" x14ac:dyDescent="0.25">
      <c r="A356" s="203">
        <f>Alukset_Käynnit!A363</f>
        <v>0</v>
      </c>
      <c r="B356" s="203">
        <f>Alukset_Käynnit!B363</f>
        <v>0</v>
      </c>
      <c r="C356" s="262">
        <f>Alukset_Käynnit!C363</f>
        <v>0</v>
      </c>
      <c r="D356" s="266">
        <f>Alukset_Käynnit!D363</f>
        <v>0</v>
      </c>
      <c r="E356" s="262">
        <f>Alukset_Käynnit!E363</f>
        <v>0</v>
      </c>
      <c r="F356" s="262">
        <f>Alukset_Käynnit!F363</f>
        <v>0</v>
      </c>
      <c r="G356" s="262">
        <f>Alukset_Käynnit!G363</f>
        <v>0</v>
      </c>
      <c r="H356" s="262">
        <f>Alukset_Käynnit!H363</f>
        <v>0</v>
      </c>
      <c r="I356" s="262">
        <f>Alukset_Käynnit!I363</f>
        <v>0</v>
      </c>
      <c r="J356" s="262">
        <f>Alukset_Käynnit!J363</f>
        <v>0</v>
      </c>
      <c r="K356" s="262">
        <f>Alukset_Käynnit!K363</f>
        <v>0</v>
      </c>
      <c r="L356" s="205">
        <f>Alukset_Käynnit!L363</f>
        <v>0</v>
      </c>
      <c r="N356" s="273">
        <f t="shared" si="75"/>
        <v>0</v>
      </c>
      <c r="O356" s="274">
        <f t="shared" si="76"/>
        <v>0</v>
      </c>
      <c r="Q356" s="204">
        <f t="shared" si="65"/>
        <v>0</v>
      </c>
      <c r="R356" s="202">
        <f>IF(Q356="Other dry cargo",L356*Alukset_fx!$B$71,IF(OR(Q356="Dry bulk",Q356="Bulk carrier"),L356*Alukset_fx!$B$69,IF(Q356="Tugboat",L356*Alukset_fx!$B$76,IF(OR(Q356="Tanker",Q356="Gas tanker",Q356="Chemical tanker",Q356="Oil tanker"),L356*Alukset_fx!$B$68,IF(OR(Q356="RoRo",Q356="Vehicle carrier"),L356*Alukset_fx!$B$72,IF(Q356="RoPax",L356*Alukset_fx!$B$73,IF(Q356="Container ship",L356*Alukset_fx!$B$70,IF(Q356="Barge",0,L356*Alukset_fx!$B$75))))))))</f>
        <v>0</v>
      </c>
      <c r="S356" s="210">
        <f>IF(L356=0,IF(Q356="Other dry cargo",Alukset_fx!$H$73*(Alukset_Käynnit_Lask!K356^Alukset_fx!$I$73),IF(OR(Q356="Dry Bulk",Q356="Bulk carrier"),Alukset_fx!$H$71*(Alukset_Käynnit_Lask!K356^Alukset_fx!$I$71),IF(Q356="Tugboat",Alukset_fx!$H$78*(Alukset_Käynnit_Lask!K356^Alukset_fx!$I$78),IF(OR(Q356="Tanker",Q356="Gas tanker",Q356="Chemical tanker",Q356="Oil tanker"),Alukset_fx!$H$70*(Alukset_Käynnit_Lask!K356^Alukset_fx!$I$70),IF(Q356="Container ship",Alukset_fx!$H$72*(Alukset_Käynnit_Lask!K356^Alukset_fx!$I$72),IF(Q356="Barge",0,IF(Q356="RoPax",Alukset_fx!$H$75*(Alukset_Käynnit_Lask!K356^Alukset_fx!$I$75),IF(OR(Q356="RoRo",Q356="Vehicle carrier"),Alukset_fx!$H$74*(Alukset_Käynnit_Lask!K356^Alukset_fx!$I$74),Alukset_fx!$H$77*(Alukset_Käynnit_Lask!K356^Alukset_fx!$I$77))))))))),"-")</f>
        <v>0</v>
      </c>
      <c r="T356" s="208">
        <f>IF(R356=0,IF(Q356="Other dry cargo",S356*Alukset_fx!$B$71,IF(OR(Q356="Dry bulk",Q356="Bulk carrier"),S356*Alukset_fx!$B$69,IF(Q356="Tugboat",S356*Alukset_fx!$B$76,IF(OR(Q356="Tanker",Q356="Gas tanker",Q356="Chemical tanker",Q356="Oil tanker"),S356*Alukset_fx!$B$68,IF(OR(Q356="RoRo",Q356="Vehicle carrier"),S356*Alukset_fx!$B$72,IF(Q356="RoPax",S356*Alukset_fx!$B$73,IF(Q356="Container ship",S356*Alukset_fx!$B$70,S356*Alukset_fx!$B$75))))))),"-")</f>
        <v>0</v>
      </c>
      <c r="U356" s="208">
        <f t="shared" si="66"/>
        <v>0</v>
      </c>
      <c r="V356" s="208">
        <f t="shared" si="67"/>
        <v>0</v>
      </c>
      <c r="W356" s="202">
        <f>Alukset_Käynnit!N363</f>
        <v>0</v>
      </c>
      <c r="X356" s="211">
        <f>IF(Q356="Other dry cargo", Alukset_fx!$C$52, IF(OR(Q356="Dry bulk",Q356="Bulk carrier"),Alukset_fx!$C$35,IF(OR(Q356="Tanker",Q356="Gas tanker",Q356="Oil tanker"),Alukset_fx!$C$57,IF(Q356="Chemical tanker",Alukset_fx!$C$56,IF(OR(Q356="Tugboat",Q356="Barge"),0,IF(Q356="Other vessel",Alukset_fx!$C$54,IF(Q356="Container ship",Alukset_fx!$C$37,IF(OR(Q356="RoPax",Q356="RoRo",Q356="Vehicle carrier"),Alukset_fx!$C$55,0))))))))</f>
        <v>0</v>
      </c>
      <c r="Y356" s="211">
        <f>IF(Q356="Other dry cargo", Alukset_fx!$Q$52, IF(OR(Q356="Dry bulk",Q356="Bulk carrier"),Alukset_fx!$Q$35,IF(OR(Q356="Tanker",Q356="Gas tanker",Q356="Oil tanker"),Alukset_fx!$Q$57,IF(Q356="Chemical tanker",Alukset_fx!$Q$56,IF(OR(Q356="Tugboat",Q356="Barge"),0,IF(Q356="Other vessel",Alukset_fx!$Q$54,IF(Q356="Container ship",Alukset_fx!$Q$37,IF(OR(Q356="RoPax",Q356="RoRo",Q356="Vehicle carrier"),Alukset_fx!$Q$55,0))))))))</f>
        <v>0</v>
      </c>
      <c r="Z356" t="str">
        <f t="shared" si="68"/>
        <v>MDO/MGO</v>
      </c>
      <c r="AA356" t="str">
        <f t="shared" si="69"/>
        <v>MSD</v>
      </c>
      <c r="AB356" t="str">
        <f t="shared" si="70"/>
        <v>MDO/MGO</v>
      </c>
      <c r="AC356" t="str">
        <f t="shared" si="71"/>
        <v>MSD</v>
      </c>
      <c r="AD356" t="str">
        <f t="shared" si="72"/>
        <v>MDO/MGO</v>
      </c>
      <c r="AE356" t="str">
        <f t="shared" si="73"/>
        <v>ST</v>
      </c>
      <c r="AG356">
        <f>Alukset_Käynnit!O363</f>
        <v>0</v>
      </c>
      <c r="AH356" s="207">
        <f>IF(AA356="SSD",((U356*Alukset_fx!$B$24)*Alukset_Käynnit_Lask!W356*(Alukset_fx!$K$49)/1000),IF(AA356="MSD",((U356*Alukset_fx!$B$24)*Alukset_Käynnit_Lask!W356*(Alukset_fx!$K$52)/1000),IF(AA356="HSD",((U356*Alukset_fx!$B$24)*Alukset_Käynnit_Lask!W356*(Alukset_fx!$K$55)/1000),0)))</f>
        <v>0</v>
      </c>
      <c r="AI356" s="207">
        <f>IF(AC356="MSD",((V356*Alukset_fx!$B$25)*Alukset_Käynnit_Lask!W356*(Alukset_fx!$L$52)/1000),IF(AC356="HSD",((V356*Alukset_fx!$B$25)*Alukset_Käynnit_Lask!W356*(Alukset_fx!$L$55)/1000),0))</f>
        <v>0</v>
      </c>
      <c r="AJ356" s="207">
        <f>X356*W356*Alukset_fx!$K$61/1000</f>
        <v>0</v>
      </c>
      <c r="AK356">
        <v>0</v>
      </c>
      <c r="AL356" s="207">
        <f>IF(AG356="Käytetty",0,IF(AC356="MSD",((V356*Alukset_fx!$O$25)*Alukset_Käynnit_Lask!O356*(Alukset_fx!$L$52)/1000),IF(AC356="HSD",((V356*Alukset_fx!$O$25)*Alukset_Käynnit_Lask!O356*(Alukset_fx!$L$55)/1000),0)))</f>
        <v>0</v>
      </c>
      <c r="AM356" s="207">
        <f>IF(AG356="Käytetty",0,Y356*O356*Alukset_fx!$K$61/1000)</f>
        <v>0</v>
      </c>
      <c r="AN356" s="213">
        <f t="shared" si="74"/>
        <v>0</v>
      </c>
    </row>
    <row r="357" spans="1:40" x14ac:dyDescent="0.25">
      <c r="A357" s="203">
        <f>Alukset_Käynnit!A364</f>
        <v>0</v>
      </c>
      <c r="B357" s="203">
        <f>Alukset_Käynnit!B364</f>
        <v>0</v>
      </c>
      <c r="C357" s="262">
        <f>Alukset_Käynnit!C364</f>
        <v>0</v>
      </c>
      <c r="D357" s="266">
        <f>Alukset_Käynnit!D364</f>
        <v>0</v>
      </c>
      <c r="E357" s="262">
        <f>Alukset_Käynnit!E364</f>
        <v>0</v>
      </c>
      <c r="F357" s="262">
        <f>Alukset_Käynnit!F364</f>
        <v>0</v>
      </c>
      <c r="G357" s="262">
        <f>Alukset_Käynnit!G364</f>
        <v>0</v>
      </c>
      <c r="H357" s="262">
        <f>Alukset_Käynnit!H364</f>
        <v>0</v>
      </c>
      <c r="I357" s="262">
        <f>Alukset_Käynnit!I364</f>
        <v>0</v>
      </c>
      <c r="J357" s="262">
        <f>Alukset_Käynnit!J364</f>
        <v>0</v>
      </c>
      <c r="K357" s="262">
        <f>Alukset_Käynnit!K364</f>
        <v>0</v>
      </c>
      <c r="L357" s="205">
        <f>Alukset_Käynnit!L364</f>
        <v>0</v>
      </c>
      <c r="N357" s="273">
        <f t="shared" si="75"/>
        <v>0</v>
      </c>
      <c r="O357" s="274">
        <f t="shared" si="76"/>
        <v>0</v>
      </c>
      <c r="Q357" s="204">
        <f t="shared" si="65"/>
        <v>0</v>
      </c>
      <c r="R357" s="202">
        <f>IF(Q357="Other dry cargo",L357*Alukset_fx!$B$71,IF(OR(Q357="Dry bulk",Q357="Bulk carrier"),L357*Alukset_fx!$B$69,IF(Q357="Tugboat",L357*Alukset_fx!$B$76,IF(OR(Q357="Tanker",Q357="Gas tanker",Q357="Chemical tanker",Q357="Oil tanker"),L357*Alukset_fx!$B$68,IF(OR(Q357="RoRo",Q357="Vehicle carrier"),L357*Alukset_fx!$B$72,IF(Q357="RoPax",L357*Alukset_fx!$B$73,IF(Q357="Container ship",L357*Alukset_fx!$B$70,IF(Q357="Barge",0,L357*Alukset_fx!$B$75))))))))</f>
        <v>0</v>
      </c>
      <c r="S357" s="210">
        <f>IF(L357=0,IF(Q357="Other dry cargo",Alukset_fx!$H$73*(Alukset_Käynnit_Lask!K357^Alukset_fx!$I$73),IF(OR(Q357="Dry Bulk",Q357="Bulk carrier"),Alukset_fx!$H$71*(Alukset_Käynnit_Lask!K357^Alukset_fx!$I$71),IF(Q357="Tugboat",Alukset_fx!$H$78*(Alukset_Käynnit_Lask!K357^Alukset_fx!$I$78),IF(OR(Q357="Tanker",Q357="Gas tanker",Q357="Chemical tanker",Q357="Oil tanker"),Alukset_fx!$H$70*(Alukset_Käynnit_Lask!K357^Alukset_fx!$I$70),IF(Q357="Container ship",Alukset_fx!$H$72*(Alukset_Käynnit_Lask!K357^Alukset_fx!$I$72),IF(Q357="Barge",0,IF(Q357="RoPax",Alukset_fx!$H$75*(Alukset_Käynnit_Lask!K357^Alukset_fx!$I$75),IF(OR(Q357="RoRo",Q357="Vehicle carrier"),Alukset_fx!$H$74*(Alukset_Käynnit_Lask!K357^Alukset_fx!$I$74),Alukset_fx!$H$77*(Alukset_Käynnit_Lask!K357^Alukset_fx!$I$77))))))))),"-")</f>
        <v>0</v>
      </c>
      <c r="T357" s="208">
        <f>IF(R357=0,IF(Q357="Other dry cargo",S357*Alukset_fx!$B$71,IF(OR(Q357="Dry bulk",Q357="Bulk carrier"),S357*Alukset_fx!$B$69,IF(Q357="Tugboat",S357*Alukset_fx!$B$76,IF(OR(Q357="Tanker",Q357="Gas tanker",Q357="Chemical tanker",Q357="Oil tanker"),S357*Alukset_fx!$B$68,IF(OR(Q357="RoRo",Q357="Vehicle carrier"),S357*Alukset_fx!$B$72,IF(Q357="RoPax",S357*Alukset_fx!$B$73,IF(Q357="Container ship",S357*Alukset_fx!$B$70,S357*Alukset_fx!$B$75))))))),"-")</f>
        <v>0</v>
      </c>
      <c r="U357" s="208">
        <f t="shared" si="66"/>
        <v>0</v>
      </c>
      <c r="V357" s="208">
        <f t="shared" si="67"/>
        <v>0</v>
      </c>
      <c r="W357" s="202">
        <f>Alukset_Käynnit!N364</f>
        <v>0</v>
      </c>
      <c r="X357" s="211">
        <f>IF(Q357="Other dry cargo", Alukset_fx!$C$52, IF(OR(Q357="Dry bulk",Q357="Bulk carrier"),Alukset_fx!$C$35,IF(OR(Q357="Tanker",Q357="Gas tanker",Q357="Oil tanker"),Alukset_fx!$C$57,IF(Q357="Chemical tanker",Alukset_fx!$C$56,IF(OR(Q357="Tugboat",Q357="Barge"),0,IF(Q357="Other vessel",Alukset_fx!$C$54,IF(Q357="Container ship",Alukset_fx!$C$37,IF(OR(Q357="RoPax",Q357="RoRo",Q357="Vehicle carrier"),Alukset_fx!$C$55,0))))))))</f>
        <v>0</v>
      </c>
      <c r="Y357" s="211">
        <f>IF(Q357="Other dry cargo", Alukset_fx!$Q$52, IF(OR(Q357="Dry bulk",Q357="Bulk carrier"),Alukset_fx!$Q$35,IF(OR(Q357="Tanker",Q357="Gas tanker",Q357="Oil tanker"),Alukset_fx!$Q$57,IF(Q357="Chemical tanker",Alukset_fx!$Q$56,IF(OR(Q357="Tugboat",Q357="Barge"),0,IF(Q357="Other vessel",Alukset_fx!$Q$54,IF(Q357="Container ship",Alukset_fx!$Q$37,IF(OR(Q357="RoPax",Q357="RoRo",Q357="Vehicle carrier"),Alukset_fx!$Q$55,0))))))))</f>
        <v>0</v>
      </c>
      <c r="Z357" t="str">
        <f t="shared" si="68"/>
        <v>MDO/MGO</v>
      </c>
      <c r="AA357" t="str">
        <f t="shared" si="69"/>
        <v>MSD</v>
      </c>
      <c r="AB357" t="str">
        <f t="shared" si="70"/>
        <v>MDO/MGO</v>
      </c>
      <c r="AC357" t="str">
        <f t="shared" si="71"/>
        <v>MSD</v>
      </c>
      <c r="AD357" t="str">
        <f t="shared" si="72"/>
        <v>MDO/MGO</v>
      </c>
      <c r="AE357" t="str">
        <f t="shared" si="73"/>
        <v>ST</v>
      </c>
      <c r="AG357">
        <f>Alukset_Käynnit!O364</f>
        <v>0</v>
      </c>
      <c r="AH357" s="207">
        <f>IF(AA357="SSD",((U357*Alukset_fx!$B$24)*Alukset_Käynnit_Lask!W357*(Alukset_fx!$K$49)/1000),IF(AA357="MSD",((U357*Alukset_fx!$B$24)*Alukset_Käynnit_Lask!W357*(Alukset_fx!$K$52)/1000),IF(AA357="HSD",((U357*Alukset_fx!$B$24)*Alukset_Käynnit_Lask!W357*(Alukset_fx!$K$55)/1000),0)))</f>
        <v>0</v>
      </c>
      <c r="AI357" s="207">
        <f>IF(AC357="MSD",((V357*Alukset_fx!$B$25)*Alukset_Käynnit_Lask!W357*(Alukset_fx!$L$52)/1000),IF(AC357="HSD",((V357*Alukset_fx!$B$25)*Alukset_Käynnit_Lask!W357*(Alukset_fx!$L$55)/1000),0))</f>
        <v>0</v>
      </c>
      <c r="AJ357" s="207">
        <f>X357*W357*Alukset_fx!$K$61/1000</f>
        <v>0</v>
      </c>
      <c r="AK357">
        <v>0</v>
      </c>
      <c r="AL357" s="207">
        <f>IF(AG357="Käytetty",0,IF(AC357="MSD",((V357*Alukset_fx!$O$25)*Alukset_Käynnit_Lask!O357*(Alukset_fx!$L$52)/1000),IF(AC357="HSD",((V357*Alukset_fx!$O$25)*Alukset_Käynnit_Lask!O357*(Alukset_fx!$L$55)/1000),0)))</f>
        <v>0</v>
      </c>
      <c r="AM357" s="207">
        <f>IF(AG357="Käytetty",0,Y357*O357*Alukset_fx!$K$61/1000)</f>
        <v>0</v>
      </c>
      <c r="AN357" s="213">
        <f t="shared" si="74"/>
        <v>0</v>
      </c>
    </row>
    <row r="358" spans="1:40" x14ac:dyDescent="0.25">
      <c r="A358" s="203">
        <f>Alukset_Käynnit!A365</f>
        <v>0</v>
      </c>
      <c r="B358" s="203">
        <f>Alukset_Käynnit!B365</f>
        <v>0</v>
      </c>
      <c r="C358" s="262">
        <f>Alukset_Käynnit!C365</f>
        <v>0</v>
      </c>
      <c r="D358" s="266">
        <f>Alukset_Käynnit!D365</f>
        <v>0</v>
      </c>
      <c r="E358" s="262">
        <f>Alukset_Käynnit!E365</f>
        <v>0</v>
      </c>
      <c r="F358" s="262">
        <f>Alukset_Käynnit!F365</f>
        <v>0</v>
      </c>
      <c r="G358" s="262">
        <f>Alukset_Käynnit!G365</f>
        <v>0</v>
      </c>
      <c r="H358" s="262">
        <f>Alukset_Käynnit!H365</f>
        <v>0</v>
      </c>
      <c r="I358" s="262">
        <f>Alukset_Käynnit!I365</f>
        <v>0</v>
      </c>
      <c r="J358" s="262">
        <f>Alukset_Käynnit!J365</f>
        <v>0</v>
      </c>
      <c r="K358" s="262">
        <f>Alukset_Käynnit!K365</f>
        <v>0</v>
      </c>
      <c r="L358" s="205">
        <f>Alukset_Käynnit!L365</f>
        <v>0</v>
      </c>
      <c r="N358" s="273">
        <f t="shared" si="75"/>
        <v>0</v>
      </c>
      <c r="O358" s="274">
        <f t="shared" si="76"/>
        <v>0</v>
      </c>
      <c r="Q358" s="204">
        <f t="shared" si="65"/>
        <v>0</v>
      </c>
      <c r="R358" s="202">
        <f>IF(Q358="Other dry cargo",L358*Alukset_fx!$B$71,IF(OR(Q358="Dry bulk",Q358="Bulk carrier"),L358*Alukset_fx!$B$69,IF(Q358="Tugboat",L358*Alukset_fx!$B$76,IF(OR(Q358="Tanker",Q358="Gas tanker",Q358="Chemical tanker",Q358="Oil tanker"),L358*Alukset_fx!$B$68,IF(OR(Q358="RoRo",Q358="Vehicle carrier"),L358*Alukset_fx!$B$72,IF(Q358="RoPax",L358*Alukset_fx!$B$73,IF(Q358="Container ship",L358*Alukset_fx!$B$70,IF(Q358="Barge",0,L358*Alukset_fx!$B$75))))))))</f>
        <v>0</v>
      </c>
      <c r="S358" s="210">
        <f>IF(L358=0,IF(Q358="Other dry cargo",Alukset_fx!$H$73*(Alukset_Käynnit_Lask!K358^Alukset_fx!$I$73),IF(OR(Q358="Dry Bulk",Q358="Bulk carrier"),Alukset_fx!$H$71*(Alukset_Käynnit_Lask!K358^Alukset_fx!$I$71),IF(Q358="Tugboat",Alukset_fx!$H$78*(Alukset_Käynnit_Lask!K358^Alukset_fx!$I$78),IF(OR(Q358="Tanker",Q358="Gas tanker",Q358="Chemical tanker",Q358="Oil tanker"),Alukset_fx!$H$70*(Alukset_Käynnit_Lask!K358^Alukset_fx!$I$70),IF(Q358="Container ship",Alukset_fx!$H$72*(Alukset_Käynnit_Lask!K358^Alukset_fx!$I$72),IF(Q358="Barge",0,IF(Q358="RoPax",Alukset_fx!$H$75*(Alukset_Käynnit_Lask!K358^Alukset_fx!$I$75),IF(OR(Q358="RoRo",Q358="Vehicle carrier"),Alukset_fx!$H$74*(Alukset_Käynnit_Lask!K358^Alukset_fx!$I$74),Alukset_fx!$H$77*(Alukset_Käynnit_Lask!K358^Alukset_fx!$I$77))))))))),"-")</f>
        <v>0</v>
      </c>
      <c r="T358" s="208">
        <f>IF(R358=0,IF(Q358="Other dry cargo",S358*Alukset_fx!$B$71,IF(OR(Q358="Dry bulk",Q358="Bulk carrier"),S358*Alukset_fx!$B$69,IF(Q358="Tugboat",S358*Alukset_fx!$B$76,IF(OR(Q358="Tanker",Q358="Gas tanker",Q358="Chemical tanker",Q358="Oil tanker"),S358*Alukset_fx!$B$68,IF(OR(Q358="RoRo",Q358="Vehicle carrier"),S358*Alukset_fx!$B$72,IF(Q358="RoPax",S358*Alukset_fx!$B$73,IF(Q358="Container ship",S358*Alukset_fx!$B$70,S358*Alukset_fx!$B$75))))))),"-")</f>
        <v>0</v>
      </c>
      <c r="U358" s="208">
        <f t="shared" si="66"/>
        <v>0</v>
      </c>
      <c r="V358" s="208">
        <f t="shared" si="67"/>
        <v>0</v>
      </c>
      <c r="W358" s="202">
        <f>Alukset_Käynnit!N365</f>
        <v>0</v>
      </c>
      <c r="X358" s="211">
        <f>IF(Q358="Other dry cargo", Alukset_fx!$C$52, IF(OR(Q358="Dry bulk",Q358="Bulk carrier"),Alukset_fx!$C$35,IF(OR(Q358="Tanker",Q358="Gas tanker",Q358="Oil tanker"),Alukset_fx!$C$57,IF(Q358="Chemical tanker",Alukset_fx!$C$56,IF(OR(Q358="Tugboat",Q358="Barge"),0,IF(Q358="Other vessel",Alukset_fx!$C$54,IF(Q358="Container ship",Alukset_fx!$C$37,IF(OR(Q358="RoPax",Q358="RoRo",Q358="Vehicle carrier"),Alukset_fx!$C$55,0))))))))</f>
        <v>0</v>
      </c>
      <c r="Y358" s="211">
        <f>IF(Q358="Other dry cargo", Alukset_fx!$Q$52, IF(OR(Q358="Dry bulk",Q358="Bulk carrier"),Alukset_fx!$Q$35,IF(OR(Q358="Tanker",Q358="Gas tanker",Q358="Oil tanker"),Alukset_fx!$Q$57,IF(Q358="Chemical tanker",Alukset_fx!$Q$56,IF(OR(Q358="Tugboat",Q358="Barge"),0,IF(Q358="Other vessel",Alukset_fx!$Q$54,IF(Q358="Container ship",Alukset_fx!$Q$37,IF(OR(Q358="RoPax",Q358="RoRo",Q358="Vehicle carrier"),Alukset_fx!$Q$55,0))))))))</f>
        <v>0</v>
      </c>
      <c r="Z358" t="str">
        <f t="shared" si="68"/>
        <v>MDO/MGO</v>
      </c>
      <c r="AA358" t="str">
        <f t="shared" si="69"/>
        <v>MSD</v>
      </c>
      <c r="AB358" t="str">
        <f t="shared" si="70"/>
        <v>MDO/MGO</v>
      </c>
      <c r="AC358" t="str">
        <f t="shared" si="71"/>
        <v>MSD</v>
      </c>
      <c r="AD358" t="str">
        <f t="shared" si="72"/>
        <v>MDO/MGO</v>
      </c>
      <c r="AE358" t="str">
        <f t="shared" si="73"/>
        <v>ST</v>
      </c>
      <c r="AG358">
        <f>Alukset_Käynnit!O365</f>
        <v>0</v>
      </c>
      <c r="AH358" s="207">
        <f>IF(AA358="SSD",((U358*Alukset_fx!$B$24)*Alukset_Käynnit_Lask!W358*(Alukset_fx!$K$49)/1000),IF(AA358="MSD",((U358*Alukset_fx!$B$24)*Alukset_Käynnit_Lask!W358*(Alukset_fx!$K$52)/1000),IF(AA358="HSD",((U358*Alukset_fx!$B$24)*Alukset_Käynnit_Lask!W358*(Alukset_fx!$K$55)/1000),0)))</f>
        <v>0</v>
      </c>
      <c r="AI358" s="207">
        <f>IF(AC358="MSD",((V358*Alukset_fx!$B$25)*Alukset_Käynnit_Lask!W358*(Alukset_fx!$L$52)/1000),IF(AC358="HSD",((V358*Alukset_fx!$B$25)*Alukset_Käynnit_Lask!W358*(Alukset_fx!$L$55)/1000),0))</f>
        <v>0</v>
      </c>
      <c r="AJ358" s="207">
        <f>X358*W358*Alukset_fx!$K$61/1000</f>
        <v>0</v>
      </c>
      <c r="AK358">
        <v>0</v>
      </c>
      <c r="AL358" s="207">
        <f>IF(AG358="Käytetty",0,IF(AC358="MSD",((V358*Alukset_fx!$O$25)*Alukset_Käynnit_Lask!O358*(Alukset_fx!$L$52)/1000),IF(AC358="HSD",((V358*Alukset_fx!$O$25)*Alukset_Käynnit_Lask!O358*(Alukset_fx!$L$55)/1000),0)))</f>
        <v>0</v>
      </c>
      <c r="AM358" s="207">
        <f>IF(AG358="Käytetty",0,Y358*O358*Alukset_fx!$K$61/1000)</f>
        <v>0</v>
      </c>
      <c r="AN358" s="213">
        <f t="shared" si="74"/>
        <v>0</v>
      </c>
    </row>
    <row r="359" spans="1:40" x14ac:dyDescent="0.25">
      <c r="A359" s="203">
        <f>Alukset_Käynnit!A366</f>
        <v>0</v>
      </c>
      <c r="B359" s="203">
        <f>Alukset_Käynnit!B366</f>
        <v>0</v>
      </c>
      <c r="C359" s="262">
        <f>Alukset_Käynnit!C366</f>
        <v>0</v>
      </c>
      <c r="D359" s="266">
        <f>Alukset_Käynnit!D366</f>
        <v>0</v>
      </c>
      <c r="E359" s="262">
        <f>Alukset_Käynnit!E366</f>
        <v>0</v>
      </c>
      <c r="F359" s="262">
        <f>Alukset_Käynnit!F366</f>
        <v>0</v>
      </c>
      <c r="G359" s="262">
        <f>Alukset_Käynnit!G366</f>
        <v>0</v>
      </c>
      <c r="H359" s="262">
        <f>Alukset_Käynnit!H366</f>
        <v>0</v>
      </c>
      <c r="I359" s="262">
        <f>Alukset_Käynnit!I366</f>
        <v>0</v>
      </c>
      <c r="J359" s="262">
        <f>Alukset_Käynnit!J366</f>
        <v>0</v>
      </c>
      <c r="K359" s="262">
        <f>Alukset_Käynnit!K366</f>
        <v>0</v>
      </c>
      <c r="L359" s="205">
        <f>Alukset_Käynnit!L366</f>
        <v>0</v>
      </c>
      <c r="N359" s="273">
        <f t="shared" si="75"/>
        <v>0</v>
      </c>
      <c r="O359" s="274">
        <f t="shared" si="76"/>
        <v>0</v>
      </c>
      <c r="Q359" s="204">
        <f t="shared" si="65"/>
        <v>0</v>
      </c>
      <c r="R359" s="202">
        <f>IF(Q359="Other dry cargo",L359*Alukset_fx!$B$71,IF(OR(Q359="Dry bulk",Q359="Bulk carrier"),L359*Alukset_fx!$B$69,IF(Q359="Tugboat",L359*Alukset_fx!$B$76,IF(OR(Q359="Tanker",Q359="Gas tanker",Q359="Chemical tanker",Q359="Oil tanker"),L359*Alukset_fx!$B$68,IF(OR(Q359="RoRo",Q359="Vehicle carrier"),L359*Alukset_fx!$B$72,IF(Q359="RoPax",L359*Alukset_fx!$B$73,IF(Q359="Container ship",L359*Alukset_fx!$B$70,IF(Q359="Barge",0,L359*Alukset_fx!$B$75))))))))</f>
        <v>0</v>
      </c>
      <c r="S359" s="210">
        <f>IF(L359=0,IF(Q359="Other dry cargo",Alukset_fx!$H$73*(Alukset_Käynnit_Lask!K359^Alukset_fx!$I$73),IF(OR(Q359="Dry Bulk",Q359="Bulk carrier"),Alukset_fx!$H$71*(Alukset_Käynnit_Lask!K359^Alukset_fx!$I$71),IF(Q359="Tugboat",Alukset_fx!$H$78*(Alukset_Käynnit_Lask!K359^Alukset_fx!$I$78),IF(OR(Q359="Tanker",Q359="Gas tanker",Q359="Chemical tanker",Q359="Oil tanker"),Alukset_fx!$H$70*(Alukset_Käynnit_Lask!K359^Alukset_fx!$I$70),IF(Q359="Container ship",Alukset_fx!$H$72*(Alukset_Käynnit_Lask!K359^Alukset_fx!$I$72),IF(Q359="Barge",0,IF(Q359="RoPax",Alukset_fx!$H$75*(Alukset_Käynnit_Lask!K359^Alukset_fx!$I$75),IF(OR(Q359="RoRo",Q359="Vehicle carrier"),Alukset_fx!$H$74*(Alukset_Käynnit_Lask!K359^Alukset_fx!$I$74),Alukset_fx!$H$77*(Alukset_Käynnit_Lask!K359^Alukset_fx!$I$77))))))))),"-")</f>
        <v>0</v>
      </c>
      <c r="T359" s="208">
        <f>IF(R359=0,IF(Q359="Other dry cargo",S359*Alukset_fx!$B$71,IF(OR(Q359="Dry bulk",Q359="Bulk carrier"),S359*Alukset_fx!$B$69,IF(Q359="Tugboat",S359*Alukset_fx!$B$76,IF(OR(Q359="Tanker",Q359="Gas tanker",Q359="Chemical tanker",Q359="Oil tanker"),S359*Alukset_fx!$B$68,IF(OR(Q359="RoRo",Q359="Vehicle carrier"),S359*Alukset_fx!$B$72,IF(Q359="RoPax",S359*Alukset_fx!$B$73,IF(Q359="Container ship",S359*Alukset_fx!$B$70,S359*Alukset_fx!$B$75))))))),"-")</f>
        <v>0</v>
      </c>
      <c r="U359" s="208">
        <f t="shared" si="66"/>
        <v>0</v>
      </c>
      <c r="V359" s="208">
        <f t="shared" si="67"/>
        <v>0</v>
      </c>
      <c r="W359" s="202">
        <f>Alukset_Käynnit!N366</f>
        <v>0</v>
      </c>
      <c r="X359" s="211">
        <f>IF(Q359="Other dry cargo", Alukset_fx!$C$52, IF(OR(Q359="Dry bulk",Q359="Bulk carrier"),Alukset_fx!$C$35,IF(OR(Q359="Tanker",Q359="Gas tanker",Q359="Oil tanker"),Alukset_fx!$C$57,IF(Q359="Chemical tanker",Alukset_fx!$C$56,IF(OR(Q359="Tugboat",Q359="Barge"),0,IF(Q359="Other vessel",Alukset_fx!$C$54,IF(Q359="Container ship",Alukset_fx!$C$37,IF(OR(Q359="RoPax",Q359="RoRo",Q359="Vehicle carrier"),Alukset_fx!$C$55,0))))))))</f>
        <v>0</v>
      </c>
      <c r="Y359" s="211">
        <f>IF(Q359="Other dry cargo", Alukset_fx!$Q$52, IF(OR(Q359="Dry bulk",Q359="Bulk carrier"),Alukset_fx!$Q$35,IF(OR(Q359="Tanker",Q359="Gas tanker",Q359="Oil tanker"),Alukset_fx!$Q$57,IF(Q359="Chemical tanker",Alukset_fx!$Q$56,IF(OR(Q359="Tugboat",Q359="Barge"),0,IF(Q359="Other vessel",Alukset_fx!$Q$54,IF(Q359="Container ship",Alukset_fx!$Q$37,IF(OR(Q359="RoPax",Q359="RoRo",Q359="Vehicle carrier"),Alukset_fx!$Q$55,0))))))))</f>
        <v>0</v>
      </c>
      <c r="Z359" t="str">
        <f t="shared" si="68"/>
        <v>MDO/MGO</v>
      </c>
      <c r="AA359" t="str">
        <f t="shared" si="69"/>
        <v>MSD</v>
      </c>
      <c r="AB359" t="str">
        <f t="shared" si="70"/>
        <v>MDO/MGO</v>
      </c>
      <c r="AC359" t="str">
        <f t="shared" si="71"/>
        <v>MSD</v>
      </c>
      <c r="AD359" t="str">
        <f t="shared" si="72"/>
        <v>MDO/MGO</v>
      </c>
      <c r="AE359" t="str">
        <f t="shared" si="73"/>
        <v>ST</v>
      </c>
      <c r="AG359">
        <f>Alukset_Käynnit!O366</f>
        <v>0</v>
      </c>
      <c r="AH359" s="207">
        <f>IF(AA359="SSD",((U359*Alukset_fx!$B$24)*Alukset_Käynnit_Lask!W359*(Alukset_fx!$K$49)/1000),IF(AA359="MSD",((U359*Alukset_fx!$B$24)*Alukset_Käynnit_Lask!W359*(Alukset_fx!$K$52)/1000),IF(AA359="HSD",((U359*Alukset_fx!$B$24)*Alukset_Käynnit_Lask!W359*(Alukset_fx!$K$55)/1000),0)))</f>
        <v>0</v>
      </c>
      <c r="AI359" s="207">
        <f>IF(AC359="MSD",((V359*Alukset_fx!$B$25)*Alukset_Käynnit_Lask!W359*(Alukset_fx!$L$52)/1000),IF(AC359="HSD",((V359*Alukset_fx!$B$25)*Alukset_Käynnit_Lask!W359*(Alukset_fx!$L$55)/1000),0))</f>
        <v>0</v>
      </c>
      <c r="AJ359" s="207">
        <f>X359*W359*Alukset_fx!$K$61/1000</f>
        <v>0</v>
      </c>
      <c r="AK359">
        <v>0</v>
      </c>
      <c r="AL359" s="207">
        <f>IF(AG359="Käytetty",0,IF(AC359="MSD",((V359*Alukset_fx!$O$25)*Alukset_Käynnit_Lask!O359*(Alukset_fx!$L$52)/1000),IF(AC359="HSD",((V359*Alukset_fx!$O$25)*Alukset_Käynnit_Lask!O359*(Alukset_fx!$L$55)/1000),0)))</f>
        <v>0</v>
      </c>
      <c r="AM359" s="207">
        <f>IF(AG359="Käytetty",0,Y359*O359*Alukset_fx!$K$61/1000)</f>
        <v>0</v>
      </c>
      <c r="AN359" s="213">
        <f t="shared" si="74"/>
        <v>0</v>
      </c>
    </row>
    <row r="360" spans="1:40" x14ac:dyDescent="0.25">
      <c r="A360" s="203">
        <f>Alukset_Käynnit!A367</f>
        <v>0</v>
      </c>
      <c r="B360" s="203">
        <f>Alukset_Käynnit!B367</f>
        <v>0</v>
      </c>
      <c r="C360" s="262">
        <f>Alukset_Käynnit!C367</f>
        <v>0</v>
      </c>
      <c r="D360" s="266">
        <f>Alukset_Käynnit!D367</f>
        <v>0</v>
      </c>
      <c r="E360" s="262">
        <f>Alukset_Käynnit!E367</f>
        <v>0</v>
      </c>
      <c r="F360" s="262">
        <f>Alukset_Käynnit!F367</f>
        <v>0</v>
      </c>
      <c r="G360" s="262">
        <f>Alukset_Käynnit!G367</f>
        <v>0</v>
      </c>
      <c r="H360" s="262">
        <f>Alukset_Käynnit!H367</f>
        <v>0</v>
      </c>
      <c r="I360" s="262">
        <f>Alukset_Käynnit!I367</f>
        <v>0</v>
      </c>
      <c r="J360" s="262">
        <f>Alukset_Käynnit!J367</f>
        <v>0</v>
      </c>
      <c r="K360" s="262">
        <f>Alukset_Käynnit!K367</f>
        <v>0</v>
      </c>
      <c r="L360" s="205">
        <f>Alukset_Käynnit!L367</f>
        <v>0</v>
      </c>
      <c r="N360" s="273">
        <f t="shared" si="75"/>
        <v>0</v>
      </c>
      <c r="O360" s="274">
        <f t="shared" si="76"/>
        <v>0</v>
      </c>
      <c r="Q360" s="204">
        <f t="shared" si="65"/>
        <v>0</v>
      </c>
      <c r="R360" s="202">
        <f>IF(Q360="Other dry cargo",L360*Alukset_fx!$B$71,IF(OR(Q360="Dry bulk",Q360="Bulk carrier"),L360*Alukset_fx!$B$69,IF(Q360="Tugboat",L360*Alukset_fx!$B$76,IF(OR(Q360="Tanker",Q360="Gas tanker",Q360="Chemical tanker",Q360="Oil tanker"),L360*Alukset_fx!$B$68,IF(OR(Q360="RoRo",Q360="Vehicle carrier"),L360*Alukset_fx!$B$72,IF(Q360="RoPax",L360*Alukset_fx!$B$73,IF(Q360="Container ship",L360*Alukset_fx!$B$70,IF(Q360="Barge",0,L360*Alukset_fx!$B$75))))))))</f>
        <v>0</v>
      </c>
      <c r="S360" s="210">
        <f>IF(L360=0,IF(Q360="Other dry cargo",Alukset_fx!$H$73*(Alukset_Käynnit_Lask!K360^Alukset_fx!$I$73),IF(OR(Q360="Dry Bulk",Q360="Bulk carrier"),Alukset_fx!$H$71*(Alukset_Käynnit_Lask!K360^Alukset_fx!$I$71),IF(Q360="Tugboat",Alukset_fx!$H$78*(Alukset_Käynnit_Lask!K360^Alukset_fx!$I$78),IF(OR(Q360="Tanker",Q360="Gas tanker",Q360="Chemical tanker",Q360="Oil tanker"),Alukset_fx!$H$70*(Alukset_Käynnit_Lask!K360^Alukset_fx!$I$70),IF(Q360="Container ship",Alukset_fx!$H$72*(Alukset_Käynnit_Lask!K360^Alukset_fx!$I$72),IF(Q360="Barge",0,IF(Q360="RoPax",Alukset_fx!$H$75*(Alukset_Käynnit_Lask!K360^Alukset_fx!$I$75),IF(OR(Q360="RoRo",Q360="Vehicle carrier"),Alukset_fx!$H$74*(Alukset_Käynnit_Lask!K360^Alukset_fx!$I$74),Alukset_fx!$H$77*(Alukset_Käynnit_Lask!K360^Alukset_fx!$I$77))))))))),"-")</f>
        <v>0</v>
      </c>
      <c r="T360" s="208">
        <f>IF(R360=0,IF(Q360="Other dry cargo",S360*Alukset_fx!$B$71,IF(OR(Q360="Dry bulk",Q360="Bulk carrier"),S360*Alukset_fx!$B$69,IF(Q360="Tugboat",S360*Alukset_fx!$B$76,IF(OR(Q360="Tanker",Q360="Gas tanker",Q360="Chemical tanker",Q360="Oil tanker"),S360*Alukset_fx!$B$68,IF(OR(Q360="RoRo",Q360="Vehicle carrier"),S360*Alukset_fx!$B$72,IF(Q360="RoPax",S360*Alukset_fx!$B$73,IF(Q360="Container ship",S360*Alukset_fx!$B$70,S360*Alukset_fx!$B$75))))))),"-")</f>
        <v>0</v>
      </c>
      <c r="U360" s="208">
        <f t="shared" si="66"/>
        <v>0</v>
      </c>
      <c r="V360" s="208">
        <f t="shared" si="67"/>
        <v>0</v>
      </c>
      <c r="W360" s="202">
        <f>Alukset_Käynnit!N367</f>
        <v>0</v>
      </c>
      <c r="X360" s="211">
        <f>IF(Q360="Other dry cargo", Alukset_fx!$C$52, IF(OR(Q360="Dry bulk",Q360="Bulk carrier"),Alukset_fx!$C$35,IF(OR(Q360="Tanker",Q360="Gas tanker",Q360="Oil tanker"),Alukset_fx!$C$57,IF(Q360="Chemical tanker",Alukset_fx!$C$56,IF(OR(Q360="Tugboat",Q360="Barge"),0,IF(Q360="Other vessel",Alukset_fx!$C$54,IF(Q360="Container ship",Alukset_fx!$C$37,IF(OR(Q360="RoPax",Q360="RoRo",Q360="Vehicle carrier"),Alukset_fx!$C$55,0))))))))</f>
        <v>0</v>
      </c>
      <c r="Y360" s="211">
        <f>IF(Q360="Other dry cargo", Alukset_fx!$Q$52, IF(OR(Q360="Dry bulk",Q360="Bulk carrier"),Alukset_fx!$Q$35,IF(OR(Q360="Tanker",Q360="Gas tanker",Q360="Oil tanker"),Alukset_fx!$Q$57,IF(Q360="Chemical tanker",Alukset_fx!$Q$56,IF(OR(Q360="Tugboat",Q360="Barge"),0,IF(Q360="Other vessel",Alukset_fx!$Q$54,IF(Q360="Container ship",Alukset_fx!$Q$37,IF(OR(Q360="RoPax",Q360="RoRo",Q360="Vehicle carrier"),Alukset_fx!$Q$55,0))))))))</f>
        <v>0</v>
      </c>
      <c r="Z360" t="str">
        <f t="shared" si="68"/>
        <v>MDO/MGO</v>
      </c>
      <c r="AA360" t="str">
        <f t="shared" si="69"/>
        <v>MSD</v>
      </c>
      <c r="AB360" t="str">
        <f t="shared" si="70"/>
        <v>MDO/MGO</v>
      </c>
      <c r="AC360" t="str">
        <f t="shared" si="71"/>
        <v>MSD</v>
      </c>
      <c r="AD360" t="str">
        <f t="shared" si="72"/>
        <v>MDO/MGO</v>
      </c>
      <c r="AE360" t="str">
        <f t="shared" si="73"/>
        <v>ST</v>
      </c>
      <c r="AG360">
        <f>Alukset_Käynnit!O367</f>
        <v>0</v>
      </c>
      <c r="AH360" s="207">
        <f>IF(AA360="SSD",((U360*Alukset_fx!$B$24)*Alukset_Käynnit_Lask!W360*(Alukset_fx!$K$49)/1000),IF(AA360="MSD",((U360*Alukset_fx!$B$24)*Alukset_Käynnit_Lask!W360*(Alukset_fx!$K$52)/1000),IF(AA360="HSD",((U360*Alukset_fx!$B$24)*Alukset_Käynnit_Lask!W360*(Alukset_fx!$K$55)/1000),0)))</f>
        <v>0</v>
      </c>
      <c r="AI360" s="207">
        <f>IF(AC360="MSD",((V360*Alukset_fx!$B$25)*Alukset_Käynnit_Lask!W360*(Alukset_fx!$L$52)/1000),IF(AC360="HSD",((V360*Alukset_fx!$B$25)*Alukset_Käynnit_Lask!W360*(Alukset_fx!$L$55)/1000),0))</f>
        <v>0</v>
      </c>
      <c r="AJ360" s="207">
        <f>X360*W360*Alukset_fx!$K$61/1000</f>
        <v>0</v>
      </c>
      <c r="AK360">
        <v>0</v>
      </c>
      <c r="AL360" s="207">
        <f>IF(AG360="Käytetty",0,IF(AC360="MSD",((V360*Alukset_fx!$O$25)*Alukset_Käynnit_Lask!O360*(Alukset_fx!$L$52)/1000),IF(AC360="HSD",((V360*Alukset_fx!$O$25)*Alukset_Käynnit_Lask!O360*(Alukset_fx!$L$55)/1000),0)))</f>
        <v>0</v>
      </c>
      <c r="AM360" s="207">
        <f>IF(AG360="Käytetty",0,Y360*O360*Alukset_fx!$K$61/1000)</f>
        <v>0</v>
      </c>
      <c r="AN360" s="213">
        <f t="shared" si="74"/>
        <v>0</v>
      </c>
    </row>
    <row r="361" spans="1:40" x14ac:dyDescent="0.25">
      <c r="A361" s="203">
        <f>Alukset_Käynnit!A368</f>
        <v>0</v>
      </c>
      <c r="B361" s="203">
        <f>Alukset_Käynnit!B368</f>
        <v>0</v>
      </c>
      <c r="C361" s="262">
        <f>Alukset_Käynnit!C368</f>
        <v>0</v>
      </c>
      <c r="D361" s="266">
        <f>Alukset_Käynnit!D368</f>
        <v>0</v>
      </c>
      <c r="E361" s="262">
        <f>Alukset_Käynnit!E368</f>
        <v>0</v>
      </c>
      <c r="F361" s="262">
        <f>Alukset_Käynnit!F368</f>
        <v>0</v>
      </c>
      <c r="G361" s="262">
        <f>Alukset_Käynnit!G368</f>
        <v>0</v>
      </c>
      <c r="H361" s="262">
        <f>Alukset_Käynnit!H368</f>
        <v>0</v>
      </c>
      <c r="I361" s="262">
        <f>Alukset_Käynnit!I368</f>
        <v>0</v>
      </c>
      <c r="J361" s="262">
        <f>Alukset_Käynnit!J368</f>
        <v>0</v>
      </c>
      <c r="K361" s="262">
        <f>Alukset_Käynnit!K368</f>
        <v>0</v>
      </c>
      <c r="L361" s="205">
        <f>Alukset_Käynnit!L368</f>
        <v>0</v>
      </c>
      <c r="N361" s="273">
        <f t="shared" si="75"/>
        <v>0</v>
      </c>
      <c r="O361" s="274">
        <f t="shared" si="76"/>
        <v>0</v>
      </c>
      <c r="Q361" s="204">
        <f t="shared" si="65"/>
        <v>0</v>
      </c>
      <c r="R361" s="202">
        <f>IF(Q361="Other dry cargo",L361*Alukset_fx!$B$71,IF(OR(Q361="Dry bulk",Q361="Bulk carrier"),L361*Alukset_fx!$B$69,IF(Q361="Tugboat",L361*Alukset_fx!$B$76,IF(OR(Q361="Tanker",Q361="Gas tanker",Q361="Chemical tanker",Q361="Oil tanker"),L361*Alukset_fx!$B$68,IF(OR(Q361="RoRo",Q361="Vehicle carrier"),L361*Alukset_fx!$B$72,IF(Q361="RoPax",L361*Alukset_fx!$B$73,IF(Q361="Container ship",L361*Alukset_fx!$B$70,IF(Q361="Barge",0,L361*Alukset_fx!$B$75))))))))</f>
        <v>0</v>
      </c>
      <c r="S361" s="210">
        <f>IF(L361=0,IF(Q361="Other dry cargo",Alukset_fx!$H$73*(Alukset_Käynnit_Lask!K361^Alukset_fx!$I$73),IF(OR(Q361="Dry Bulk",Q361="Bulk carrier"),Alukset_fx!$H$71*(Alukset_Käynnit_Lask!K361^Alukset_fx!$I$71),IF(Q361="Tugboat",Alukset_fx!$H$78*(Alukset_Käynnit_Lask!K361^Alukset_fx!$I$78),IF(OR(Q361="Tanker",Q361="Gas tanker",Q361="Chemical tanker",Q361="Oil tanker"),Alukset_fx!$H$70*(Alukset_Käynnit_Lask!K361^Alukset_fx!$I$70),IF(Q361="Container ship",Alukset_fx!$H$72*(Alukset_Käynnit_Lask!K361^Alukset_fx!$I$72),IF(Q361="Barge",0,IF(Q361="RoPax",Alukset_fx!$H$75*(Alukset_Käynnit_Lask!K361^Alukset_fx!$I$75),IF(OR(Q361="RoRo",Q361="Vehicle carrier"),Alukset_fx!$H$74*(Alukset_Käynnit_Lask!K361^Alukset_fx!$I$74),Alukset_fx!$H$77*(Alukset_Käynnit_Lask!K361^Alukset_fx!$I$77))))))))),"-")</f>
        <v>0</v>
      </c>
      <c r="T361" s="208">
        <f>IF(R361=0,IF(Q361="Other dry cargo",S361*Alukset_fx!$B$71,IF(OR(Q361="Dry bulk",Q361="Bulk carrier"),S361*Alukset_fx!$B$69,IF(Q361="Tugboat",S361*Alukset_fx!$B$76,IF(OR(Q361="Tanker",Q361="Gas tanker",Q361="Chemical tanker",Q361="Oil tanker"),S361*Alukset_fx!$B$68,IF(OR(Q361="RoRo",Q361="Vehicle carrier"),S361*Alukset_fx!$B$72,IF(Q361="RoPax",S361*Alukset_fx!$B$73,IF(Q361="Container ship",S361*Alukset_fx!$B$70,S361*Alukset_fx!$B$75))))))),"-")</f>
        <v>0</v>
      </c>
      <c r="U361" s="208">
        <f t="shared" si="66"/>
        <v>0</v>
      </c>
      <c r="V361" s="208">
        <f t="shared" si="67"/>
        <v>0</v>
      </c>
      <c r="W361" s="202">
        <f>Alukset_Käynnit!N368</f>
        <v>0</v>
      </c>
      <c r="X361" s="211">
        <f>IF(Q361="Other dry cargo", Alukset_fx!$C$52, IF(OR(Q361="Dry bulk",Q361="Bulk carrier"),Alukset_fx!$C$35,IF(OR(Q361="Tanker",Q361="Gas tanker",Q361="Oil tanker"),Alukset_fx!$C$57,IF(Q361="Chemical tanker",Alukset_fx!$C$56,IF(OR(Q361="Tugboat",Q361="Barge"),0,IF(Q361="Other vessel",Alukset_fx!$C$54,IF(Q361="Container ship",Alukset_fx!$C$37,IF(OR(Q361="RoPax",Q361="RoRo",Q361="Vehicle carrier"),Alukset_fx!$C$55,0))))))))</f>
        <v>0</v>
      </c>
      <c r="Y361" s="211">
        <f>IF(Q361="Other dry cargo", Alukset_fx!$Q$52, IF(OR(Q361="Dry bulk",Q361="Bulk carrier"),Alukset_fx!$Q$35,IF(OR(Q361="Tanker",Q361="Gas tanker",Q361="Oil tanker"),Alukset_fx!$Q$57,IF(Q361="Chemical tanker",Alukset_fx!$Q$56,IF(OR(Q361="Tugboat",Q361="Barge"),0,IF(Q361="Other vessel",Alukset_fx!$Q$54,IF(Q361="Container ship",Alukset_fx!$Q$37,IF(OR(Q361="RoPax",Q361="RoRo",Q361="Vehicle carrier"),Alukset_fx!$Q$55,0))))))))</f>
        <v>0</v>
      </c>
      <c r="Z361" t="str">
        <f t="shared" si="68"/>
        <v>MDO/MGO</v>
      </c>
      <c r="AA361" t="str">
        <f t="shared" si="69"/>
        <v>MSD</v>
      </c>
      <c r="AB361" t="str">
        <f t="shared" si="70"/>
        <v>MDO/MGO</v>
      </c>
      <c r="AC361" t="str">
        <f t="shared" si="71"/>
        <v>MSD</v>
      </c>
      <c r="AD361" t="str">
        <f t="shared" si="72"/>
        <v>MDO/MGO</v>
      </c>
      <c r="AE361" t="str">
        <f t="shared" si="73"/>
        <v>ST</v>
      </c>
      <c r="AG361">
        <f>Alukset_Käynnit!O368</f>
        <v>0</v>
      </c>
      <c r="AH361" s="207">
        <f>IF(AA361="SSD",((U361*Alukset_fx!$B$24)*Alukset_Käynnit_Lask!W361*(Alukset_fx!$K$49)/1000),IF(AA361="MSD",((U361*Alukset_fx!$B$24)*Alukset_Käynnit_Lask!W361*(Alukset_fx!$K$52)/1000),IF(AA361="HSD",((U361*Alukset_fx!$B$24)*Alukset_Käynnit_Lask!W361*(Alukset_fx!$K$55)/1000),0)))</f>
        <v>0</v>
      </c>
      <c r="AI361" s="207">
        <f>IF(AC361="MSD",((V361*Alukset_fx!$B$25)*Alukset_Käynnit_Lask!W361*(Alukset_fx!$L$52)/1000),IF(AC361="HSD",((V361*Alukset_fx!$B$25)*Alukset_Käynnit_Lask!W361*(Alukset_fx!$L$55)/1000),0))</f>
        <v>0</v>
      </c>
      <c r="AJ361" s="207">
        <f>X361*W361*Alukset_fx!$K$61/1000</f>
        <v>0</v>
      </c>
      <c r="AK361">
        <v>0</v>
      </c>
      <c r="AL361" s="207">
        <f>IF(AG361="Käytetty",0,IF(AC361="MSD",((V361*Alukset_fx!$O$25)*Alukset_Käynnit_Lask!O361*(Alukset_fx!$L$52)/1000),IF(AC361="HSD",((V361*Alukset_fx!$O$25)*Alukset_Käynnit_Lask!O361*(Alukset_fx!$L$55)/1000),0)))</f>
        <v>0</v>
      </c>
      <c r="AM361" s="207">
        <f>IF(AG361="Käytetty",0,Y361*O361*Alukset_fx!$K$61/1000)</f>
        <v>0</v>
      </c>
      <c r="AN361" s="213">
        <f t="shared" si="74"/>
        <v>0</v>
      </c>
    </row>
    <row r="362" spans="1:40" x14ac:dyDescent="0.25">
      <c r="A362" s="203">
        <f>Alukset_Käynnit!A369</f>
        <v>0</v>
      </c>
      <c r="B362" s="203">
        <f>Alukset_Käynnit!B369</f>
        <v>0</v>
      </c>
      <c r="C362" s="262">
        <f>Alukset_Käynnit!C369</f>
        <v>0</v>
      </c>
      <c r="D362" s="266">
        <f>Alukset_Käynnit!D369</f>
        <v>0</v>
      </c>
      <c r="E362" s="262">
        <f>Alukset_Käynnit!E369</f>
        <v>0</v>
      </c>
      <c r="F362" s="262">
        <f>Alukset_Käynnit!F369</f>
        <v>0</v>
      </c>
      <c r="G362" s="262">
        <f>Alukset_Käynnit!G369</f>
        <v>0</v>
      </c>
      <c r="H362" s="262">
        <f>Alukset_Käynnit!H369</f>
        <v>0</v>
      </c>
      <c r="I362" s="262">
        <f>Alukset_Käynnit!I369</f>
        <v>0</v>
      </c>
      <c r="J362" s="262">
        <f>Alukset_Käynnit!J369</f>
        <v>0</v>
      </c>
      <c r="K362" s="262">
        <f>Alukset_Käynnit!K369</f>
        <v>0</v>
      </c>
      <c r="L362" s="205">
        <f>Alukset_Käynnit!L369</f>
        <v>0</v>
      </c>
      <c r="N362" s="273">
        <f t="shared" si="75"/>
        <v>0</v>
      </c>
      <c r="O362" s="274">
        <f t="shared" si="76"/>
        <v>0</v>
      </c>
      <c r="Q362" s="204">
        <f t="shared" si="65"/>
        <v>0</v>
      </c>
      <c r="R362" s="202">
        <f>IF(Q362="Other dry cargo",L362*Alukset_fx!$B$71,IF(OR(Q362="Dry bulk",Q362="Bulk carrier"),L362*Alukset_fx!$B$69,IF(Q362="Tugboat",L362*Alukset_fx!$B$76,IF(OR(Q362="Tanker",Q362="Gas tanker",Q362="Chemical tanker",Q362="Oil tanker"),L362*Alukset_fx!$B$68,IF(OR(Q362="RoRo",Q362="Vehicle carrier"),L362*Alukset_fx!$B$72,IF(Q362="RoPax",L362*Alukset_fx!$B$73,IF(Q362="Container ship",L362*Alukset_fx!$B$70,IF(Q362="Barge",0,L362*Alukset_fx!$B$75))))))))</f>
        <v>0</v>
      </c>
      <c r="S362" s="210">
        <f>IF(L362=0,IF(Q362="Other dry cargo",Alukset_fx!$H$73*(Alukset_Käynnit_Lask!K362^Alukset_fx!$I$73),IF(OR(Q362="Dry Bulk",Q362="Bulk carrier"),Alukset_fx!$H$71*(Alukset_Käynnit_Lask!K362^Alukset_fx!$I$71),IF(Q362="Tugboat",Alukset_fx!$H$78*(Alukset_Käynnit_Lask!K362^Alukset_fx!$I$78),IF(OR(Q362="Tanker",Q362="Gas tanker",Q362="Chemical tanker",Q362="Oil tanker"),Alukset_fx!$H$70*(Alukset_Käynnit_Lask!K362^Alukset_fx!$I$70),IF(Q362="Container ship",Alukset_fx!$H$72*(Alukset_Käynnit_Lask!K362^Alukset_fx!$I$72),IF(Q362="Barge",0,IF(Q362="RoPax",Alukset_fx!$H$75*(Alukset_Käynnit_Lask!K362^Alukset_fx!$I$75),IF(OR(Q362="RoRo",Q362="Vehicle carrier"),Alukset_fx!$H$74*(Alukset_Käynnit_Lask!K362^Alukset_fx!$I$74),Alukset_fx!$H$77*(Alukset_Käynnit_Lask!K362^Alukset_fx!$I$77))))))))),"-")</f>
        <v>0</v>
      </c>
      <c r="T362" s="208">
        <f>IF(R362=0,IF(Q362="Other dry cargo",S362*Alukset_fx!$B$71,IF(OR(Q362="Dry bulk",Q362="Bulk carrier"),S362*Alukset_fx!$B$69,IF(Q362="Tugboat",S362*Alukset_fx!$B$76,IF(OR(Q362="Tanker",Q362="Gas tanker",Q362="Chemical tanker",Q362="Oil tanker"),S362*Alukset_fx!$B$68,IF(OR(Q362="RoRo",Q362="Vehicle carrier"),S362*Alukset_fx!$B$72,IF(Q362="RoPax",S362*Alukset_fx!$B$73,IF(Q362="Container ship",S362*Alukset_fx!$B$70,S362*Alukset_fx!$B$75))))))),"-")</f>
        <v>0</v>
      </c>
      <c r="U362" s="208">
        <f t="shared" si="66"/>
        <v>0</v>
      </c>
      <c r="V362" s="208">
        <f t="shared" si="67"/>
        <v>0</v>
      </c>
      <c r="W362" s="202">
        <f>Alukset_Käynnit!N369</f>
        <v>0</v>
      </c>
      <c r="X362" s="211">
        <f>IF(Q362="Other dry cargo", Alukset_fx!$C$52, IF(OR(Q362="Dry bulk",Q362="Bulk carrier"),Alukset_fx!$C$35,IF(OR(Q362="Tanker",Q362="Gas tanker",Q362="Oil tanker"),Alukset_fx!$C$57,IF(Q362="Chemical tanker",Alukset_fx!$C$56,IF(OR(Q362="Tugboat",Q362="Barge"),0,IF(Q362="Other vessel",Alukset_fx!$C$54,IF(Q362="Container ship",Alukset_fx!$C$37,IF(OR(Q362="RoPax",Q362="RoRo",Q362="Vehicle carrier"),Alukset_fx!$C$55,0))))))))</f>
        <v>0</v>
      </c>
      <c r="Y362" s="211">
        <f>IF(Q362="Other dry cargo", Alukset_fx!$Q$52, IF(OR(Q362="Dry bulk",Q362="Bulk carrier"),Alukset_fx!$Q$35,IF(OR(Q362="Tanker",Q362="Gas tanker",Q362="Oil tanker"),Alukset_fx!$Q$57,IF(Q362="Chemical tanker",Alukset_fx!$Q$56,IF(OR(Q362="Tugboat",Q362="Barge"),0,IF(Q362="Other vessel",Alukset_fx!$Q$54,IF(Q362="Container ship",Alukset_fx!$Q$37,IF(OR(Q362="RoPax",Q362="RoRo",Q362="Vehicle carrier"),Alukset_fx!$Q$55,0))))))))</f>
        <v>0</v>
      </c>
      <c r="Z362" t="str">
        <f t="shared" si="68"/>
        <v>MDO/MGO</v>
      </c>
      <c r="AA362" t="str">
        <f t="shared" si="69"/>
        <v>MSD</v>
      </c>
      <c r="AB362" t="str">
        <f t="shared" si="70"/>
        <v>MDO/MGO</v>
      </c>
      <c r="AC362" t="str">
        <f t="shared" si="71"/>
        <v>MSD</v>
      </c>
      <c r="AD362" t="str">
        <f t="shared" si="72"/>
        <v>MDO/MGO</v>
      </c>
      <c r="AE362" t="str">
        <f t="shared" si="73"/>
        <v>ST</v>
      </c>
      <c r="AG362">
        <f>Alukset_Käynnit!O369</f>
        <v>0</v>
      </c>
      <c r="AH362" s="207">
        <f>IF(AA362="SSD",((U362*Alukset_fx!$B$24)*Alukset_Käynnit_Lask!W362*(Alukset_fx!$K$49)/1000),IF(AA362="MSD",((U362*Alukset_fx!$B$24)*Alukset_Käynnit_Lask!W362*(Alukset_fx!$K$52)/1000),IF(AA362="HSD",((U362*Alukset_fx!$B$24)*Alukset_Käynnit_Lask!W362*(Alukset_fx!$K$55)/1000),0)))</f>
        <v>0</v>
      </c>
      <c r="AI362" s="207">
        <f>IF(AC362="MSD",((V362*Alukset_fx!$B$25)*Alukset_Käynnit_Lask!W362*(Alukset_fx!$L$52)/1000),IF(AC362="HSD",((V362*Alukset_fx!$B$25)*Alukset_Käynnit_Lask!W362*(Alukset_fx!$L$55)/1000),0))</f>
        <v>0</v>
      </c>
      <c r="AJ362" s="207">
        <f>X362*W362*Alukset_fx!$K$61/1000</f>
        <v>0</v>
      </c>
      <c r="AK362">
        <v>0</v>
      </c>
      <c r="AL362" s="207">
        <f>IF(AG362="Käytetty",0,IF(AC362="MSD",((V362*Alukset_fx!$O$25)*Alukset_Käynnit_Lask!O362*(Alukset_fx!$L$52)/1000),IF(AC362="HSD",((V362*Alukset_fx!$O$25)*Alukset_Käynnit_Lask!O362*(Alukset_fx!$L$55)/1000),0)))</f>
        <v>0</v>
      </c>
      <c r="AM362" s="207">
        <f>IF(AG362="Käytetty",0,Y362*O362*Alukset_fx!$K$61/1000)</f>
        <v>0</v>
      </c>
      <c r="AN362" s="213">
        <f t="shared" si="74"/>
        <v>0</v>
      </c>
    </row>
    <row r="363" spans="1:40" x14ac:dyDescent="0.25">
      <c r="A363" s="203">
        <f>Alukset_Käynnit!A370</f>
        <v>0</v>
      </c>
      <c r="B363" s="203">
        <f>Alukset_Käynnit!B370</f>
        <v>0</v>
      </c>
      <c r="C363" s="262">
        <f>Alukset_Käynnit!C370</f>
        <v>0</v>
      </c>
      <c r="D363" s="266">
        <f>Alukset_Käynnit!D370</f>
        <v>0</v>
      </c>
      <c r="E363" s="262">
        <f>Alukset_Käynnit!E370</f>
        <v>0</v>
      </c>
      <c r="F363" s="262">
        <f>Alukset_Käynnit!F370</f>
        <v>0</v>
      </c>
      <c r="G363" s="262">
        <f>Alukset_Käynnit!G370</f>
        <v>0</v>
      </c>
      <c r="H363" s="262">
        <f>Alukset_Käynnit!H370</f>
        <v>0</v>
      </c>
      <c r="I363" s="262">
        <f>Alukset_Käynnit!I370</f>
        <v>0</v>
      </c>
      <c r="J363" s="262">
        <f>Alukset_Käynnit!J370</f>
        <v>0</v>
      </c>
      <c r="K363" s="262">
        <f>Alukset_Käynnit!K370</f>
        <v>0</v>
      </c>
      <c r="L363" s="205">
        <f>Alukset_Käynnit!L370</f>
        <v>0</v>
      </c>
      <c r="N363" s="273">
        <f t="shared" si="75"/>
        <v>0</v>
      </c>
      <c r="O363" s="274">
        <f t="shared" si="76"/>
        <v>0</v>
      </c>
      <c r="Q363" s="204">
        <f t="shared" si="65"/>
        <v>0</v>
      </c>
      <c r="R363" s="202">
        <f>IF(Q363="Other dry cargo",L363*Alukset_fx!$B$71,IF(OR(Q363="Dry bulk",Q363="Bulk carrier"),L363*Alukset_fx!$B$69,IF(Q363="Tugboat",L363*Alukset_fx!$B$76,IF(OR(Q363="Tanker",Q363="Gas tanker",Q363="Chemical tanker",Q363="Oil tanker"),L363*Alukset_fx!$B$68,IF(OR(Q363="RoRo",Q363="Vehicle carrier"),L363*Alukset_fx!$B$72,IF(Q363="RoPax",L363*Alukset_fx!$B$73,IF(Q363="Container ship",L363*Alukset_fx!$B$70,IF(Q363="Barge",0,L363*Alukset_fx!$B$75))))))))</f>
        <v>0</v>
      </c>
      <c r="S363" s="210">
        <f>IF(L363=0,IF(Q363="Other dry cargo",Alukset_fx!$H$73*(Alukset_Käynnit_Lask!K363^Alukset_fx!$I$73),IF(OR(Q363="Dry Bulk",Q363="Bulk carrier"),Alukset_fx!$H$71*(Alukset_Käynnit_Lask!K363^Alukset_fx!$I$71),IF(Q363="Tugboat",Alukset_fx!$H$78*(Alukset_Käynnit_Lask!K363^Alukset_fx!$I$78),IF(OR(Q363="Tanker",Q363="Gas tanker",Q363="Chemical tanker",Q363="Oil tanker"),Alukset_fx!$H$70*(Alukset_Käynnit_Lask!K363^Alukset_fx!$I$70),IF(Q363="Container ship",Alukset_fx!$H$72*(Alukset_Käynnit_Lask!K363^Alukset_fx!$I$72),IF(Q363="Barge",0,IF(Q363="RoPax",Alukset_fx!$H$75*(Alukset_Käynnit_Lask!K363^Alukset_fx!$I$75),IF(OR(Q363="RoRo",Q363="Vehicle carrier"),Alukset_fx!$H$74*(Alukset_Käynnit_Lask!K363^Alukset_fx!$I$74),Alukset_fx!$H$77*(Alukset_Käynnit_Lask!K363^Alukset_fx!$I$77))))))))),"-")</f>
        <v>0</v>
      </c>
      <c r="T363" s="208">
        <f>IF(R363=0,IF(Q363="Other dry cargo",S363*Alukset_fx!$B$71,IF(OR(Q363="Dry bulk",Q363="Bulk carrier"),S363*Alukset_fx!$B$69,IF(Q363="Tugboat",S363*Alukset_fx!$B$76,IF(OR(Q363="Tanker",Q363="Gas tanker",Q363="Chemical tanker",Q363="Oil tanker"),S363*Alukset_fx!$B$68,IF(OR(Q363="RoRo",Q363="Vehicle carrier"),S363*Alukset_fx!$B$72,IF(Q363="RoPax",S363*Alukset_fx!$B$73,IF(Q363="Container ship",S363*Alukset_fx!$B$70,S363*Alukset_fx!$B$75))))))),"-")</f>
        <v>0</v>
      </c>
      <c r="U363" s="208">
        <f t="shared" si="66"/>
        <v>0</v>
      </c>
      <c r="V363" s="208">
        <f t="shared" si="67"/>
        <v>0</v>
      </c>
      <c r="W363" s="202">
        <f>Alukset_Käynnit!N370</f>
        <v>0</v>
      </c>
      <c r="X363" s="211">
        <f>IF(Q363="Other dry cargo", Alukset_fx!$C$52, IF(OR(Q363="Dry bulk",Q363="Bulk carrier"),Alukset_fx!$C$35,IF(OR(Q363="Tanker",Q363="Gas tanker",Q363="Oil tanker"),Alukset_fx!$C$57,IF(Q363="Chemical tanker",Alukset_fx!$C$56,IF(OR(Q363="Tugboat",Q363="Barge"),0,IF(Q363="Other vessel",Alukset_fx!$C$54,IF(Q363="Container ship",Alukset_fx!$C$37,IF(OR(Q363="RoPax",Q363="RoRo",Q363="Vehicle carrier"),Alukset_fx!$C$55,0))))))))</f>
        <v>0</v>
      </c>
      <c r="Y363" s="211">
        <f>IF(Q363="Other dry cargo", Alukset_fx!$Q$52, IF(OR(Q363="Dry bulk",Q363="Bulk carrier"),Alukset_fx!$Q$35,IF(OR(Q363="Tanker",Q363="Gas tanker",Q363="Oil tanker"),Alukset_fx!$Q$57,IF(Q363="Chemical tanker",Alukset_fx!$Q$56,IF(OR(Q363="Tugboat",Q363="Barge"),0,IF(Q363="Other vessel",Alukset_fx!$Q$54,IF(Q363="Container ship",Alukset_fx!$Q$37,IF(OR(Q363="RoPax",Q363="RoRo",Q363="Vehicle carrier"),Alukset_fx!$Q$55,0))))))))</f>
        <v>0</v>
      </c>
      <c r="Z363" t="str">
        <f t="shared" si="68"/>
        <v>MDO/MGO</v>
      </c>
      <c r="AA363" t="str">
        <f t="shared" si="69"/>
        <v>MSD</v>
      </c>
      <c r="AB363" t="str">
        <f t="shared" si="70"/>
        <v>MDO/MGO</v>
      </c>
      <c r="AC363" t="str">
        <f t="shared" si="71"/>
        <v>MSD</v>
      </c>
      <c r="AD363" t="str">
        <f t="shared" si="72"/>
        <v>MDO/MGO</v>
      </c>
      <c r="AE363" t="str">
        <f t="shared" si="73"/>
        <v>ST</v>
      </c>
      <c r="AG363">
        <f>Alukset_Käynnit!O370</f>
        <v>0</v>
      </c>
      <c r="AH363" s="207">
        <f>IF(AA363="SSD",((U363*Alukset_fx!$B$24)*Alukset_Käynnit_Lask!W363*(Alukset_fx!$K$49)/1000),IF(AA363="MSD",((U363*Alukset_fx!$B$24)*Alukset_Käynnit_Lask!W363*(Alukset_fx!$K$52)/1000),IF(AA363="HSD",((U363*Alukset_fx!$B$24)*Alukset_Käynnit_Lask!W363*(Alukset_fx!$K$55)/1000),0)))</f>
        <v>0</v>
      </c>
      <c r="AI363" s="207">
        <f>IF(AC363="MSD",((V363*Alukset_fx!$B$25)*Alukset_Käynnit_Lask!W363*(Alukset_fx!$L$52)/1000),IF(AC363="HSD",((V363*Alukset_fx!$B$25)*Alukset_Käynnit_Lask!W363*(Alukset_fx!$L$55)/1000),0))</f>
        <v>0</v>
      </c>
      <c r="AJ363" s="207">
        <f>X363*W363*Alukset_fx!$K$61/1000</f>
        <v>0</v>
      </c>
      <c r="AK363">
        <v>0</v>
      </c>
      <c r="AL363" s="207">
        <f>IF(AG363="Käytetty",0,IF(AC363="MSD",((V363*Alukset_fx!$O$25)*Alukset_Käynnit_Lask!O363*(Alukset_fx!$L$52)/1000),IF(AC363="HSD",((V363*Alukset_fx!$O$25)*Alukset_Käynnit_Lask!O363*(Alukset_fx!$L$55)/1000),0)))</f>
        <v>0</v>
      </c>
      <c r="AM363" s="207">
        <f>IF(AG363="Käytetty",0,Y363*O363*Alukset_fx!$K$61/1000)</f>
        <v>0</v>
      </c>
      <c r="AN363" s="213">
        <f t="shared" si="74"/>
        <v>0</v>
      </c>
    </row>
    <row r="364" spans="1:40" x14ac:dyDescent="0.25">
      <c r="A364" s="203">
        <f>Alukset_Käynnit!A371</f>
        <v>0</v>
      </c>
      <c r="B364" s="203">
        <f>Alukset_Käynnit!B371</f>
        <v>0</v>
      </c>
      <c r="C364" s="262">
        <f>Alukset_Käynnit!C371</f>
        <v>0</v>
      </c>
      <c r="D364" s="266">
        <f>Alukset_Käynnit!D371</f>
        <v>0</v>
      </c>
      <c r="E364" s="262">
        <f>Alukset_Käynnit!E371</f>
        <v>0</v>
      </c>
      <c r="F364" s="262">
        <f>Alukset_Käynnit!F371</f>
        <v>0</v>
      </c>
      <c r="G364" s="262">
        <f>Alukset_Käynnit!G371</f>
        <v>0</v>
      </c>
      <c r="H364" s="262">
        <f>Alukset_Käynnit!H371</f>
        <v>0</v>
      </c>
      <c r="I364" s="262">
        <f>Alukset_Käynnit!I371</f>
        <v>0</v>
      </c>
      <c r="J364" s="262">
        <f>Alukset_Käynnit!J371</f>
        <v>0</v>
      </c>
      <c r="K364" s="262">
        <f>Alukset_Käynnit!K371</f>
        <v>0</v>
      </c>
      <c r="L364" s="205">
        <f>Alukset_Käynnit!L371</f>
        <v>0</v>
      </c>
      <c r="N364" s="273">
        <f t="shared" si="75"/>
        <v>0</v>
      </c>
      <c r="O364" s="274">
        <f t="shared" si="76"/>
        <v>0</v>
      </c>
      <c r="Q364" s="204">
        <f t="shared" si="65"/>
        <v>0</v>
      </c>
      <c r="R364" s="202">
        <f>IF(Q364="Other dry cargo",L364*Alukset_fx!$B$71,IF(OR(Q364="Dry bulk",Q364="Bulk carrier"),L364*Alukset_fx!$B$69,IF(Q364="Tugboat",L364*Alukset_fx!$B$76,IF(OR(Q364="Tanker",Q364="Gas tanker",Q364="Chemical tanker",Q364="Oil tanker"),L364*Alukset_fx!$B$68,IF(OR(Q364="RoRo",Q364="Vehicle carrier"),L364*Alukset_fx!$B$72,IF(Q364="RoPax",L364*Alukset_fx!$B$73,IF(Q364="Container ship",L364*Alukset_fx!$B$70,IF(Q364="Barge",0,L364*Alukset_fx!$B$75))))))))</f>
        <v>0</v>
      </c>
      <c r="S364" s="210">
        <f>IF(L364=0,IF(Q364="Other dry cargo",Alukset_fx!$H$73*(Alukset_Käynnit_Lask!K364^Alukset_fx!$I$73),IF(OR(Q364="Dry Bulk",Q364="Bulk carrier"),Alukset_fx!$H$71*(Alukset_Käynnit_Lask!K364^Alukset_fx!$I$71),IF(Q364="Tugboat",Alukset_fx!$H$78*(Alukset_Käynnit_Lask!K364^Alukset_fx!$I$78),IF(OR(Q364="Tanker",Q364="Gas tanker",Q364="Chemical tanker",Q364="Oil tanker"),Alukset_fx!$H$70*(Alukset_Käynnit_Lask!K364^Alukset_fx!$I$70),IF(Q364="Container ship",Alukset_fx!$H$72*(Alukset_Käynnit_Lask!K364^Alukset_fx!$I$72),IF(Q364="Barge",0,IF(Q364="RoPax",Alukset_fx!$H$75*(Alukset_Käynnit_Lask!K364^Alukset_fx!$I$75),IF(OR(Q364="RoRo",Q364="Vehicle carrier"),Alukset_fx!$H$74*(Alukset_Käynnit_Lask!K364^Alukset_fx!$I$74),Alukset_fx!$H$77*(Alukset_Käynnit_Lask!K364^Alukset_fx!$I$77))))))))),"-")</f>
        <v>0</v>
      </c>
      <c r="T364" s="208">
        <f>IF(R364=0,IF(Q364="Other dry cargo",S364*Alukset_fx!$B$71,IF(OR(Q364="Dry bulk",Q364="Bulk carrier"),S364*Alukset_fx!$B$69,IF(Q364="Tugboat",S364*Alukset_fx!$B$76,IF(OR(Q364="Tanker",Q364="Gas tanker",Q364="Chemical tanker",Q364="Oil tanker"),S364*Alukset_fx!$B$68,IF(OR(Q364="RoRo",Q364="Vehicle carrier"),S364*Alukset_fx!$B$72,IF(Q364="RoPax",S364*Alukset_fx!$B$73,IF(Q364="Container ship",S364*Alukset_fx!$B$70,S364*Alukset_fx!$B$75))))))),"-")</f>
        <v>0</v>
      </c>
      <c r="U364" s="208">
        <f t="shared" si="66"/>
        <v>0</v>
      </c>
      <c r="V364" s="208">
        <f t="shared" si="67"/>
        <v>0</v>
      </c>
      <c r="W364" s="202">
        <f>Alukset_Käynnit!N371</f>
        <v>0</v>
      </c>
      <c r="X364" s="211">
        <f>IF(Q364="Other dry cargo", Alukset_fx!$C$52, IF(OR(Q364="Dry bulk",Q364="Bulk carrier"),Alukset_fx!$C$35,IF(OR(Q364="Tanker",Q364="Gas tanker",Q364="Oil tanker"),Alukset_fx!$C$57,IF(Q364="Chemical tanker",Alukset_fx!$C$56,IF(OR(Q364="Tugboat",Q364="Barge"),0,IF(Q364="Other vessel",Alukset_fx!$C$54,IF(Q364="Container ship",Alukset_fx!$C$37,IF(OR(Q364="RoPax",Q364="RoRo",Q364="Vehicle carrier"),Alukset_fx!$C$55,0))))))))</f>
        <v>0</v>
      </c>
      <c r="Y364" s="211">
        <f>IF(Q364="Other dry cargo", Alukset_fx!$Q$52, IF(OR(Q364="Dry bulk",Q364="Bulk carrier"),Alukset_fx!$Q$35,IF(OR(Q364="Tanker",Q364="Gas tanker",Q364="Oil tanker"),Alukset_fx!$Q$57,IF(Q364="Chemical tanker",Alukset_fx!$Q$56,IF(OR(Q364="Tugboat",Q364="Barge"),0,IF(Q364="Other vessel",Alukset_fx!$Q$54,IF(Q364="Container ship",Alukset_fx!$Q$37,IF(OR(Q364="RoPax",Q364="RoRo",Q364="Vehicle carrier"),Alukset_fx!$Q$55,0))))))))</f>
        <v>0</v>
      </c>
      <c r="Z364" t="str">
        <f t="shared" si="68"/>
        <v>MDO/MGO</v>
      </c>
      <c r="AA364" t="str">
        <f t="shared" si="69"/>
        <v>MSD</v>
      </c>
      <c r="AB364" t="str">
        <f t="shared" si="70"/>
        <v>MDO/MGO</v>
      </c>
      <c r="AC364" t="str">
        <f t="shared" si="71"/>
        <v>MSD</v>
      </c>
      <c r="AD364" t="str">
        <f t="shared" si="72"/>
        <v>MDO/MGO</v>
      </c>
      <c r="AE364" t="str">
        <f t="shared" si="73"/>
        <v>ST</v>
      </c>
      <c r="AG364">
        <f>Alukset_Käynnit!O371</f>
        <v>0</v>
      </c>
      <c r="AH364" s="207">
        <f>IF(AA364="SSD",((U364*Alukset_fx!$B$24)*Alukset_Käynnit_Lask!W364*(Alukset_fx!$K$49)/1000),IF(AA364="MSD",((U364*Alukset_fx!$B$24)*Alukset_Käynnit_Lask!W364*(Alukset_fx!$K$52)/1000),IF(AA364="HSD",((U364*Alukset_fx!$B$24)*Alukset_Käynnit_Lask!W364*(Alukset_fx!$K$55)/1000),0)))</f>
        <v>0</v>
      </c>
      <c r="AI364" s="207">
        <f>IF(AC364="MSD",((V364*Alukset_fx!$B$25)*Alukset_Käynnit_Lask!W364*(Alukset_fx!$L$52)/1000),IF(AC364="HSD",((V364*Alukset_fx!$B$25)*Alukset_Käynnit_Lask!W364*(Alukset_fx!$L$55)/1000),0))</f>
        <v>0</v>
      </c>
      <c r="AJ364" s="207">
        <f>X364*W364*Alukset_fx!$K$61/1000</f>
        <v>0</v>
      </c>
      <c r="AK364">
        <v>0</v>
      </c>
      <c r="AL364" s="207">
        <f>IF(AG364="Käytetty",0,IF(AC364="MSD",((V364*Alukset_fx!$O$25)*Alukset_Käynnit_Lask!O364*(Alukset_fx!$L$52)/1000),IF(AC364="HSD",((V364*Alukset_fx!$O$25)*Alukset_Käynnit_Lask!O364*(Alukset_fx!$L$55)/1000),0)))</f>
        <v>0</v>
      </c>
      <c r="AM364" s="207">
        <f>IF(AG364="Käytetty",0,Y364*O364*Alukset_fx!$K$61/1000)</f>
        <v>0</v>
      </c>
      <c r="AN364" s="213">
        <f t="shared" si="74"/>
        <v>0</v>
      </c>
    </row>
    <row r="365" spans="1:40" x14ac:dyDescent="0.25">
      <c r="A365" s="203">
        <f>Alukset_Käynnit!A372</f>
        <v>0</v>
      </c>
      <c r="B365" s="203">
        <f>Alukset_Käynnit!B372</f>
        <v>0</v>
      </c>
      <c r="C365" s="262">
        <f>Alukset_Käynnit!C372</f>
        <v>0</v>
      </c>
      <c r="D365" s="266">
        <f>Alukset_Käynnit!D372</f>
        <v>0</v>
      </c>
      <c r="E365" s="262">
        <f>Alukset_Käynnit!E372</f>
        <v>0</v>
      </c>
      <c r="F365" s="262">
        <f>Alukset_Käynnit!F372</f>
        <v>0</v>
      </c>
      <c r="G365" s="262">
        <f>Alukset_Käynnit!G372</f>
        <v>0</v>
      </c>
      <c r="H365" s="262">
        <f>Alukset_Käynnit!H372</f>
        <v>0</v>
      </c>
      <c r="I365" s="262">
        <f>Alukset_Käynnit!I372</f>
        <v>0</v>
      </c>
      <c r="J365" s="262">
        <f>Alukset_Käynnit!J372</f>
        <v>0</v>
      </c>
      <c r="K365" s="262">
        <f>Alukset_Käynnit!K372</f>
        <v>0</v>
      </c>
      <c r="L365" s="205">
        <f>Alukset_Käynnit!L372</f>
        <v>0</v>
      </c>
      <c r="N365" s="273">
        <f t="shared" si="75"/>
        <v>0</v>
      </c>
      <c r="O365" s="274">
        <f t="shared" si="76"/>
        <v>0</v>
      </c>
      <c r="Q365" s="204">
        <f t="shared" si="65"/>
        <v>0</v>
      </c>
      <c r="R365" s="202">
        <f>IF(Q365="Other dry cargo",L365*Alukset_fx!$B$71,IF(OR(Q365="Dry bulk",Q365="Bulk carrier"),L365*Alukset_fx!$B$69,IF(Q365="Tugboat",L365*Alukset_fx!$B$76,IF(OR(Q365="Tanker",Q365="Gas tanker",Q365="Chemical tanker",Q365="Oil tanker"),L365*Alukset_fx!$B$68,IF(OR(Q365="RoRo",Q365="Vehicle carrier"),L365*Alukset_fx!$B$72,IF(Q365="RoPax",L365*Alukset_fx!$B$73,IF(Q365="Container ship",L365*Alukset_fx!$B$70,IF(Q365="Barge",0,L365*Alukset_fx!$B$75))))))))</f>
        <v>0</v>
      </c>
      <c r="S365" s="210">
        <f>IF(L365=0,IF(Q365="Other dry cargo",Alukset_fx!$H$73*(Alukset_Käynnit_Lask!K365^Alukset_fx!$I$73),IF(OR(Q365="Dry Bulk",Q365="Bulk carrier"),Alukset_fx!$H$71*(Alukset_Käynnit_Lask!K365^Alukset_fx!$I$71),IF(Q365="Tugboat",Alukset_fx!$H$78*(Alukset_Käynnit_Lask!K365^Alukset_fx!$I$78),IF(OR(Q365="Tanker",Q365="Gas tanker",Q365="Chemical tanker",Q365="Oil tanker"),Alukset_fx!$H$70*(Alukset_Käynnit_Lask!K365^Alukset_fx!$I$70),IF(Q365="Container ship",Alukset_fx!$H$72*(Alukset_Käynnit_Lask!K365^Alukset_fx!$I$72),IF(Q365="Barge",0,IF(Q365="RoPax",Alukset_fx!$H$75*(Alukset_Käynnit_Lask!K365^Alukset_fx!$I$75),IF(OR(Q365="RoRo",Q365="Vehicle carrier"),Alukset_fx!$H$74*(Alukset_Käynnit_Lask!K365^Alukset_fx!$I$74),Alukset_fx!$H$77*(Alukset_Käynnit_Lask!K365^Alukset_fx!$I$77))))))))),"-")</f>
        <v>0</v>
      </c>
      <c r="T365" s="208">
        <f>IF(R365=0,IF(Q365="Other dry cargo",S365*Alukset_fx!$B$71,IF(OR(Q365="Dry bulk",Q365="Bulk carrier"),S365*Alukset_fx!$B$69,IF(Q365="Tugboat",S365*Alukset_fx!$B$76,IF(OR(Q365="Tanker",Q365="Gas tanker",Q365="Chemical tanker",Q365="Oil tanker"),S365*Alukset_fx!$B$68,IF(OR(Q365="RoRo",Q365="Vehicle carrier"),S365*Alukset_fx!$B$72,IF(Q365="RoPax",S365*Alukset_fx!$B$73,IF(Q365="Container ship",S365*Alukset_fx!$B$70,S365*Alukset_fx!$B$75))))))),"-")</f>
        <v>0</v>
      </c>
      <c r="U365" s="208">
        <f t="shared" si="66"/>
        <v>0</v>
      </c>
      <c r="V365" s="208">
        <f t="shared" si="67"/>
        <v>0</v>
      </c>
      <c r="W365" s="202">
        <f>Alukset_Käynnit!N372</f>
        <v>0</v>
      </c>
      <c r="X365" s="211">
        <f>IF(Q365="Other dry cargo", Alukset_fx!$C$52, IF(OR(Q365="Dry bulk",Q365="Bulk carrier"),Alukset_fx!$C$35,IF(OR(Q365="Tanker",Q365="Gas tanker",Q365="Oil tanker"),Alukset_fx!$C$57,IF(Q365="Chemical tanker",Alukset_fx!$C$56,IF(OR(Q365="Tugboat",Q365="Barge"),0,IF(Q365="Other vessel",Alukset_fx!$C$54,IF(Q365="Container ship",Alukset_fx!$C$37,IF(OR(Q365="RoPax",Q365="RoRo",Q365="Vehicle carrier"),Alukset_fx!$C$55,0))))))))</f>
        <v>0</v>
      </c>
      <c r="Y365" s="211">
        <f>IF(Q365="Other dry cargo", Alukset_fx!$Q$52, IF(OR(Q365="Dry bulk",Q365="Bulk carrier"),Alukset_fx!$Q$35,IF(OR(Q365="Tanker",Q365="Gas tanker",Q365="Oil tanker"),Alukset_fx!$Q$57,IF(Q365="Chemical tanker",Alukset_fx!$Q$56,IF(OR(Q365="Tugboat",Q365="Barge"),0,IF(Q365="Other vessel",Alukset_fx!$Q$54,IF(Q365="Container ship",Alukset_fx!$Q$37,IF(OR(Q365="RoPax",Q365="RoRo",Q365="Vehicle carrier"),Alukset_fx!$Q$55,0))))))))</f>
        <v>0</v>
      </c>
      <c r="Z365" t="str">
        <f t="shared" si="68"/>
        <v>MDO/MGO</v>
      </c>
      <c r="AA365" t="str">
        <f t="shared" si="69"/>
        <v>MSD</v>
      </c>
      <c r="AB365" t="str">
        <f t="shared" si="70"/>
        <v>MDO/MGO</v>
      </c>
      <c r="AC365" t="str">
        <f t="shared" si="71"/>
        <v>MSD</v>
      </c>
      <c r="AD365" t="str">
        <f t="shared" si="72"/>
        <v>MDO/MGO</v>
      </c>
      <c r="AE365" t="str">
        <f t="shared" si="73"/>
        <v>ST</v>
      </c>
      <c r="AG365">
        <f>Alukset_Käynnit!O372</f>
        <v>0</v>
      </c>
      <c r="AH365" s="207">
        <f>IF(AA365="SSD",((U365*Alukset_fx!$B$24)*Alukset_Käynnit_Lask!W365*(Alukset_fx!$K$49)/1000),IF(AA365="MSD",((U365*Alukset_fx!$B$24)*Alukset_Käynnit_Lask!W365*(Alukset_fx!$K$52)/1000),IF(AA365="HSD",((U365*Alukset_fx!$B$24)*Alukset_Käynnit_Lask!W365*(Alukset_fx!$K$55)/1000),0)))</f>
        <v>0</v>
      </c>
      <c r="AI365" s="207">
        <f>IF(AC365="MSD",((V365*Alukset_fx!$B$25)*Alukset_Käynnit_Lask!W365*(Alukset_fx!$L$52)/1000),IF(AC365="HSD",((V365*Alukset_fx!$B$25)*Alukset_Käynnit_Lask!W365*(Alukset_fx!$L$55)/1000),0))</f>
        <v>0</v>
      </c>
      <c r="AJ365" s="207">
        <f>X365*W365*Alukset_fx!$K$61/1000</f>
        <v>0</v>
      </c>
      <c r="AK365">
        <v>0</v>
      </c>
      <c r="AL365" s="207">
        <f>IF(AG365="Käytetty",0,IF(AC365="MSD",((V365*Alukset_fx!$O$25)*Alukset_Käynnit_Lask!O365*(Alukset_fx!$L$52)/1000),IF(AC365="HSD",((V365*Alukset_fx!$O$25)*Alukset_Käynnit_Lask!O365*(Alukset_fx!$L$55)/1000),0)))</f>
        <v>0</v>
      </c>
      <c r="AM365" s="207">
        <f>IF(AG365="Käytetty",0,Y365*O365*Alukset_fx!$K$61/1000)</f>
        <v>0</v>
      </c>
      <c r="AN365" s="213">
        <f t="shared" si="74"/>
        <v>0</v>
      </c>
    </row>
    <row r="366" spans="1:40" x14ac:dyDescent="0.25">
      <c r="A366" s="203">
        <f>Alukset_Käynnit!A373</f>
        <v>0</v>
      </c>
      <c r="B366" s="203">
        <f>Alukset_Käynnit!B373</f>
        <v>0</v>
      </c>
      <c r="C366" s="262">
        <f>Alukset_Käynnit!C373</f>
        <v>0</v>
      </c>
      <c r="D366" s="266">
        <f>Alukset_Käynnit!D373</f>
        <v>0</v>
      </c>
      <c r="E366" s="262">
        <f>Alukset_Käynnit!E373</f>
        <v>0</v>
      </c>
      <c r="F366" s="262">
        <f>Alukset_Käynnit!F373</f>
        <v>0</v>
      </c>
      <c r="G366" s="262">
        <f>Alukset_Käynnit!G373</f>
        <v>0</v>
      </c>
      <c r="H366" s="262">
        <f>Alukset_Käynnit!H373</f>
        <v>0</v>
      </c>
      <c r="I366" s="262">
        <f>Alukset_Käynnit!I373</f>
        <v>0</v>
      </c>
      <c r="J366" s="262">
        <f>Alukset_Käynnit!J373</f>
        <v>0</v>
      </c>
      <c r="K366" s="262">
        <f>Alukset_Käynnit!K373</f>
        <v>0</v>
      </c>
      <c r="L366" s="205">
        <f>Alukset_Käynnit!L373</f>
        <v>0</v>
      </c>
      <c r="N366" s="273">
        <f t="shared" si="75"/>
        <v>0</v>
      </c>
      <c r="O366" s="274">
        <f t="shared" si="76"/>
        <v>0</v>
      </c>
      <c r="Q366" s="204">
        <f t="shared" si="65"/>
        <v>0</v>
      </c>
      <c r="R366" s="202">
        <f>IF(Q366="Other dry cargo",L366*Alukset_fx!$B$71,IF(OR(Q366="Dry bulk",Q366="Bulk carrier"),L366*Alukset_fx!$B$69,IF(Q366="Tugboat",L366*Alukset_fx!$B$76,IF(OR(Q366="Tanker",Q366="Gas tanker",Q366="Chemical tanker",Q366="Oil tanker"),L366*Alukset_fx!$B$68,IF(OR(Q366="RoRo",Q366="Vehicle carrier"),L366*Alukset_fx!$B$72,IF(Q366="RoPax",L366*Alukset_fx!$B$73,IF(Q366="Container ship",L366*Alukset_fx!$B$70,IF(Q366="Barge",0,L366*Alukset_fx!$B$75))))))))</f>
        <v>0</v>
      </c>
      <c r="S366" s="210">
        <f>IF(L366=0,IF(Q366="Other dry cargo",Alukset_fx!$H$73*(Alukset_Käynnit_Lask!K366^Alukset_fx!$I$73),IF(OR(Q366="Dry Bulk",Q366="Bulk carrier"),Alukset_fx!$H$71*(Alukset_Käynnit_Lask!K366^Alukset_fx!$I$71),IF(Q366="Tugboat",Alukset_fx!$H$78*(Alukset_Käynnit_Lask!K366^Alukset_fx!$I$78),IF(OR(Q366="Tanker",Q366="Gas tanker",Q366="Chemical tanker",Q366="Oil tanker"),Alukset_fx!$H$70*(Alukset_Käynnit_Lask!K366^Alukset_fx!$I$70),IF(Q366="Container ship",Alukset_fx!$H$72*(Alukset_Käynnit_Lask!K366^Alukset_fx!$I$72),IF(Q366="Barge",0,IF(Q366="RoPax",Alukset_fx!$H$75*(Alukset_Käynnit_Lask!K366^Alukset_fx!$I$75),IF(OR(Q366="RoRo",Q366="Vehicle carrier"),Alukset_fx!$H$74*(Alukset_Käynnit_Lask!K366^Alukset_fx!$I$74),Alukset_fx!$H$77*(Alukset_Käynnit_Lask!K366^Alukset_fx!$I$77))))))))),"-")</f>
        <v>0</v>
      </c>
      <c r="T366" s="208">
        <f>IF(R366=0,IF(Q366="Other dry cargo",S366*Alukset_fx!$B$71,IF(OR(Q366="Dry bulk",Q366="Bulk carrier"),S366*Alukset_fx!$B$69,IF(Q366="Tugboat",S366*Alukset_fx!$B$76,IF(OR(Q366="Tanker",Q366="Gas tanker",Q366="Chemical tanker",Q366="Oil tanker"),S366*Alukset_fx!$B$68,IF(OR(Q366="RoRo",Q366="Vehicle carrier"),S366*Alukset_fx!$B$72,IF(Q366="RoPax",S366*Alukset_fx!$B$73,IF(Q366="Container ship",S366*Alukset_fx!$B$70,S366*Alukset_fx!$B$75))))))),"-")</f>
        <v>0</v>
      </c>
      <c r="U366" s="208">
        <f t="shared" si="66"/>
        <v>0</v>
      </c>
      <c r="V366" s="208">
        <f t="shared" si="67"/>
        <v>0</v>
      </c>
      <c r="W366" s="202">
        <f>Alukset_Käynnit!N373</f>
        <v>0</v>
      </c>
      <c r="X366" s="211">
        <f>IF(Q366="Other dry cargo", Alukset_fx!$C$52, IF(OR(Q366="Dry bulk",Q366="Bulk carrier"),Alukset_fx!$C$35,IF(OR(Q366="Tanker",Q366="Gas tanker",Q366="Oil tanker"),Alukset_fx!$C$57,IF(Q366="Chemical tanker",Alukset_fx!$C$56,IF(OR(Q366="Tugboat",Q366="Barge"),0,IF(Q366="Other vessel",Alukset_fx!$C$54,IF(Q366="Container ship",Alukset_fx!$C$37,IF(OR(Q366="RoPax",Q366="RoRo",Q366="Vehicle carrier"),Alukset_fx!$C$55,0))))))))</f>
        <v>0</v>
      </c>
      <c r="Y366" s="211">
        <f>IF(Q366="Other dry cargo", Alukset_fx!$Q$52, IF(OR(Q366="Dry bulk",Q366="Bulk carrier"),Alukset_fx!$Q$35,IF(OR(Q366="Tanker",Q366="Gas tanker",Q366="Oil tanker"),Alukset_fx!$Q$57,IF(Q366="Chemical tanker",Alukset_fx!$Q$56,IF(OR(Q366="Tugboat",Q366="Barge"),0,IF(Q366="Other vessel",Alukset_fx!$Q$54,IF(Q366="Container ship",Alukset_fx!$Q$37,IF(OR(Q366="RoPax",Q366="RoRo",Q366="Vehicle carrier"),Alukset_fx!$Q$55,0))))))))</f>
        <v>0</v>
      </c>
      <c r="Z366" t="str">
        <f t="shared" si="68"/>
        <v>MDO/MGO</v>
      </c>
      <c r="AA366" t="str">
        <f t="shared" si="69"/>
        <v>MSD</v>
      </c>
      <c r="AB366" t="str">
        <f t="shared" si="70"/>
        <v>MDO/MGO</v>
      </c>
      <c r="AC366" t="str">
        <f t="shared" si="71"/>
        <v>MSD</v>
      </c>
      <c r="AD366" t="str">
        <f t="shared" si="72"/>
        <v>MDO/MGO</v>
      </c>
      <c r="AE366" t="str">
        <f t="shared" si="73"/>
        <v>ST</v>
      </c>
      <c r="AG366">
        <f>Alukset_Käynnit!O373</f>
        <v>0</v>
      </c>
      <c r="AH366" s="207">
        <f>IF(AA366="SSD",((U366*Alukset_fx!$B$24)*Alukset_Käynnit_Lask!W366*(Alukset_fx!$K$49)/1000),IF(AA366="MSD",((U366*Alukset_fx!$B$24)*Alukset_Käynnit_Lask!W366*(Alukset_fx!$K$52)/1000),IF(AA366="HSD",((U366*Alukset_fx!$B$24)*Alukset_Käynnit_Lask!W366*(Alukset_fx!$K$55)/1000),0)))</f>
        <v>0</v>
      </c>
      <c r="AI366" s="207">
        <f>IF(AC366="MSD",((V366*Alukset_fx!$B$25)*Alukset_Käynnit_Lask!W366*(Alukset_fx!$L$52)/1000),IF(AC366="HSD",((V366*Alukset_fx!$B$25)*Alukset_Käynnit_Lask!W366*(Alukset_fx!$L$55)/1000),0))</f>
        <v>0</v>
      </c>
      <c r="AJ366" s="207">
        <f>X366*W366*Alukset_fx!$K$61/1000</f>
        <v>0</v>
      </c>
      <c r="AK366">
        <v>0</v>
      </c>
      <c r="AL366" s="207">
        <f>IF(AG366="Käytetty",0,IF(AC366="MSD",((V366*Alukset_fx!$O$25)*Alukset_Käynnit_Lask!O366*(Alukset_fx!$L$52)/1000),IF(AC366="HSD",((V366*Alukset_fx!$O$25)*Alukset_Käynnit_Lask!O366*(Alukset_fx!$L$55)/1000),0)))</f>
        <v>0</v>
      </c>
      <c r="AM366" s="207">
        <f>IF(AG366="Käytetty",0,Y366*O366*Alukset_fx!$K$61/1000)</f>
        <v>0</v>
      </c>
      <c r="AN366" s="213">
        <f t="shared" si="74"/>
        <v>0</v>
      </c>
    </row>
    <row r="367" spans="1:40" x14ac:dyDescent="0.25">
      <c r="A367" s="203">
        <f>Alukset_Käynnit!A374</f>
        <v>0</v>
      </c>
      <c r="B367" s="203">
        <f>Alukset_Käynnit!B374</f>
        <v>0</v>
      </c>
      <c r="C367" s="262">
        <f>Alukset_Käynnit!C374</f>
        <v>0</v>
      </c>
      <c r="D367" s="266">
        <f>Alukset_Käynnit!D374</f>
        <v>0</v>
      </c>
      <c r="E367" s="262">
        <f>Alukset_Käynnit!E374</f>
        <v>0</v>
      </c>
      <c r="F367" s="262">
        <f>Alukset_Käynnit!F374</f>
        <v>0</v>
      </c>
      <c r="G367" s="262">
        <f>Alukset_Käynnit!G374</f>
        <v>0</v>
      </c>
      <c r="H367" s="262">
        <f>Alukset_Käynnit!H374</f>
        <v>0</v>
      </c>
      <c r="I367" s="262">
        <f>Alukset_Käynnit!I374</f>
        <v>0</v>
      </c>
      <c r="J367" s="262">
        <f>Alukset_Käynnit!J374</f>
        <v>0</v>
      </c>
      <c r="K367" s="262">
        <f>Alukset_Käynnit!K374</f>
        <v>0</v>
      </c>
      <c r="L367" s="205">
        <f>Alukset_Käynnit!L374</f>
        <v>0</v>
      </c>
      <c r="N367" s="273">
        <f t="shared" si="75"/>
        <v>0</v>
      </c>
      <c r="O367" s="274">
        <f t="shared" si="76"/>
        <v>0</v>
      </c>
      <c r="Q367" s="204">
        <f t="shared" si="65"/>
        <v>0</v>
      </c>
      <c r="R367" s="202">
        <f>IF(Q367="Other dry cargo",L367*Alukset_fx!$B$71,IF(OR(Q367="Dry bulk",Q367="Bulk carrier"),L367*Alukset_fx!$B$69,IF(Q367="Tugboat",L367*Alukset_fx!$B$76,IF(OR(Q367="Tanker",Q367="Gas tanker",Q367="Chemical tanker",Q367="Oil tanker"),L367*Alukset_fx!$B$68,IF(OR(Q367="RoRo",Q367="Vehicle carrier"),L367*Alukset_fx!$B$72,IF(Q367="RoPax",L367*Alukset_fx!$B$73,IF(Q367="Container ship",L367*Alukset_fx!$B$70,IF(Q367="Barge",0,L367*Alukset_fx!$B$75))))))))</f>
        <v>0</v>
      </c>
      <c r="S367" s="210">
        <f>IF(L367=0,IF(Q367="Other dry cargo",Alukset_fx!$H$73*(Alukset_Käynnit_Lask!K367^Alukset_fx!$I$73),IF(OR(Q367="Dry Bulk",Q367="Bulk carrier"),Alukset_fx!$H$71*(Alukset_Käynnit_Lask!K367^Alukset_fx!$I$71),IF(Q367="Tugboat",Alukset_fx!$H$78*(Alukset_Käynnit_Lask!K367^Alukset_fx!$I$78),IF(OR(Q367="Tanker",Q367="Gas tanker",Q367="Chemical tanker",Q367="Oil tanker"),Alukset_fx!$H$70*(Alukset_Käynnit_Lask!K367^Alukset_fx!$I$70),IF(Q367="Container ship",Alukset_fx!$H$72*(Alukset_Käynnit_Lask!K367^Alukset_fx!$I$72),IF(Q367="Barge",0,IF(Q367="RoPax",Alukset_fx!$H$75*(Alukset_Käynnit_Lask!K367^Alukset_fx!$I$75),IF(OR(Q367="RoRo",Q367="Vehicle carrier"),Alukset_fx!$H$74*(Alukset_Käynnit_Lask!K367^Alukset_fx!$I$74),Alukset_fx!$H$77*(Alukset_Käynnit_Lask!K367^Alukset_fx!$I$77))))))))),"-")</f>
        <v>0</v>
      </c>
      <c r="T367" s="208">
        <f>IF(R367=0,IF(Q367="Other dry cargo",S367*Alukset_fx!$B$71,IF(OR(Q367="Dry bulk",Q367="Bulk carrier"),S367*Alukset_fx!$B$69,IF(Q367="Tugboat",S367*Alukset_fx!$B$76,IF(OR(Q367="Tanker",Q367="Gas tanker",Q367="Chemical tanker",Q367="Oil tanker"),S367*Alukset_fx!$B$68,IF(OR(Q367="RoRo",Q367="Vehicle carrier"),S367*Alukset_fx!$B$72,IF(Q367="RoPax",S367*Alukset_fx!$B$73,IF(Q367="Container ship",S367*Alukset_fx!$B$70,S367*Alukset_fx!$B$75))))))),"-")</f>
        <v>0</v>
      </c>
      <c r="U367" s="208">
        <f t="shared" si="66"/>
        <v>0</v>
      </c>
      <c r="V367" s="208">
        <f t="shared" si="67"/>
        <v>0</v>
      </c>
      <c r="W367" s="202">
        <f>Alukset_Käynnit!N374</f>
        <v>0</v>
      </c>
      <c r="X367" s="211">
        <f>IF(Q367="Other dry cargo", Alukset_fx!$C$52, IF(OR(Q367="Dry bulk",Q367="Bulk carrier"),Alukset_fx!$C$35,IF(OR(Q367="Tanker",Q367="Gas tanker",Q367="Oil tanker"),Alukset_fx!$C$57,IF(Q367="Chemical tanker",Alukset_fx!$C$56,IF(OR(Q367="Tugboat",Q367="Barge"),0,IF(Q367="Other vessel",Alukset_fx!$C$54,IF(Q367="Container ship",Alukset_fx!$C$37,IF(OR(Q367="RoPax",Q367="RoRo",Q367="Vehicle carrier"),Alukset_fx!$C$55,0))))))))</f>
        <v>0</v>
      </c>
      <c r="Y367" s="211">
        <f>IF(Q367="Other dry cargo", Alukset_fx!$Q$52, IF(OR(Q367="Dry bulk",Q367="Bulk carrier"),Alukset_fx!$Q$35,IF(OR(Q367="Tanker",Q367="Gas tanker",Q367="Oil tanker"),Alukset_fx!$Q$57,IF(Q367="Chemical tanker",Alukset_fx!$Q$56,IF(OR(Q367="Tugboat",Q367="Barge"),0,IF(Q367="Other vessel",Alukset_fx!$Q$54,IF(Q367="Container ship",Alukset_fx!$Q$37,IF(OR(Q367="RoPax",Q367="RoRo",Q367="Vehicle carrier"),Alukset_fx!$Q$55,0))))))))</f>
        <v>0</v>
      </c>
      <c r="Z367" t="str">
        <f t="shared" si="68"/>
        <v>MDO/MGO</v>
      </c>
      <c r="AA367" t="str">
        <f t="shared" si="69"/>
        <v>MSD</v>
      </c>
      <c r="AB367" t="str">
        <f t="shared" si="70"/>
        <v>MDO/MGO</v>
      </c>
      <c r="AC367" t="str">
        <f t="shared" si="71"/>
        <v>MSD</v>
      </c>
      <c r="AD367" t="str">
        <f t="shared" si="72"/>
        <v>MDO/MGO</v>
      </c>
      <c r="AE367" t="str">
        <f t="shared" si="73"/>
        <v>ST</v>
      </c>
      <c r="AG367">
        <f>Alukset_Käynnit!O374</f>
        <v>0</v>
      </c>
      <c r="AH367" s="207">
        <f>IF(AA367="SSD",((U367*Alukset_fx!$B$24)*Alukset_Käynnit_Lask!W367*(Alukset_fx!$K$49)/1000),IF(AA367="MSD",((U367*Alukset_fx!$B$24)*Alukset_Käynnit_Lask!W367*(Alukset_fx!$K$52)/1000),IF(AA367="HSD",((U367*Alukset_fx!$B$24)*Alukset_Käynnit_Lask!W367*(Alukset_fx!$K$55)/1000),0)))</f>
        <v>0</v>
      </c>
      <c r="AI367" s="207">
        <f>IF(AC367="MSD",((V367*Alukset_fx!$B$25)*Alukset_Käynnit_Lask!W367*(Alukset_fx!$L$52)/1000),IF(AC367="HSD",((V367*Alukset_fx!$B$25)*Alukset_Käynnit_Lask!W367*(Alukset_fx!$L$55)/1000),0))</f>
        <v>0</v>
      </c>
      <c r="AJ367" s="207">
        <f>X367*W367*Alukset_fx!$K$61/1000</f>
        <v>0</v>
      </c>
      <c r="AK367">
        <v>0</v>
      </c>
      <c r="AL367" s="207">
        <f>IF(AG367="Käytetty",0,IF(AC367="MSD",((V367*Alukset_fx!$O$25)*Alukset_Käynnit_Lask!O367*(Alukset_fx!$L$52)/1000),IF(AC367="HSD",((V367*Alukset_fx!$O$25)*Alukset_Käynnit_Lask!O367*(Alukset_fx!$L$55)/1000),0)))</f>
        <v>0</v>
      </c>
      <c r="AM367" s="207">
        <f>IF(AG367="Käytetty",0,Y367*O367*Alukset_fx!$K$61/1000)</f>
        <v>0</v>
      </c>
      <c r="AN367" s="213">
        <f t="shared" si="74"/>
        <v>0</v>
      </c>
    </row>
    <row r="368" spans="1:40" x14ac:dyDescent="0.25">
      <c r="A368" s="203">
        <f>Alukset_Käynnit!A375</f>
        <v>0</v>
      </c>
      <c r="B368" s="203">
        <f>Alukset_Käynnit!B375</f>
        <v>0</v>
      </c>
      <c r="C368" s="262">
        <f>Alukset_Käynnit!C375</f>
        <v>0</v>
      </c>
      <c r="D368" s="266">
        <f>Alukset_Käynnit!D375</f>
        <v>0</v>
      </c>
      <c r="E368" s="262">
        <f>Alukset_Käynnit!E375</f>
        <v>0</v>
      </c>
      <c r="F368" s="262">
        <f>Alukset_Käynnit!F375</f>
        <v>0</v>
      </c>
      <c r="G368" s="262">
        <f>Alukset_Käynnit!G375</f>
        <v>0</v>
      </c>
      <c r="H368" s="262">
        <f>Alukset_Käynnit!H375</f>
        <v>0</v>
      </c>
      <c r="I368" s="262">
        <f>Alukset_Käynnit!I375</f>
        <v>0</v>
      </c>
      <c r="J368" s="262">
        <f>Alukset_Käynnit!J375</f>
        <v>0</v>
      </c>
      <c r="K368" s="262">
        <f>Alukset_Käynnit!K375</f>
        <v>0</v>
      </c>
      <c r="L368" s="205">
        <f>Alukset_Käynnit!L375</f>
        <v>0</v>
      </c>
      <c r="N368" s="273">
        <f t="shared" si="75"/>
        <v>0</v>
      </c>
      <c r="O368" s="274">
        <f t="shared" si="76"/>
        <v>0</v>
      </c>
      <c r="Q368" s="204">
        <f t="shared" si="65"/>
        <v>0</v>
      </c>
      <c r="R368" s="202">
        <f>IF(Q368="Other dry cargo",L368*Alukset_fx!$B$71,IF(OR(Q368="Dry bulk",Q368="Bulk carrier"),L368*Alukset_fx!$B$69,IF(Q368="Tugboat",L368*Alukset_fx!$B$76,IF(OR(Q368="Tanker",Q368="Gas tanker",Q368="Chemical tanker",Q368="Oil tanker"),L368*Alukset_fx!$B$68,IF(OR(Q368="RoRo",Q368="Vehicle carrier"),L368*Alukset_fx!$B$72,IF(Q368="RoPax",L368*Alukset_fx!$B$73,IF(Q368="Container ship",L368*Alukset_fx!$B$70,IF(Q368="Barge",0,L368*Alukset_fx!$B$75))))))))</f>
        <v>0</v>
      </c>
      <c r="S368" s="210">
        <f>IF(L368=0,IF(Q368="Other dry cargo",Alukset_fx!$H$73*(Alukset_Käynnit_Lask!K368^Alukset_fx!$I$73),IF(OR(Q368="Dry Bulk",Q368="Bulk carrier"),Alukset_fx!$H$71*(Alukset_Käynnit_Lask!K368^Alukset_fx!$I$71),IF(Q368="Tugboat",Alukset_fx!$H$78*(Alukset_Käynnit_Lask!K368^Alukset_fx!$I$78),IF(OR(Q368="Tanker",Q368="Gas tanker",Q368="Chemical tanker",Q368="Oil tanker"),Alukset_fx!$H$70*(Alukset_Käynnit_Lask!K368^Alukset_fx!$I$70),IF(Q368="Container ship",Alukset_fx!$H$72*(Alukset_Käynnit_Lask!K368^Alukset_fx!$I$72),IF(Q368="Barge",0,IF(Q368="RoPax",Alukset_fx!$H$75*(Alukset_Käynnit_Lask!K368^Alukset_fx!$I$75),IF(OR(Q368="RoRo",Q368="Vehicle carrier"),Alukset_fx!$H$74*(Alukset_Käynnit_Lask!K368^Alukset_fx!$I$74),Alukset_fx!$H$77*(Alukset_Käynnit_Lask!K368^Alukset_fx!$I$77))))))))),"-")</f>
        <v>0</v>
      </c>
      <c r="T368" s="208">
        <f>IF(R368=0,IF(Q368="Other dry cargo",S368*Alukset_fx!$B$71,IF(OR(Q368="Dry bulk",Q368="Bulk carrier"),S368*Alukset_fx!$B$69,IF(Q368="Tugboat",S368*Alukset_fx!$B$76,IF(OR(Q368="Tanker",Q368="Gas tanker",Q368="Chemical tanker",Q368="Oil tanker"),S368*Alukset_fx!$B$68,IF(OR(Q368="RoRo",Q368="Vehicle carrier"),S368*Alukset_fx!$B$72,IF(Q368="RoPax",S368*Alukset_fx!$B$73,IF(Q368="Container ship",S368*Alukset_fx!$B$70,S368*Alukset_fx!$B$75))))))),"-")</f>
        <v>0</v>
      </c>
      <c r="U368" s="208">
        <f t="shared" si="66"/>
        <v>0</v>
      </c>
      <c r="V368" s="208">
        <f t="shared" si="67"/>
        <v>0</v>
      </c>
      <c r="W368" s="202">
        <f>Alukset_Käynnit!N375</f>
        <v>0</v>
      </c>
      <c r="X368" s="211">
        <f>IF(Q368="Other dry cargo", Alukset_fx!$C$52, IF(OR(Q368="Dry bulk",Q368="Bulk carrier"),Alukset_fx!$C$35,IF(OR(Q368="Tanker",Q368="Gas tanker",Q368="Oil tanker"),Alukset_fx!$C$57,IF(Q368="Chemical tanker",Alukset_fx!$C$56,IF(OR(Q368="Tugboat",Q368="Barge"),0,IF(Q368="Other vessel",Alukset_fx!$C$54,IF(Q368="Container ship",Alukset_fx!$C$37,IF(OR(Q368="RoPax",Q368="RoRo",Q368="Vehicle carrier"),Alukset_fx!$C$55,0))))))))</f>
        <v>0</v>
      </c>
      <c r="Y368" s="211">
        <f>IF(Q368="Other dry cargo", Alukset_fx!$Q$52, IF(OR(Q368="Dry bulk",Q368="Bulk carrier"),Alukset_fx!$Q$35,IF(OR(Q368="Tanker",Q368="Gas tanker",Q368="Oil tanker"),Alukset_fx!$Q$57,IF(Q368="Chemical tanker",Alukset_fx!$Q$56,IF(OR(Q368="Tugboat",Q368="Barge"),0,IF(Q368="Other vessel",Alukset_fx!$Q$54,IF(Q368="Container ship",Alukset_fx!$Q$37,IF(OR(Q368="RoPax",Q368="RoRo",Q368="Vehicle carrier"),Alukset_fx!$Q$55,0))))))))</f>
        <v>0</v>
      </c>
      <c r="Z368" t="str">
        <f t="shared" si="68"/>
        <v>MDO/MGO</v>
      </c>
      <c r="AA368" t="str">
        <f t="shared" si="69"/>
        <v>MSD</v>
      </c>
      <c r="AB368" t="str">
        <f t="shared" si="70"/>
        <v>MDO/MGO</v>
      </c>
      <c r="AC368" t="str">
        <f t="shared" si="71"/>
        <v>MSD</v>
      </c>
      <c r="AD368" t="str">
        <f t="shared" si="72"/>
        <v>MDO/MGO</v>
      </c>
      <c r="AE368" t="str">
        <f t="shared" si="73"/>
        <v>ST</v>
      </c>
      <c r="AG368">
        <f>Alukset_Käynnit!O375</f>
        <v>0</v>
      </c>
      <c r="AH368" s="207">
        <f>IF(AA368="SSD",((U368*Alukset_fx!$B$24)*Alukset_Käynnit_Lask!W368*(Alukset_fx!$K$49)/1000),IF(AA368="MSD",((U368*Alukset_fx!$B$24)*Alukset_Käynnit_Lask!W368*(Alukset_fx!$K$52)/1000),IF(AA368="HSD",((U368*Alukset_fx!$B$24)*Alukset_Käynnit_Lask!W368*(Alukset_fx!$K$55)/1000),0)))</f>
        <v>0</v>
      </c>
      <c r="AI368" s="207">
        <f>IF(AC368="MSD",((V368*Alukset_fx!$B$25)*Alukset_Käynnit_Lask!W368*(Alukset_fx!$L$52)/1000),IF(AC368="HSD",((V368*Alukset_fx!$B$25)*Alukset_Käynnit_Lask!W368*(Alukset_fx!$L$55)/1000),0))</f>
        <v>0</v>
      </c>
      <c r="AJ368" s="207">
        <f>X368*W368*Alukset_fx!$K$61/1000</f>
        <v>0</v>
      </c>
      <c r="AK368">
        <v>0</v>
      </c>
      <c r="AL368" s="207">
        <f>IF(AG368="Käytetty",0,IF(AC368="MSD",((V368*Alukset_fx!$O$25)*Alukset_Käynnit_Lask!O368*(Alukset_fx!$L$52)/1000),IF(AC368="HSD",((V368*Alukset_fx!$O$25)*Alukset_Käynnit_Lask!O368*(Alukset_fx!$L$55)/1000),0)))</f>
        <v>0</v>
      </c>
      <c r="AM368" s="207">
        <f>IF(AG368="Käytetty",0,Y368*O368*Alukset_fx!$K$61/1000)</f>
        <v>0</v>
      </c>
      <c r="AN368" s="213">
        <f t="shared" si="74"/>
        <v>0</v>
      </c>
    </row>
    <row r="369" spans="1:40" x14ac:dyDescent="0.25">
      <c r="A369" s="203">
        <f>Alukset_Käynnit!A376</f>
        <v>0</v>
      </c>
      <c r="B369" s="203">
        <f>Alukset_Käynnit!B376</f>
        <v>0</v>
      </c>
      <c r="C369" s="262">
        <f>Alukset_Käynnit!C376</f>
        <v>0</v>
      </c>
      <c r="D369" s="266">
        <f>Alukset_Käynnit!D376</f>
        <v>0</v>
      </c>
      <c r="E369" s="262">
        <f>Alukset_Käynnit!E376</f>
        <v>0</v>
      </c>
      <c r="F369" s="262">
        <f>Alukset_Käynnit!F376</f>
        <v>0</v>
      </c>
      <c r="G369" s="262">
        <f>Alukset_Käynnit!G376</f>
        <v>0</v>
      </c>
      <c r="H369" s="262">
        <f>Alukset_Käynnit!H376</f>
        <v>0</v>
      </c>
      <c r="I369" s="262">
        <f>Alukset_Käynnit!I376</f>
        <v>0</v>
      </c>
      <c r="J369" s="262">
        <f>Alukset_Käynnit!J376</f>
        <v>0</v>
      </c>
      <c r="K369" s="262">
        <f>Alukset_Käynnit!K376</f>
        <v>0</v>
      </c>
      <c r="L369" s="205">
        <f>Alukset_Käynnit!L376</f>
        <v>0</v>
      </c>
      <c r="N369" s="273">
        <f t="shared" si="75"/>
        <v>0</v>
      </c>
      <c r="O369" s="274">
        <f t="shared" si="76"/>
        <v>0</v>
      </c>
      <c r="Q369" s="204">
        <f t="shared" si="65"/>
        <v>0</v>
      </c>
      <c r="R369" s="202">
        <f>IF(Q369="Other dry cargo",L369*Alukset_fx!$B$71,IF(OR(Q369="Dry bulk",Q369="Bulk carrier"),L369*Alukset_fx!$B$69,IF(Q369="Tugboat",L369*Alukset_fx!$B$76,IF(OR(Q369="Tanker",Q369="Gas tanker",Q369="Chemical tanker",Q369="Oil tanker"),L369*Alukset_fx!$B$68,IF(OR(Q369="RoRo",Q369="Vehicle carrier"),L369*Alukset_fx!$B$72,IF(Q369="RoPax",L369*Alukset_fx!$B$73,IF(Q369="Container ship",L369*Alukset_fx!$B$70,IF(Q369="Barge",0,L369*Alukset_fx!$B$75))))))))</f>
        <v>0</v>
      </c>
      <c r="S369" s="210">
        <f>IF(L369=0,IF(Q369="Other dry cargo",Alukset_fx!$H$73*(Alukset_Käynnit_Lask!K369^Alukset_fx!$I$73),IF(OR(Q369="Dry Bulk",Q369="Bulk carrier"),Alukset_fx!$H$71*(Alukset_Käynnit_Lask!K369^Alukset_fx!$I$71),IF(Q369="Tugboat",Alukset_fx!$H$78*(Alukset_Käynnit_Lask!K369^Alukset_fx!$I$78),IF(OR(Q369="Tanker",Q369="Gas tanker",Q369="Chemical tanker",Q369="Oil tanker"),Alukset_fx!$H$70*(Alukset_Käynnit_Lask!K369^Alukset_fx!$I$70),IF(Q369="Container ship",Alukset_fx!$H$72*(Alukset_Käynnit_Lask!K369^Alukset_fx!$I$72),IF(Q369="Barge",0,IF(Q369="RoPax",Alukset_fx!$H$75*(Alukset_Käynnit_Lask!K369^Alukset_fx!$I$75),IF(OR(Q369="RoRo",Q369="Vehicle carrier"),Alukset_fx!$H$74*(Alukset_Käynnit_Lask!K369^Alukset_fx!$I$74),Alukset_fx!$H$77*(Alukset_Käynnit_Lask!K369^Alukset_fx!$I$77))))))))),"-")</f>
        <v>0</v>
      </c>
      <c r="T369" s="208">
        <f>IF(R369=0,IF(Q369="Other dry cargo",S369*Alukset_fx!$B$71,IF(OR(Q369="Dry bulk",Q369="Bulk carrier"),S369*Alukset_fx!$B$69,IF(Q369="Tugboat",S369*Alukset_fx!$B$76,IF(OR(Q369="Tanker",Q369="Gas tanker",Q369="Chemical tanker",Q369="Oil tanker"),S369*Alukset_fx!$B$68,IF(OR(Q369="RoRo",Q369="Vehicle carrier"),S369*Alukset_fx!$B$72,IF(Q369="RoPax",S369*Alukset_fx!$B$73,IF(Q369="Container ship",S369*Alukset_fx!$B$70,S369*Alukset_fx!$B$75))))))),"-")</f>
        <v>0</v>
      </c>
      <c r="U369" s="208">
        <f t="shared" si="66"/>
        <v>0</v>
      </c>
      <c r="V369" s="208">
        <f t="shared" si="67"/>
        <v>0</v>
      </c>
      <c r="W369" s="202">
        <f>Alukset_Käynnit!N376</f>
        <v>0</v>
      </c>
      <c r="X369" s="211">
        <f>IF(Q369="Other dry cargo", Alukset_fx!$C$52, IF(OR(Q369="Dry bulk",Q369="Bulk carrier"),Alukset_fx!$C$35,IF(OR(Q369="Tanker",Q369="Gas tanker",Q369="Oil tanker"),Alukset_fx!$C$57,IF(Q369="Chemical tanker",Alukset_fx!$C$56,IF(OR(Q369="Tugboat",Q369="Barge"),0,IF(Q369="Other vessel",Alukset_fx!$C$54,IF(Q369="Container ship",Alukset_fx!$C$37,IF(OR(Q369="RoPax",Q369="RoRo",Q369="Vehicle carrier"),Alukset_fx!$C$55,0))))))))</f>
        <v>0</v>
      </c>
      <c r="Y369" s="211">
        <f>IF(Q369="Other dry cargo", Alukset_fx!$Q$52, IF(OR(Q369="Dry bulk",Q369="Bulk carrier"),Alukset_fx!$Q$35,IF(OR(Q369="Tanker",Q369="Gas tanker",Q369="Oil tanker"),Alukset_fx!$Q$57,IF(Q369="Chemical tanker",Alukset_fx!$Q$56,IF(OR(Q369="Tugboat",Q369="Barge"),0,IF(Q369="Other vessel",Alukset_fx!$Q$54,IF(Q369="Container ship",Alukset_fx!$Q$37,IF(OR(Q369="RoPax",Q369="RoRo",Q369="Vehicle carrier"),Alukset_fx!$Q$55,0))))))))</f>
        <v>0</v>
      </c>
      <c r="Z369" t="str">
        <f t="shared" si="68"/>
        <v>MDO/MGO</v>
      </c>
      <c r="AA369" t="str">
        <f t="shared" si="69"/>
        <v>MSD</v>
      </c>
      <c r="AB369" t="str">
        <f t="shared" si="70"/>
        <v>MDO/MGO</v>
      </c>
      <c r="AC369" t="str">
        <f t="shared" si="71"/>
        <v>MSD</v>
      </c>
      <c r="AD369" t="str">
        <f t="shared" si="72"/>
        <v>MDO/MGO</v>
      </c>
      <c r="AE369" t="str">
        <f t="shared" si="73"/>
        <v>ST</v>
      </c>
      <c r="AG369">
        <f>Alukset_Käynnit!O376</f>
        <v>0</v>
      </c>
      <c r="AH369" s="207">
        <f>IF(AA369="SSD",((U369*Alukset_fx!$B$24)*Alukset_Käynnit_Lask!W369*(Alukset_fx!$K$49)/1000),IF(AA369="MSD",((U369*Alukset_fx!$B$24)*Alukset_Käynnit_Lask!W369*(Alukset_fx!$K$52)/1000),IF(AA369="HSD",((U369*Alukset_fx!$B$24)*Alukset_Käynnit_Lask!W369*(Alukset_fx!$K$55)/1000),0)))</f>
        <v>0</v>
      </c>
      <c r="AI369" s="207">
        <f>IF(AC369="MSD",((V369*Alukset_fx!$B$25)*Alukset_Käynnit_Lask!W369*(Alukset_fx!$L$52)/1000),IF(AC369="HSD",((V369*Alukset_fx!$B$25)*Alukset_Käynnit_Lask!W369*(Alukset_fx!$L$55)/1000),0))</f>
        <v>0</v>
      </c>
      <c r="AJ369" s="207">
        <f>X369*W369*Alukset_fx!$K$61/1000</f>
        <v>0</v>
      </c>
      <c r="AK369">
        <v>0</v>
      </c>
      <c r="AL369" s="207">
        <f>IF(AG369="Käytetty",0,IF(AC369="MSD",((V369*Alukset_fx!$O$25)*Alukset_Käynnit_Lask!O369*(Alukset_fx!$L$52)/1000),IF(AC369="HSD",((V369*Alukset_fx!$O$25)*Alukset_Käynnit_Lask!O369*(Alukset_fx!$L$55)/1000),0)))</f>
        <v>0</v>
      </c>
      <c r="AM369" s="207">
        <f>IF(AG369="Käytetty",0,Y369*O369*Alukset_fx!$K$61/1000)</f>
        <v>0</v>
      </c>
      <c r="AN369" s="213">
        <f t="shared" si="74"/>
        <v>0</v>
      </c>
    </row>
    <row r="370" spans="1:40" x14ac:dyDescent="0.25">
      <c r="A370" s="203">
        <f>Alukset_Käynnit!A377</f>
        <v>0</v>
      </c>
      <c r="B370" s="203">
        <f>Alukset_Käynnit!B377</f>
        <v>0</v>
      </c>
      <c r="C370" s="262">
        <f>Alukset_Käynnit!C377</f>
        <v>0</v>
      </c>
      <c r="D370" s="266">
        <f>Alukset_Käynnit!D377</f>
        <v>0</v>
      </c>
      <c r="E370" s="262">
        <f>Alukset_Käynnit!E377</f>
        <v>0</v>
      </c>
      <c r="F370" s="262">
        <f>Alukset_Käynnit!F377</f>
        <v>0</v>
      </c>
      <c r="G370" s="262">
        <f>Alukset_Käynnit!G377</f>
        <v>0</v>
      </c>
      <c r="H370" s="262">
        <f>Alukset_Käynnit!H377</f>
        <v>0</v>
      </c>
      <c r="I370" s="262">
        <f>Alukset_Käynnit!I377</f>
        <v>0</v>
      </c>
      <c r="J370" s="262">
        <f>Alukset_Käynnit!J377</f>
        <v>0</v>
      </c>
      <c r="K370" s="262">
        <f>Alukset_Käynnit!K377</f>
        <v>0</v>
      </c>
      <c r="L370" s="205">
        <f>Alukset_Käynnit!L377</f>
        <v>0</v>
      </c>
      <c r="N370" s="273">
        <f t="shared" si="75"/>
        <v>0</v>
      </c>
      <c r="O370" s="274">
        <f t="shared" si="76"/>
        <v>0</v>
      </c>
      <c r="Q370" s="204">
        <f t="shared" si="65"/>
        <v>0</v>
      </c>
      <c r="R370" s="202">
        <f>IF(Q370="Other dry cargo",L370*Alukset_fx!$B$71,IF(OR(Q370="Dry bulk",Q370="Bulk carrier"),L370*Alukset_fx!$B$69,IF(Q370="Tugboat",L370*Alukset_fx!$B$76,IF(OR(Q370="Tanker",Q370="Gas tanker",Q370="Chemical tanker",Q370="Oil tanker"),L370*Alukset_fx!$B$68,IF(OR(Q370="RoRo",Q370="Vehicle carrier"),L370*Alukset_fx!$B$72,IF(Q370="RoPax",L370*Alukset_fx!$B$73,IF(Q370="Container ship",L370*Alukset_fx!$B$70,IF(Q370="Barge",0,L370*Alukset_fx!$B$75))))))))</f>
        <v>0</v>
      </c>
      <c r="S370" s="210">
        <f>IF(L370=0,IF(Q370="Other dry cargo",Alukset_fx!$H$73*(Alukset_Käynnit_Lask!K370^Alukset_fx!$I$73),IF(OR(Q370="Dry Bulk",Q370="Bulk carrier"),Alukset_fx!$H$71*(Alukset_Käynnit_Lask!K370^Alukset_fx!$I$71),IF(Q370="Tugboat",Alukset_fx!$H$78*(Alukset_Käynnit_Lask!K370^Alukset_fx!$I$78),IF(OR(Q370="Tanker",Q370="Gas tanker",Q370="Chemical tanker",Q370="Oil tanker"),Alukset_fx!$H$70*(Alukset_Käynnit_Lask!K370^Alukset_fx!$I$70),IF(Q370="Container ship",Alukset_fx!$H$72*(Alukset_Käynnit_Lask!K370^Alukset_fx!$I$72),IF(Q370="Barge",0,IF(Q370="RoPax",Alukset_fx!$H$75*(Alukset_Käynnit_Lask!K370^Alukset_fx!$I$75),IF(OR(Q370="RoRo",Q370="Vehicle carrier"),Alukset_fx!$H$74*(Alukset_Käynnit_Lask!K370^Alukset_fx!$I$74),Alukset_fx!$H$77*(Alukset_Käynnit_Lask!K370^Alukset_fx!$I$77))))))))),"-")</f>
        <v>0</v>
      </c>
      <c r="T370" s="208">
        <f>IF(R370=0,IF(Q370="Other dry cargo",S370*Alukset_fx!$B$71,IF(OR(Q370="Dry bulk",Q370="Bulk carrier"),S370*Alukset_fx!$B$69,IF(Q370="Tugboat",S370*Alukset_fx!$B$76,IF(OR(Q370="Tanker",Q370="Gas tanker",Q370="Chemical tanker",Q370="Oil tanker"),S370*Alukset_fx!$B$68,IF(OR(Q370="RoRo",Q370="Vehicle carrier"),S370*Alukset_fx!$B$72,IF(Q370="RoPax",S370*Alukset_fx!$B$73,IF(Q370="Container ship",S370*Alukset_fx!$B$70,S370*Alukset_fx!$B$75))))))),"-")</f>
        <v>0</v>
      </c>
      <c r="U370" s="208">
        <f t="shared" si="66"/>
        <v>0</v>
      </c>
      <c r="V370" s="208">
        <f t="shared" si="67"/>
        <v>0</v>
      </c>
      <c r="W370" s="202">
        <f>Alukset_Käynnit!N377</f>
        <v>0</v>
      </c>
      <c r="X370" s="211">
        <f>IF(Q370="Other dry cargo", Alukset_fx!$C$52, IF(OR(Q370="Dry bulk",Q370="Bulk carrier"),Alukset_fx!$C$35,IF(OR(Q370="Tanker",Q370="Gas tanker",Q370="Oil tanker"),Alukset_fx!$C$57,IF(Q370="Chemical tanker",Alukset_fx!$C$56,IF(OR(Q370="Tugboat",Q370="Barge"),0,IF(Q370="Other vessel",Alukset_fx!$C$54,IF(Q370="Container ship",Alukset_fx!$C$37,IF(OR(Q370="RoPax",Q370="RoRo",Q370="Vehicle carrier"),Alukset_fx!$C$55,0))))))))</f>
        <v>0</v>
      </c>
      <c r="Y370" s="211">
        <f>IF(Q370="Other dry cargo", Alukset_fx!$Q$52, IF(OR(Q370="Dry bulk",Q370="Bulk carrier"),Alukset_fx!$Q$35,IF(OR(Q370="Tanker",Q370="Gas tanker",Q370="Oil tanker"),Alukset_fx!$Q$57,IF(Q370="Chemical tanker",Alukset_fx!$Q$56,IF(OR(Q370="Tugboat",Q370="Barge"),0,IF(Q370="Other vessel",Alukset_fx!$Q$54,IF(Q370="Container ship",Alukset_fx!$Q$37,IF(OR(Q370="RoPax",Q370="RoRo",Q370="Vehicle carrier"),Alukset_fx!$Q$55,0))))))))</f>
        <v>0</v>
      </c>
      <c r="Z370" t="str">
        <f t="shared" si="68"/>
        <v>MDO/MGO</v>
      </c>
      <c r="AA370" t="str">
        <f t="shared" si="69"/>
        <v>MSD</v>
      </c>
      <c r="AB370" t="str">
        <f t="shared" si="70"/>
        <v>MDO/MGO</v>
      </c>
      <c r="AC370" t="str">
        <f t="shared" si="71"/>
        <v>MSD</v>
      </c>
      <c r="AD370" t="str">
        <f t="shared" si="72"/>
        <v>MDO/MGO</v>
      </c>
      <c r="AE370" t="str">
        <f t="shared" si="73"/>
        <v>ST</v>
      </c>
      <c r="AG370">
        <f>Alukset_Käynnit!O377</f>
        <v>0</v>
      </c>
      <c r="AH370" s="207">
        <f>IF(AA370="SSD",((U370*Alukset_fx!$B$24)*Alukset_Käynnit_Lask!W370*(Alukset_fx!$K$49)/1000),IF(AA370="MSD",((U370*Alukset_fx!$B$24)*Alukset_Käynnit_Lask!W370*(Alukset_fx!$K$52)/1000),IF(AA370="HSD",((U370*Alukset_fx!$B$24)*Alukset_Käynnit_Lask!W370*(Alukset_fx!$K$55)/1000),0)))</f>
        <v>0</v>
      </c>
      <c r="AI370" s="207">
        <f>IF(AC370="MSD",((V370*Alukset_fx!$B$25)*Alukset_Käynnit_Lask!W370*(Alukset_fx!$L$52)/1000),IF(AC370="HSD",((V370*Alukset_fx!$B$25)*Alukset_Käynnit_Lask!W370*(Alukset_fx!$L$55)/1000),0))</f>
        <v>0</v>
      </c>
      <c r="AJ370" s="207">
        <f>X370*W370*Alukset_fx!$K$61/1000</f>
        <v>0</v>
      </c>
      <c r="AK370">
        <v>0</v>
      </c>
      <c r="AL370" s="207">
        <f>IF(AG370="Käytetty",0,IF(AC370="MSD",((V370*Alukset_fx!$O$25)*Alukset_Käynnit_Lask!O370*(Alukset_fx!$L$52)/1000),IF(AC370="HSD",((V370*Alukset_fx!$O$25)*Alukset_Käynnit_Lask!O370*(Alukset_fx!$L$55)/1000),0)))</f>
        <v>0</v>
      </c>
      <c r="AM370" s="207">
        <f>IF(AG370="Käytetty",0,Y370*O370*Alukset_fx!$K$61/1000)</f>
        <v>0</v>
      </c>
      <c r="AN370" s="213">
        <f t="shared" si="74"/>
        <v>0</v>
      </c>
    </row>
    <row r="371" spans="1:40" x14ac:dyDescent="0.25">
      <c r="A371" s="203">
        <f>Alukset_Käynnit!A378</f>
        <v>0</v>
      </c>
      <c r="B371" s="203">
        <f>Alukset_Käynnit!B378</f>
        <v>0</v>
      </c>
      <c r="C371" s="262">
        <f>Alukset_Käynnit!C378</f>
        <v>0</v>
      </c>
      <c r="D371" s="266">
        <f>Alukset_Käynnit!D378</f>
        <v>0</v>
      </c>
      <c r="E371" s="262">
        <f>Alukset_Käynnit!E378</f>
        <v>0</v>
      </c>
      <c r="F371" s="262">
        <f>Alukset_Käynnit!F378</f>
        <v>0</v>
      </c>
      <c r="G371" s="262">
        <f>Alukset_Käynnit!G378</f>
        <v>0</v>
      </c>
      <c r="H371" s="262">
        <f>Alukset_Käynnit!H378</f>
        <v>0</v>
      </c>
      <c r="I371" s="262">
        <f>Alukset_Käynnit!I378</f>
        <v>0</v>
      </c>
      <c r="J371" s="262">
        <f>Alukset_Käynnit!J378</f>
        <v>0</v>
      </c>
      <c r="K371" s="262">
        <f>Alukset_Käynnit!K378</f>
        <v>0</v>
      </c>
      <c r="L371" s="205">
        <f>Alukset_Käynnit!L378</f>
        <v>0</v>
      </c>
      <c r="N371" s="273">
        <f t="shared" si="75"/>
        <v>0</v>
      </c>
      <c r="O371" s="274">
        <f t="shared" si="76"/>
        <v>0</v>
      </c>
      <c r="Q371" s="204">
        <f t="shared" si="65"/>
        <v>0</v>
      </c>
      <c r="R371" s="202">
        <f>IF(Q371="Other dry cargo",L371*Alukset_fx!$B$71,IF(OR(Q371="Dry bulk",Q371="Bulk carrier"),L371*Alukset_fx!$B$69,IF(Q371="Tugboat",L371*Alukset_fx!$B$76,IF(OR(Q371="Tanker",Q371="Gas tanker",Q371="Chemical tanker",Q371="Oil tanker"),L371*Alukset_fx!$B$68,IF(OR(Q371="RoRo",Q371="Vehicle carrier"),L371*Alukset_fx!$B$72,IF(Q371="RoPax",L371*Alukset_fx!$B$73,IF(Q371="Container ship",L371*Alukset_fx!$B$70,IF(Q371="Barge",0,L371*Alukset_fx!$B$75))))))))</f>
        <v>0</v>
      </c>
      <c r="S371" s="210">
        <f>IF(L371=0,IF(Q371="Other dry cargo",Alukset_fx!$H$73*(Alukset_Käynnit_Lask!K371^Alukset_fx!$I$73),IF(OR(Q371="Dry Bulk",Q371="Bulk carrier"),Alukset_fx!$H$71*(Alukset_Käynnit_Lask!K371^Alukset_fx!$I$71),IF(Q371="Tugboat",Alukset_fx!$H$78*(Alukset_Käynnit_Lask!K371^Alukset_fx!$I$78),IF(OR(Q371="Tanker",Q371="Gas tanker",Q371="Chemical tanker",Q371="Oil tanker"),Alukset_fx!$H$70*(Alukset_Käynnit_Lask!K371^Alukset_fx!$I$70),IF(Q371="Container ship",Alukset_fx!$H$72*(Alukset_Käynnit_Lask!K371^Alukset_fx!$I$72),IF(Q371="Barge",0,IF(Q371="RoPax",Alukset_fx!$H$75*(Alukset_Käynnit_Lask!K371^Alukset_fx!$I$75),IF(OR(Q371="RoRo",Q371="Vehicle carrier"),Alukset_fx!$H$74*(Alukset_Käynnit_Lask!K371^Alukset_fx!$I$74),Alukset_fx!$H$77*(Alukset_Käynnit_Lask!K371^Alukset_fx!$I$77))))))))),"-")</f>
        <v>0</v>
      </c>
      <c r="T371" s="208">
        <f>IF(R371=0,IF(Q371="Other dry cargo",S371*Alukset_fx!$B$71,IF(OR(Q371="Dry bulk",Q371="Bulk carrier"),S371*Alukset_fx!$B$69,IF(Q371="Tugboat",S371*Alukset_fx!$B$76,IF(OR(Q371="Tanker",Q371="Gas tanker",Q371="Chemical tanker",Q371="Oil tanker"),S371*Alukset_fx!$B$68,IF(OR(Q371="RoRo",Q371="Vehicle carrier"),S371*Alukset_fx!$B$72,IF(Q371="RoPax",S371*Alukset_fx!$B$73,IF(Q371="Container ship",S371*Alukset_fx!$B$70,S371*Alukset_fx!$B$75))))))),"-")</f>
        <v>0</v>
      </c>
      <c r="U371" s="208">
        <f t="shared" si="66"/>
        <v>0</v>
      </c>
      <c r="V371" s="208">
        <f t="shared" si="67"/>
        <v>0</v>
      </c>
      <c r="W371" s="202">
        <f>Alukset_Käynnit!N378</f>
        <v>0</v>
      </c>
      <c r="X371" s="211">
        <f>IF(Q371="Other dry cargo", Alukset_fx!$C$52, IF(OR(Q371="Dry bulk",Q371="Bulk carrier"),Alukset_fx!$C$35,IF(OR(Q371="Tanker",Q371="Gas tanker",Q371="Oil tanker"),Alukset_fx!$C$57,IF(Q371="Chemical tanker",Alukset_fx!$C$56,IF(OR(Q371="Tugboat",Q371="Barge"),0,IF(Q371="Other vessel",Alukset_fx!$C$54,IF(Q371="Container ship",Alukset_fx!$C$37,IF(OR(Q371="RoPax",Q371="RoRo",Q371="Vehicle carrier"),Alukset_fx!$C$55,0))))))))</f>
        <v>0</v>
      </c>
      <c r="Y371" s="211">
        <f>IF(Q371="Other dry cargo", Alukset_fx!$Q$52, IF(OR(Q371="Dry bulk",Q371="Bulk carrier"),Alukset_fx!$Q$35,IF(OR(Q371="Tanker",Q371="Gas tanker",Q371="Oil tanker"),Alukset_fx!$Q$57,IF(Q371="Chemical tanker",Alukset_fx!$Q$56,IF(OR(Q371="Tugboat",Q371="Barge"),0,IF(Q371="Other vessel",Alukset_fx!$Q$54,IF(Q371="Container ship",Alukset_fx!$Q$37,IF(OR(Q371="RoPax",Q371="RoRo",Q371="Vehicle carrier"),Alukset_fx!$Q$55,0))))))))</f>
        <v>0</v>
      </c>
      <c r="Z371" t="str">
        <f t="shared" si="68"/>
        <v>MDO/MGO</v>
      </c>
      <c r="AA371" t="str">
        <f t="shared" si="69"/>
        <v>MSD</v>
      </c>
      <c r="AB371" t="str">
        <f t="shared" si="70"/>
        <v>MDO/MGO</v>
      </c>
      <c r="AC371" t="str">
        <f t="shared" si="71"/>
        <v>MSD</v>
      </c>
      <c r="AD371" t="str">
        <f t="shared" si="72"/>
        <v>MDO/MGO</v>
      </c>
      <c r="AE371" t="str">
        <f t="shared" si="73"/>
        <v>ST</v>
      </c>
      <c r="AG371">
        <f>Alukset_Käynnit!O378</f>
        <v>0</v>
      </c>
      <c r="AH371" s="207">
        <f>IF(AA371="SSD",((U371*Alukset_fx!$B$24)*Alukset_Käynnit_Lask!W371*(Alukset_fx!$K$49)/1000),IF(AA371="MSD",((U371*Alukset_fx!$B$24)*Alukset_Käynnit_Lask!W371*(Alukset_fx!$K$52)/1000),IF(AA371="HSD",((U371*Alukset_fx!$B$24)*Alukset_Käynnit_Lask!W371*(Alukset_fx!$K$55)/1000),0)))</f>
        <v>0</v>
      </c>
      <c r="AI371" s="207">
        <f>IF(AC371="MSD",((V371*Alukset_fx!$B$25)*Alukset_Käynnit_Lask!W371*(Alukset_fx!$L$52)/1000),IF(AC371="HSD",((V371*Alukset_fx!$B$25)*Alukset_Käynnit_Lask!W371*(Alukset_fx!$L$55)/1000),0))</f>
        <v>0</v>
      </c>
      <c r="AJ371" s="207">
        <f>X371*W371*Alukset_fx!$K$61/1000</f>
        <v>0</v>
      </c>
      <c r="AK371">
        <v>0</v>
      </c>
      <c r="AL371" s="207">
        <f>IF(AG371="Käytetty",0,IF(AC371="MSD",((V371*Alukset_fx!$O$25)*Alukset_Käynnit_Lask!O371*(Alukset_fx!$L$52)/1000),IF(AC371="HSD",((V371*Alukset_fx!$O$25)*Alukset_Käynnit_Lask!O371*(Alukset_fx!$L$55)/1000),0)))</f>
        <v>0</v>
      </c>
      <c r="AM371" s="207">
        <f>IF(AG371="Käytetty",0,Y371*O371*Alukset_fx!$K$61/1000)</f>
        <v>0</v>
      </c>
      <c r="AN371" s="213">
        <f t="shared" si="74"/>
        <v>0</v>
      </c>
    </row>
    <row r="372" spans="1:40" x14ac:dyDescent="0.25">
      <c r="A372" s="203">
        <f>Alukset_Käynnit!A379</f>
        <v>0</v>
      </c>
      <c r="B372" s="203">
        <f>Alukset_Käynnit!B379</f>
        <v>0</v>
      </c>
      <c r="C372" s="262">
        <f>Alukset_Käynnit!C379</f>
        <v>0</v>
      </c>
      <c r="D372" s="266">
        <f>Alukset_Käynnit!D379</f>
        <v>0</v>
      </c>
      <c r="E372" s="262">
        <f>Alukset_Käynnit!E379</f>
        <v>0</v>
      </c>
      <c r="F372" s="262">
        <f>Alukset_Käynnit!F379</f>
        <v>0</v>
      </c>
      <c r="G372" s="262">
        <f>Alukset_Käynnit!G379</f>
        <v>0</v>
      </c>
      <c r="H372" s="262">
        <f>Alukset_Käynnit!H379</f>
        <v>0</v>
      </c>
      <c r="I372" s="262">
        <f>Alukset_Käynnit!I379</f>
        <v>0</v>
      </c>
      <c r="J372" s="262">
        <f>Alukset_Käynnit!J379</f>
        <v>0</v>
      </c>
      <c r="K372" s="262">
        <f>Alukset_Käynnit!K379</f>
        <v>0</v>
      </c>
      <c r="L372" s="205">
        <f>Alukset_Käynnit!L379</f>
        <v>0</v>
      </c>
      <c r="N372" s="273">
        <f t="shared" si="75"/>
        <v>0</v>
      </c>
      <c r="O372" s="274">
        <f t="shared" si="76"/>
        <v>0</v>
      </c>
      <c r="Q372" s="204">
        <f t="shared" si="65"/>
        <v>0</v>
      </c>
      <c r="R372" s="202">
        <f>IF(Q372="Other dry cargo",L372*Alukset_fx!$B$71,IF(OR(Q372="Dry bulk",Q372="Bulk carrier"),L372*Alukset_fx!$B$69,IF(Q372="Tugboat",L372*Alukset_fx!$B$76,IF(OR(Q372="Tanker",Q372="Gas tanker",Q372="Chemical tanker",Q372="Oil tanker"),L372*Alukset_fx!$B$68,IF(OR(Q372="RoRo",Q372="Vehicle carrier"),L372*Alukset_fx!$B$72,IF(Q372="RoPax",L372*Alukset_fx!$B$73,IF(Q372="Container ship",L372*Alukset_fx!$B$70,IF(Q372="Barge",0,L372*Alukset_fx!$B$75))))))))</f>
        <v>0</v>
      </c>
      <c r="S372" s="210">
        <f>IF(L372=0,IF(Q372="Other dry cargo",Alukset_fx!$H$73*(Alukset_Käynnit_Lask!K372^Alukset_fx!$I$73),IF(OR(Q372="Dry Bulk",Q372="Bulk carrier"),Alukset_fx!$H$71*(Alukset_Käynnit_Lask!K372^Alukset_fx!$I$71),IF(Q372="Tugboat",Alukset_fx!$H$78*(Alukset_Käynnit_Lask!K372^Alukset_fx!$I$78),IF(OR(Q372="Tanker",Q372="Gas tanker",Q372="Chemical tanker",Q372="Oil tanker"),Alukset_fx!$H$70*(Alukset_Käynnit_Lask!K372^Alukset_fx!$I$70),IF(Q372="Container ship",Alukset_fx!$H$72*(Alukset_Käynnit_Lask!K372^Alukset_fx!$I$72),IF(Q372="Barge",0,IF(Q372="RoPax",Alukset_fx!$H$75*(Alukset_Käynnit_Lask!K372^Alukset_fx!$I$75),IF(OR(Q372="RoRo",Q372="Vehicle carrier"),Alukset_fx!$H$74*(Alukset_Käynnit_Lask!K372^Alukset_fx!$I$74),Alukset_fx!$H$77*(Alukset_Käynnit_Lask!K372^Alukset_fx!$I$77))))))))),"-")</f>
        <v>0</v>
      </c>
      <c r="T372" s="208">
        <f>IF(R372=0,IF(Q372="Other dry cargo",S372*Alukset_fx!$B$71,IF(OR(Q372="Dry bulk",Q372="Bulk carrier"),S372*Alukset_fx!$B$69,IF(Q372="Tugboat",S372*Alukset_fx!$B$76,IF(OR(Q372="Tanker",Q372="Gas tanker",Q372="Chemical tanker",Q372="Oil tanker"),S372*Alukset_fx!$B$68,IF(OR(Q372="RoRo",Q372="Vehicle carrier"),S372*Alukset_fx!$B$72,IF(Q372="RoPax",S372*Alukset_fx!$B$73,IF(Q372="Container ship",S372*Alukset_fx!$B$70,S372*Alukset_fx!$B$75))))))),"-")</f>
        <v>0</v>
      </c>
      <c r="U372" s="208">
        <f t="shared" si="66"/>
        <v>0</v>
      </c>
      <c r="V372" s="208">
        <f t="shared" si="67"/>
        <v>0</v>
      </c>
      <c r="W372" s="202">
        <f>Alukset_Käynnit!N379</f>
        <v>0</v>
      </c>
      <c r="X372" s="211">
        <f>IF(Q372="Other dry cargo", Alukset_fx!$C$52, IF(OR(Q372="Dry bulk",Q372="Bulk carrier"),Alukset_fx!$C$35,IF(OR(Q372="Tanker",Q372="Gas tanker",Q372="Oil tanker"),Alukset_fx!$C$57,IF(Q372="Chemical tanker",Alukset_fx!$C$56,IF(OR(Q372="Tugboat",Q372="Barge"),0,IF(Q372="Other vessel",Alukset_fx!$C$54,IF(Q372="Container ship",Alukset_fx!$C$37,IF(OR(Q372="RoPax",Q372="RoRo",Q372="Vehicle carrier"),Alukset_fx!$C$55,0))))))))</f>
        <v>0</v>
      </c>
      <c r="Y372" s="211">
        <f>IF(Q372="Other dry cargo", Alukset_fx!$Q$52, IF(OR(Q372="Dry bulk",Q372="Bulk carrier"),Alukset_fx!$Q$35,IF(OR(Q372="Tanker",Q372="Gas tanker",Q372="Oil tanker"),Alukset_fx!$Q$57,IF(Q372="Chemical tanker",Alukset_fx!$Q$56,IF(OR(Q372="Tugboat",Q372="Barge"),0,IF(Q372="Other vessel",Alukset_fx!$Q$54,IF(Q372="Container ship",Alukset_fx!$Q$37,IF(OR(Q372="RoPax",Q372="RoRo",Q372="Vehicle carrier"),Alukset_fx!$Q$55,0))))))))</f>
        <v>0</v>
      </c>
      <c r="Z372" t="str">
        <f t="shared" si="68"/>
        <v>MDO/MGO</v>
      </c>
      <c r="AA372" t="str">
        <f t="shared" si="69"/>
        <v>MSD</v>
      </c>
      <c r="AB372" t="str">
        <f t="shared" si="70"/>
        <v>MDO/MGO</v>
      </c>
      <c r="AC372" t="str">
        <f t="shared" si="71"/>
        <v>MSD</v>
      </c>
      <c r="AD372" t="str">
        <f t="shared" si="72"/>
        <v>MDO/MGO</v>
      </c>
      <c r="AE372" t="str">
        <f t="shared" si="73"/>
        <v>ST</v>
      </c>
      <c r="AG372">
        <f>Alukset_Käynnit!O379</f>
        <v>0</v>
      </c>
      <c r="AH372" s="207">
        <f>IF(AA372="SSD",((U372*Alukset_fx!$B$24)*Alukset_Käynnit_Lask!W372*(Alukset_fx!$K$49)/1000),IF(AA372="MSD",((U372*Alukset_fx!$B$24)*Alukset_Käynnit_Lask!W372*(Alukset_fx!$K$52)/1000),IF(AA372="HSD",((U372*Alukset_fx!$B$24)*Alukset_Käynnit_Lask!W372*(Alukset_fx!$K$55)/1000),0)))</f>
        <v>0</v>
      </c>
      <c r="AI372" s="207">
        <f>IF(AC372="MSD",((V372*Alukset_fx!$B$25)*Alukset_Käynnit_Lask!W372*(Alukset_fx!$L$52)/1000),IF(AC372="HSD",((V372*Alukset_fx!$B$25)*Alukset_Käynnit_Lask!W372*(Alukset_fx!$L$55)/1000),0))</f>
        <v>0</v>
      </c>
      <c r="AJ372" s="207">
        <f>X372*W372*Alukset_fx!$K$61/1000</f>
        <v>0</v>
      </c>
      <c r="AK372">
        <v>0</v>
      </c>
      <c r="AL372" s="207">
        <f>IF(AG372="Käytetty",0,IF(AC372="MSD",((V372*Alukset_fx!$O$25)*Alukset_Käynnit_Lask!O372*(Alukset_fx!$L$52)/1000),IF(AC372="HSD",((V372*Alukset_fx!$O$25)*Alukset_Käynnit_Lask!O372*(Alukset_fx!$L$55)/1000),0)))</f>
        <v>0</v>
      </c>
      <c r="AM372" s="207">
        <f>IF(AG372="Käytetty",0,Y372*O372*Alukset_fx!$K$61/1000)</f>
        <v>0</v>
      </c>
      <c r="AN372" s="213">
        <f t="shared" si="74"/>
        <v>0</v>
      </c>
    </row>
    <row r="373" spans="1:40" x14ac:dyDescent="0.25">
      <c r="A373" s="203">
        <f>Alukset_Käynnit!A380</f>
        <v>0</v>
      </c>
      <c r="B373" s="203">
        <f>Alukset_Käynnit!B380</f>
        <v>0</v>
      </c>
      <c r="C373" s="262">
        <f>Alukset_Käynnit!C380</f>
        <v>0</v>
      </c>
      <c r="D373" s="266">
        <f>Alukset_Käynnit!D380</f>
        <v>0</v>
      </c>
      <c r="E373" s="262">
        <f>Alukset_Käynnit!E380</f>
        <v>0</v>
      </c>
      <c r="F373" s="262">
        <f>Alukset_Käynnit!F380</f>
        <v>0</v>
      </c>
      <c r="G373" s="262">
        <f>Alukset_Käynnit!G380</f>
        <v>0</v>
      </c>
      <c r="H373" s="262">
        <f>Alukset_Käynnit!H380</f>
        <v>0</v>
      </c>
      <c r="I373" s="262">
        <f>Alukset_Käynnit!I380</f>
        <v>0</v>
      </c>
      <c r="J373" s="262">
        <f>Alukset_Käynnit!J380</f>
        <v>0</v>
      </c>
      <c r="K373" s="262">
        <f>Alukset_Käynnit!K380</f>
        <v>0</v>
      </c>
      <c r="L373" s="205">
        <f>Alukset_Käynnit!L380</f>
        <v>0</v>
      </c>
      <c r="N373" s="273">
        <f t="shared" si="75"/>
        <v>0</v>
      </c>
      <c r="O373" s="274">
        <f t="shared" si="76"/>
        <v>0</v>
      </c>
      <c r="Q373" s="204">
        <f t="shared" si="65"/>
        <v>0</v>
      </c>
      <c r="R373" s="202">
        <f>IF(Q373="Other dry cargo",L373*Alukset_fx!$B$71,IF(OR(Q373="Dry bulk",Q373="Bulk carrier"),L373*Alukset_fx!$B$69,IF(Q373="Tugboat",L373*Alukset_fx!$B$76,IF(OR(Q373="Tanker",Q373="Gas tanker",Q373="Chemical tanker",Q373="Oil tanker"),L373*Alukset_fx!$B$68,IF(OR(Q373="RoRo",Q373="Vehicle carrier"),L373*Alukset_fx!$B$72,IF(Q373="RoPax",L373*Alukset_fx!$B$73,IF(Q373="Container ship",L373*Alukset_fx!$B$70,IF(Q373="Barge",0,L373*Alukset_fx!$B$75))))))))</f>
        <v>0</v>
      </c>
      <c r="S373" s="210">
        <f>IF(L373=0,IF(Q373="Other dry cargo",Alukset_fx!$H$73*(Alukset_Käynnit_Lask!K373^Alukset_fx!$I$73),IF(OR(Q373="Dry Bulk",Q373="Bulk carrier"),Alukset_fx!$H$71*(Alukset_Käynnit_Lask!K373^Alukset_fx!$I$71),IF(Q373="Tugboat",Alukset_fx!$H$78*(Alukset_Käynnit_Lask!K373^Alukset_fx!$I$78),IF(OR(Q373="Tanker",Q373="Gas tanker",Q373="Chemical tanker",Q373="Oil tanker"),Alukset_fx!$H$70*(Alukset_Käynnit_Lask!K373^Alukset_fx!$I$70),IF(Q373="Container ship",Alukset_fx!$H$72*(Alukset_Käynnit_Lask!K373^Alukset_fx!$I$72),IF(Q373="Barge",0,IF(Q373="RoPax",Alukset_fx!$H$75*(Alukset_Käynnit_Lask!K373^Alukset_fx!$I$75),IF(OR(Q373="RoRo",Q373="Vehicle carrier"),Alukset_fx!$H$74*(Alukset_Käynnit_Lask!K373^Alukset_fx!$I$74),Alukset_fx!$H$77*(Alukset_Käynnit_Lask!K373^Alukset_fx!$I$77))))))))),"-")</f>
        <v>0</v>
      </c>
      <c r="T373" s="208">
        <f>IF(R373=0,IF(Q373="Other dry cargo",S373*Alukset_fx!$B$71,IF(OR(Q373="Dry bulk",Q373="Bulk carrier"),S373*Alukset_fx!$B$69,IF(Q373="Tugboat",S373*Alukset_fx!$B$76,IF(OR(Q373="Tanker",Q373="Gas tanker",Q373="Chemical tanker",Q373="Oil tanker"),S373*Alukset_fx!$B$68,IF(OR(Q373="RoRo",Q373="Vehicle carrier"),S373*Alukset_fx!$B$72,IF(Q373="RoPax",S373*Alukset_fx!$B$73,IF(Q373="Container ship",S373*Alukset_fx!$B$70,S373*Alukset_fx!$B$75))))))),"-")</f>
        <v>0</v>
      </c>
      <c r="U373" s="208">
        <f t="shared" si="66"/>
        <v>0</v>
      </c>
      <c r="V373" s="208">
        <f t="shared" si="67"/>
        <v>0</v>
      </c>
      <c r="W373" s="202">
        <f>Alukset_Käynnit!N380</f>
        <v>0</v>
      </c>
      <c r="X373" s="211">
        <f>IF(Q373="Other dry cargo", Alukset_fx!$C$52, IF(OR(Q373="Dry bulk",Q373="Bulk carrier"),Alukset_fx!$C$35,IF(OR(Q373="Tanker",Q373="Gas tanker",Q373="Oil tanker"),Alukset_fx!$C$57,IF(Q373="Chemical tanker",Alukset_fx!$C$56,IF(OR(Q373="Tugboat",Q373="Barge"),0,IF(Q373="Other vessel",Alukset_fx!$C$54,IF(Q373="Container ship",Alukset_fx!$C$37,IF(OR(Q373="RoPax",Q373="RoRo",Q373="Vehicle carrier"),Alukset_fx!$C$55,0))))))))</f>
        <v>0</v>
      </c>
      <c r="Y373" s="211">
        <f>IF(Q373="Other dry cargo", Alukset_fx!$Q$52, IF(OR(Q373="Dry bulk",Q373="Bulk carrier"),Alukset_fx!$Q$35,IF(OR(Q373="Tanker",Q373="Gas tanker",Q373="Oil tanker"),Alukset_fx!$Q$57,IF(Q373="Chemical tanker",Alukset_fx!$Q$56,IF(OR(Q373="Tugboat",Q373="Barge"),0,IF(Q373="Other vessel",Alukset_fx!$Q$54,IF(Q373="Container ship",Alukset_fx!$Q$37,IF(OR(Q373="RoPax",Q373="RoRo",Q373="Vehicle carrier"),Alukset_fx!$Q$55,0))))))))</f>
        <v>0</v>
      </c>
      <c r="Z373" t="str">
        <f t="shared" si="68"/>
        <v>MDO/MGO</v>
      </c>
      <c r="AA373" t="str">
        <f t="shared" si="69"/>
        <v>MSD</v>
      </c>
      <c r="AB373" t="str">
        <f t="shared" si="70"/>
        <v>MDO/MGO</v>
      </c>
      <c r="AC373" t="str">
        <f t="shared" si="71"/>
        <v>MSD</v>
      </c>
      <c r="AD373" t="str">
        <f t="shared" si="72"/>
        <v>MDO/MGO</v>
      </c>
      <c r="AE373" t="str">
        <f t="shared" si="73"/>
        <v>ST</v>
      </c>
      <c r="AG373">
        <f>Alukset_Käynnit!O380</f>
        <v>0</v>
      </c>
      <c r="AH373" s="207">
        <f>IF(AA373="SSD",((U373*Alukset_fx!$B$24)*Alukset_Käynnit_Lask!W373*(Alukset_fx!$K$49)/1000),IF(AA373="MSD",((U373*Alukset_fx!$B$24)*Alukset_Käynnit_Lask!W373*(Alukset_fx!$K$52)/1000),IF(AA373="HSD",((U373*Alukset_fx!$B$24)*Alukset_Käynnit_Lask!W373*(Alukset_fx!$K$55)/1000),0)))</f>
        <v>0</v>
      </c>
      <c r="AI373" s="207">
        <f>IF(AC373="MSD",((V373*Alukset_fx!$B$25)*Alukset_Käynnit_Lask!W373*(Alukset_fx!$L$52)/1000),IF(AC373="HSD",((V373*Alukset_fx!$B$25)*Alukset_Käynnit_Lask!W373*(Alukset_fx!$L$55)/1000),0))</f>
        <v>0</v>
      </c>
      <c r="AJ373" s="207">
        <f>X373*W373*Alukset_fx!$K$61/1000</f>
        <v>0</v>
      </c>
      <c r="AK373">
        <v>0</v>
      </c>
      <c r="AL373" s="207">
        <f>IF(AG373="Käytetty",0,IF(AC373="MSD",((V373*Alukset_fx!$O$25)*Alukset_Käynnit_Lask!O373*(Alukset_fx!$L$52)/1000),IF(AC373="HSD",((V373*Alukset_fx!$O$25)*Alukset_Käynnit_Lask!O373*(Alukset_fx!$L$55)/1000),0)))</f>
        <v>0</v>
      </c>
      <c r="AM373" s="207">
        <f>IF(AG373="Käytetty",0,Y373*O373*Alukset_fx!$K$61/1000)</f>
        <v>0</v>
      </c>
      <c r="AN373" s="213">
        <f t="shared" si="74"/>
        <v>0</v>
      </c>
    </row>
    <row r="374" spans="1:40" x14ac:dyDescent="0.25">
      <c r="A374" s="203">
        <f>Alukset_Käynnit!A381</f>
        <v>0</v>
      </c>
      <c r="B374" s="203">
        <f>Alukset_Käynnit!B381</f>
        <v>0</v>
      </c>
      <c r="C374" s="262">
        <f>Alukset_Käynnit!C381</f>
        <v>0</v>
      </c>
      <c r="D374" s="266">
        <f>Alukset_Käynnit!D381</f>
        <v>0</v>
      </c>
      <c r="E374" s="262">
        <f>Alukset_Käynnit!E381</f>
        <v>0</v>
      </c>
      <c r="F374" s="262">
        <f>Alukset_Käynnit!F381</f>
        <v>0</v>
      </c>
      <c r="G374" s="262">
        <f>Alukset_Käynnit!G381</f>
        <v>0</v>
      </c>
      <c r="H374" s="262">
        <f>Alukset_Käynnit!H381</f>
        <v>0</v>
      </c>
      <c r="I374" s="262">
        <f>Alukset_Käynnit!I381</f>
        <v>0</v>
      </c>
      <c r="J374" s="262">
        <f>Alukset_Käynnit!J381</f>
        <v>0</v>
      </c>
      <c r="K374" s="262">
        <f>Alukset_Käynnit!K381</f>
        <v>0</v>
      </c>
      <c r="L374" s="205">
        <f>Alukset_Käynnit!L381</f>
        <v>0</v>
      </c>
      <c r="N374" s="273">
        <f t="shared" si="75"/>
        <v>0</v>
      </c>
      <c r="O374" s="274">
        <f t="shared" si="76"/>
        <v>0</v>
      </c>
      <c r="Q374" s="204">
        <f t="shared" si="65"/>
        <v>0</v>
      </c>
      <c r="R374" s="202">
        <f>IF(Q374="Other dry cargo",L374*Alukset_fx!$B$71,IF(OR(Q374="Dry bulk",Q374="Bulk carrier"),L374*Alukset_fx!$B$69,IF(Q374="Tugboat",L374*Alukset_fx!$B$76,IF(OR(Q374="Tanker",Q374="Gas tanker",Q374="Chemical tanker",Q374="Oil tanker"),L374*Alukset_fx!$B$68,IF(OR(Q374="RoRo",Q374="Vehicle carrier"),L374*Alukset_fx!$B$72,IF(Q374="RoPax",L374*Alukset_fx!$B$73,IF(Q374="Container ship",L374*Alukset_fx!$B$70,IF(Q374="Barge",0,L374*Alukset_fx!$B$75))))))))</f>
        <v>0</v>
      </c>
      <c r="S374" s="210">
        <f>IF(L374=0,IF(Q374="Other dry cargo",Alukset_fx!$H$73*(Alukset_Käynnit_Lask!K374^Alukset_fx!$I$73),IF(OR(Q374="Dry Bulk",Q374="Bulk carrier"),Alukset_fx!$H$71*(Alukset_Käynnit_Lask!K374^Alukset_fx!$I$71),IF(Q374="Tugboat",Alukset_fx!$H$78*(Alukset_Käynnit_Lask!K374^Alukset_fx!$I$78),IF(OR(Q374="Tanker",Q374="Gas tanker",Q374="Chemical tanker",Q374="Oil tanker"),Alukset_fx!$H$70*(Alukset_Käynnit_Lask!K374^Alukset_fx!$I$70),IF(Q374="Container ship",Alukset_fx!$H$72*(Alukset_Käynnit_Lask!K374^Alukset_fx!$I$72),IF(Q374="Barge",0,IF(Q374="RoPax",Alukset_fx!$H$75*(Alukset_Käynnit_Lask!K374^Alukset_fx!$I$75),IF(OR(Q374="RoRo",Q374="Vehicle carrier"),Alukset_fx!$H$74*(Alukset_Käynnit_Lask!K374^Alukset_fx!$I$74),Alukset_fx!$H$77*(Alukset_Käynnit_Lask!K374^Alukset_fx!$I$77))))))))),"-")</f>
        <v>0</v>
      </c>
      <c r="T374" s="208">
        <f>IF(R374=0,IF(Q374="Other dry cargo",S374*Alukset_fx!$B$71,IF(OR(Q374="Dry bulk",Q374="Bulk carrier"),S374*Alukset_fx!$B$69,IF(Q374="Tugboat",S374*Alukset_fx!$B$76,IF(OR(Q374="Tanker",Q374="Gas tanker",Q374="Chemical tanker",Q374="Oil tanker"),S374*Alukset_fx!$B$68,IF(OR(Q374="RoRo",Q374="Vehicle carrier"),S374*Alukset_fx!$B$72,IF(Q374="RoPax",S374*Alukset_fx!$B$73,IF(Q374="Container ship",S374*Alukset_fx!$B$70,S374*Alukset_fx!$B$75))))))),"-")</f>
        <v>0</v>
      </c>
      <c r="U374" s="208">
        <f t="shared" si="66"/>
        <v>0</v>
      </c>
      <c r="V374" s="208">
        <f t="shared" si="67"/>
        <v>0</v>
      </c>
      <c r="W374" s="202">
        <f>Alukset_Käynnit!N381</f>
        <v>0</v>
      </c>
      <c r="X374" s="211">
        <f>IF(Q374="Other dry cargo", Alukset_fx!$C$52, IF(OR(Q374="Dry bulk",Q374="Bulk carrier"),Alukset_fx!$C$35,IF(OR(Q374="Tanker",Q374="Gas tanker",Q374="Oil tanker"),Alukset_fx!$C$57,IF(Q374="Chemical tanker",Alukset_fx!$C$56,IF(OR(Q374="Tugboat",Q374="Barge"),0,IF(Q374="Other vessel",Alukset_fx!$C$54,IF(Q374="Container ship",Alukset_fx!$C$37,IF(OR(Q374="RoPax",Q374="RoRo",Q374="Vehicle carrier"),Alukset_fx!$C$55,0))))))))</f>
        <v>0</v>
      </c>
      <c r="Y374" s="211">
        <f>IF(Q374="Other dry cargo", Alukset_fx!$Q$52, IF(OR(Q374="Dry bulk",Q374="Bulk carrier"),Alukset_fx!$Q$35,IF(OR(Q374="Tanker",Q374="Gas tanker",Q374="Oil tanker"),Alukset_fx!$Q$57,IF(Q374="Chemical tanker",Alukset_fx!$Q$56,IF(OR(Q374="Tugboat",Q374="Barge"),0,IF(Q374="Other vessel",Alukset_fx!$Q$54,IF(Q374="Container ship",Alukset_fx!$Q$37,IF(OR(Q374="RoPax",Q374="RoRo",Q374="Vehicle carrier"),Alukset_fx!$Q$55,0))))))))</f>
        <v>0</v>
      </c>
      <c r="Z374" t="str">
        <f t="shared" si="68"/>
        <v>MDO/MGO</v>
      </c>
      <c r="AA374" t="str">
        <f t="shared" si="69"/>
        <v>MSD</v>
      </c>
      <c r="AB374" t="str">
        <f t="shared" si="70"/>
        <v>MDO/MGO</v>
      </c>
      <c r="AC374" t="str">
        <f t="shared" si="71"/>
        <v>MSD</v>
      </c>
      <c r="AD374" t="str">
        <f t="shared" si="72"/>
        <v>MDO/MGO</v>
      </c>
      <c r="AE374" t="str">
        <f t="shared" si="73"/>
        <v>ST</v>
      </c>
      <c r="AG374">
        <f>Alukset_Käynnit!O381</f>
        <v>0</v>
      </c>
      <c r="AH374" s="207">
        <f>IF(AA374="SSD",((U374*Alukset_fx!$B$24)*Alukset_Käynnit_Lask!W374*(Alukset_fx!$K$49)/1000),IF(AA374="MSD",((U374*Alukset_fx!$B$24)*Alukset_Käynnit_Lask!W374*(Alukset_fx!$K$52)/1000),IF(AA374="HSD",((U374*Alukset_fx!$B$24)*Alukset_Käynnit_Lask!W374*(Alukset_fx!$K$55)/1000),0)))</f>
        <v>0</v>
      </c>
      <c r="AI374" s="207">
        <f>IF(AC374="MSD",((V374*Alukset_fx!$B$25)*Alukset_Käynnit_Lask!W374*(Alukset_fx!$L$52)/1000),IF(AC374="HSD",((V374*Alukset_fx!$B$25)*Alukset_Käynnit_Lask!W374*(Alukset_fx!$L$55)/1000),0))</f>
        <v>0</v>
      </c>
      <c r="AJ374" s="207">
        <f>X374*W374*Alukset_fx!$K$61/1000</f>
        <v>0</v>
      </c>
      <c r="AK374">
        <v>0</v>
      </c>
      <c r="AL374" s="207">
        <f>IF(AG374="Käytetty",0,IF(AC374="MSD",((V374*Alukset_fx!$O$25)*Alukset_Käynnit_Lask!O374*(Alukset_fx!$L$52)/1000),IF(AC374="HSD",((V374*Alukset_fx!$O$25)*Alukset_Käynnit_Lask!O374*(Alukset_fx!$L$55)/1000),0)))</f>
        <v>0</v>
      </c>
      <c r="AM374" s="207">
        <f>IF(AG374="Käytetty",0,Y374*O374*Alukset_fx!$K$61/1000)</f>
        <v>0</v>
      </c>
      <c r="AN374" s="213">
        <f t="shared" si="74"/>
        <v>0</v>
      </c>
    </row>
    <row r="375" spans="1:40" x14ac:dyDescent="0.25">
      <c r="A375" s="203">
        <f>Alukset_Käynnit!A382</f>
        <v>0</v>
      </c>
      <c r="B375" s="203">
        <f>Alukset_Käynnit!B382</f>
        <v>0</v>
      </c>
      <c r="C375" s="262">
        <f>Alukset_Käynnit!C382</f>
        <v>0</v>
      </c>
      <c r="D375" s="266">
        <f>Alukset_Käynnit!D382</f>
        <v>0</v>
      </c>
      <c r="E375" s="262">
        <f>Alukset_Käynnit!E382</f>
        <v>0</v>
      </c>
      <c r="F375" s="262">
        <f>Alukset_Käynnit!F382</f>
        <v>0</v>
      </c>
      <c r="G375" s="262">
        <f>Alukset_Käynnit!G382</f>
        <v>0</v>
      </c>
      <c r="H375" s="262">
        <f>Alukset_Käynnit!H382</f>
        <v>0</v>
      </c>
      <c r="I375" s="262">
        <f>Alukset_Käynnit!I382</f>
        <v>0</v>
      </c>
      <c r="J375" s="262">
        <f>Alukset_Käynnit!J382</f>
        <v>0</v>
      </c>
      <c r="K375" s="262">
        <f>Alukset_Käynnit!K382</f>
        <v>0</v>
      </c>
      <c r="L375" s="205">
        <f>Alukset_Käynnit!L382</f>
        <v>0</v>
      </c>
      <c r="N375" s="273">
        <f t="shared" si="75"/>
        <v>0</v>
      </c>
      <c r="O375" s="274">
        <f t="shared" si="76"/>
        <v>0</v>
      </c>
      <c r="Q375" s="204">
        <f t="shared" si="65"/>
        <v>0</v>
      </c>
      <c r="R375" s="202">
        <f>IF(Q375="Other dry cargo",L375*Alukset_fx!$B$71,IF(OR(Q375="Dry bulk",Q375="Bulk carrier"),L375*Alukset_fx!$B$69,IF(Q375="Tugboat",L375*Alukset_fx!$B$76,IF(OR(Q375="Tanker",Q375="Gas tanker",Q375="Chemical tanker",Q375="Oil tanker"),L375*Alukset_fx!$B$68,IF(OR(Q375="RoRo",Q375="Vehicle carrier"),L375*Alukset_fx!$B$72,IF(Q375="RoPax",L375*Alukset_fx!$B$73,IF(Q375="Container ship",L375*Alukset_fx!$B$70,IF(Q375="Barge",0,L375*Alukset_fx!$B$75))))))))</f>
        <v>0</v>
      </c>
      <c r="S375" s="210">
        <f>IF(L375=0,IF(Q375="Other dry cargo",Alukset_fx!$H$73*(Alukset_Käynnit_Lask!K375^Alukset_fx!$I$73),IF(OR(Q375="Dry Bulk",Q375="Bulk carrier"),Alukset_fx!$H$71*(Alukset_Käynnit_Lask!K375^Alukset_fx!$I$71),IF(Q375="Tugboat",Alukset_fx!$H$78*(Alukset_Käynnit_Lask!K375^Alukset_fx!$I$78),IF(OR(Q375="Tanker",Q375="Gas tanker",Q375="Chemical tanker",Q375="Oil tanker"),Alukset_fx!$H$70*(Alukset_Käynnit_Lask!K375^Alukset_fx!$I$70),IF(Q375="Container ship",Alukset_fx!$H$72*(Alukset_Käynnit_Lask!K375^Alukset_fx!$I$72),IF(Q375="Barge",0,IF(Q375="RoPax",Alukset_fx!$H$75*(Alukset_Käynnit_Lask!K375^Alukset_fx!$I$75),IF(OR(Q375="RoRo",Q375="Vehicle carrier"),Alukset_fx!$H$74*(Alukset_Käynnit_Lask!K375^Alukset_fx!$I$74),Alukset_fx!$H$77*(Alukset_Käynnit_Lask!K375^Alukset_fx!$I$77))))))))),"-")</f>
        <v>0</v>
      </c>
      <c r="T375" s="208">
        <f>IF(R375=0,IF(Q375="Other dry cargo",S375*Alukset_fx!$B$71,IF(OR(Q375="Dry bulk",Q375="Bulk carrier"),S375*Alukset_fx!$B$69,IF(Q375="Tugboat",S375*Alukset_fx!$B$76,IF(OR(Q375="Tanker",Q375="Gas tanker",Q375="Chemical tanker",Q375="Oil tanker"),S375*Alukset_fx!$B$68,IF(OR(Q375="RoRo",Q375="Vehicle carrier"),S375*Alukset_fx!$B$72,IF(Q375="RoPax",S375*Alukset_fx!$B$73,IF(Q375="Container ship",S375*Alukset_fx!$B$70,S375*Alukset_fx!$B$75))))))),"-")</f>
        <v>0</v>
      </c>
      <c r="U375" s="208">
        <f t="shared" si="66"/>
        <v>0</v>
      </c>
      <c r="V375" s="208">
        <f t="shared" si="67"/>
        <v>0</v>
      </c>
      <c r="W375" s="202">
        <f>Alukset_Käynnit!N382</f>
        <v>0</v>
      </c>
      <c r="X375" s="211">
        <f>IF(Q375="Other dry cargo", Alukset_fx!$C$52, IF(OR(Q375="Dry bulk",Q375="Bulk carrier"),Alukset_fx!$C$35,IF(OR(Q375="Tanker",Q375="Gas tanker",Q375="Oil tanker"),Alukset_fx!$C$57,IF(Q375="Chemical tanker",Alukset_fx!$C$56,IF(OR(Q375="Tugboat",Q375="Barge"),0,IF(Q375="Other vessel",Alukset_fx!$C$54,IF(Q375="Container ship",Alukset_fx!$C$37,IF(OR(Q375="RoPax",Q375="RoRo",Q375="Vehicle carrier"),Alukset_fx!$C$55,0))))))))</f>
        <v>0</v>
      </c>
      <c r="Y375" s="211">
        <f>IF(Q375="Other dry cargo", Alukset_fx!$Q$52, IF(OR(Q375="Dry bulk",Q375="Bulk carrier"),Alukset_fx!$Q$35,IF(OR(Q375="Tanker",Q375="Gas tanker",Q375="Oil tanker"),Alukset_fx!$Q$57,IF(Q375="Chemical tanker",Alukset_fx!$Q$56,IF(OR(Q375="Tugboat",Q375="Barge"),0,IF(Q375="Other vessel",Alukset_fx!$Q$54,IF(Q375="Container ship",Alukset_fx!$Q$37,IF(OR(Q375="RoPax",Q375="RoRo",Q375="Vehicle carrier"),Alukset_fx!$Q$55,0))))))))</f>
        <v>0</v>
      </c>
      <c r="Z375" t="str">
        <f t="shared" si="68"/>
        <v>MDO/MGO</v>
      </c>
      <c r="AA375" t="str">
        <f t="shared" si="69"/>
        <v>MSD</v>
      </c>
      <c r="AB375" t="str">
        <f t="shared" si="70"/>
        <v>MDO/MGO</v>
      </c>
      <c r="AC375" t="str">
        <f t="shared" si="71"/>
        <v>MSD</v>
      </c>
      <c r="AD375" t="str">
        <f t="shared" si="72"/>
        <v>MDO/MGO</v>
      </c>
      <c r="AE375" t="str">
        <f t="shared" si="73"/>
        <v>ST</v>
      </c>
      <c r="AG375">
        <f>Alukset_Käynnit!O382</f>
        <v>0</v>
      </c>
      <c r="AH375" s="207">
        <f>IF(AA375="SSD",((U375*Alukset_fx!$B$24)*Alukset_Käynnit_Lask!W375*(Alukset_fx!$K$49)/1000),IF(AA375="MSD",((U375*Alukset_fx!$B$24)*Alukset_Käynnit_Lask!W375*(Alukset_fx!$K$52)/1000),IF(AA375="HSD",((U375*Alukset_fx!$B$24)*Alukset_Käynnit_Lask!W375*(Alukset_fx!$K$55)/1000),0)))</f>
        <v>0</v>
      </c>
      <c r="AI375" s="207">
        <f>IF(AC375="MSD",((V375*Alukset_fx!$B$25)*Alukset_Käynnit_Lask!W375*(Alukset_fx!$L$52)/1000),IF(AC375="HSD",((V375*Alukset_fx!$B$25)*Alukset_Käynnit_Lask!W375*(Alukset_fx!$L$55)/1000),0))</f>
        <v>0</v>
      </c>
      <c r="AJ375" s="207">
        <f>X375*W375*Alukset_fx!$K$61/1000</f>
        <v>0</v>
      </c>
      <c r="AK375">
        <v>0</v>
      </c>
      <c r="AL375" s="207">
        <f>IF(AG375="Käytetty",0,IF(AC375="MSD",((V375*Alukset_fx!$O$25)*Alukset_Käynnit_Lask!O375*(Alukset_fx!$L$52)/1000),IF(AC375="HSD",((V375*Alukset_fx!$O$25)*Alukset_Käynnit_Lask!O375*(Alukset_fx!$L$55)/1000),0)))</f>
        <v>0</v>
      </c>
      <c r="AM375" s="207">
        <f>IF(AG375="Käytetty",0,Y375*O375*Alukset_fx!$K$61/1000)</f>
        <v>0</v>
      </c>
      <c r="AN375" s="213">
        <f t="shared" si="74"/>
        <v>0</v>
      </c>
    </row>
    <row r="376" spans="1:40" x14ac:dyDescent="0.25">
      <c r="A376" s="203">
        <f>Alukset_Käynnit!A383</f>
        <v>0</v>
      </c>
      <c r="B376" s="203">
        <f>Alukset_Käynnit!B383</f>
        <v>0</v>
      </c>
      <c r="C376" s="262">
        <f>Alukset_Käynnit!C383</f>
        <v>0</v>
      </c>
      <c r="D376" s="266">
        <f>Alukset_Käynnit!D383</f>
        <v>0</v>
      </c>
      <c r="E376" s="262">
        <f>Alukset_Käynnit!E383</f>
        <v>0</v>
      </c>
      <c r="F376" s="262">
        <f>Alukset_Käynnit!F383</f>
        <v>0</v>
      </c>
      <c r="G376" s="262">
        <f>Alukset_Käynnit!G383</f>
        <v>0</v>
      </c>
      <c r="H376" s="262">
        <f>Alukset_Käynnit!H383</f>
        <v>0</v>
      </c>
      <c r="I376" s="262">
        <f>Alukset_Käynnit!I383</f>
        <v>0</v>
      </c>
      <c r="J376" s="262">
        <f>Alukset_Käynnit!J383</f>
        <v>0</v>
      </c>
      <c r="K376" s="262">
        <f>Alukset_Käynnit!K383</f>
        <v>0</v>
      </c>
      <c r="L376" s="205">
        <f>Alukset_Käynnit!L383</f>
        <v>0</v>
      </c>
      <c r="N376" s="273">
        <f t="shared" si="75"/>
        <v>0</v>
      </c>
      <c r="O376" s="274">
        <f t="shared" si="76"/>
        <v>0</v>
      </c>
      <c r="Q376" s="204">
        <f t="shared" si="65"/>
        <v>0</v>
      </c>
      <c r="R376" s="202">
        <f>IF(Q376="Other dry cargo",L376*Alukset_fx!$B$71,IF(OR(Q376="Dry bulk",Q376="Bulk carrier"),L376*Alukset_fx!$B$69,IF(Q376="Tugboat",L376*Alukset_fx!$B$76,IF(OR(Q376="Tanker",Q376="Gas tanker",Q376="Chemical tanker",Q376="Oil tanker"),L376*Alukset_fx!$B$68,IF(OR(Q376="RoRo",Q376="Vehicle carrier"),L376*Alukset_fx!$B$72,IF(Q376="RoPax",L376*Alukset_fx!$B$73,IF(Q376="Container ship",L376*Alukset_fx!$B$70,IF(Q376="Barge",0,L376*Alukset_fx!$B$75))))))))</f>
        <v>0</v>
      </c>
      <c r="S376" s="210">
        <f>IF(L376=0,IF(Q376="Other dry cargo",Alukset_fx!$H$73*(Alukset_Käynnit_Lask!K376^Alukset_fx!$I$73),IF(OR(Q376="Dry Bulk",Q376="Bulk carrier"),Alukset_fx!$H$71*(Alukset_Käynnit_Lask!K376^Alukset_fx!$I$71),IF(Q376="Tugboat",Alukset_fx!$H$78*(Alukset_Käynnit_Lask!K376^Alukset_fx!$I$78),IF(OR(Q376="Tanker",Q376="Gas tanker",Q376="Chemical tanker",Q376="Oil tanker"),Alukset_fx!$H$70*(Alukset_Käynnit_Lask!K376^Alukset_fx!$I$70),IF(Q376="Container ship",Alukset_fx!$H$72*(Alukset_Käynnit_Lask!K376^Alukset_fx!$I$72),IF(Q376="Barge",0,IF(Q376="RoPax",Alukset_fx!$H$75*(Alukset_Käynnit_Lask!K376^Alukset_fx!$I$75),IF(OR(Q376="RoRo",Q376="Vehicle carrier"),Alukset_fx!$H$74*(Alukset_Käynnit_Lask!K376^Alukset_fx!$I$74),Alukset_fx!$H$77*(Alukset_Käynnit_Lask!K376^Alukset_fx!$I$77))))))))),"-")</f>
        <v>0</v>
      </c>
      <c r="T376" s="208">
        <f>IF(R376=0,IF(Q376="Other dry cargo",S376*Alukset_fx!$B$71,IF(OR(Q376="Dry bulk",Q376="Bulk carrier"),S376*Alukset_fx!$B$69,IF(Q376="Tugboat",S376*Alukset_fx!$B$76,IF(OR(Q376="Tanker",Q376="Gas tanker",Q376="Chemical tanker",Q376="Oil tanker"),S376*Alukset_fx!$B$68,IF(OR(Q376="RoRo",Q376="Vehicle carrier"),S376*Alukset_fx!$B$72,IF(Q376="RoPax",S376*Alukset_fx!$B$73,IF(Q376="Container ship",S376*Alukset_fx!$B$70,S376*Alukset_fx!$B$75))))))),"-")</f>
        <v>0</v>
      </c>
      <c r="U376" s="208">
        <f t="shared" si="66"/>
        <v>0</v>
      </c>
      <c r="V376" s="208">
        <f t="shared" si="67"/>
        <v>0</v>
      </c>
      <c r="W376" s="202">
        <f>Alukset_Käynnit!N383</f>
        <v>0</v>
      </c>
      <c r="X376" s="211">
        <f>IF(Q376="Other dry cargo", Alukset_fx!$C$52, IF(OR(Q376="Dry bulk",Q376="Bulk carrier"),Alukset_fx!$C$35,IF(OR(Q376="Tanker",Q376="Gas tanker",Q376="Oil tanker"),Alukset_fx!$C$57,IF(Q376="Chemical tanker",Alukset_fx!$C$56,IF(OR(Q376="Tugboat",Q376="Barge"),0,IF(Q376="Other vessel",Alukset_fx!$C$54,IF(Q376="Container ship",Alukset_fx!$C$37,IF(OR(Q376="RoPax",Q376="RoRo",Q376="Vehicle carrier"),Alukset_fx!$C$55,0))))))))</f>
        <v>0</v>
      </c>
      <c r="Y376" s="211">
        <f>IF(Q376="Other dry cargo", Alukset_fx!$Q$52, IF(OR(Q376="Dry bulk",Q376="Bulk carrier"),Alukset_fx!$Q$35,IF(OR(Q376="Tanker",Q376="Gas tanker",Q376="Oil tanker"),Alukset_fx!$Q$57,IF(Q376="Chemical tanker",Alukset_fx!$Q$56,IF(OR(Q376="Tugboat",Q376="Barge"),0,IF(Q376="Other vessel",Alukset_fx!$Q$54,IF(Q376="Container ship",Alukset_fx!$Q$37,IF(OR(Q376="RoPax",Q376="RoRo",Q376="Vehicle carrier"),Alukset_fx!$Q$55,0))))))))</f>
        <v>0</v>
      </c>
      <c r="Z376" t="str">
        <f t="shared" si="68"/>
        <v>MDO/MGO</v>
      </c>
      <c r="AA376" t="str">
        <f t="shared" si="69"/>
        <v>MSD</v>
      </c>
      <c r="AB376" t="str">
        <f t="shared" si="70"/>
        <v>MDO/MGO</v>
      </c>
      <c r="AC376" t="str">
        <f t="shared" si="71"/>
        <v>MSD</v>
      </c>
      <c r="AD376" t="str">
        <f t="shared" si="72"/>
        <v>MDO/MGO</v>
      </c>
      <c r="AE376" t="str">
        <f t="shared" si="73"/>
        <v>ST</v>
      </c>
      <c r="AG376">
        <f>Alukset_Käynnit!O383</f>
        <v>0</v>
      </c>
      <c r="AH376" s="207">
        <f>IF(AA376="SSD",((U376*Alukset_fx!$B$24)*Alukset_Käynnit_Lask!W376*(Alukset_fx!$K$49)/1000),IF(AA376="MSD",((U376*Alukset_fx!$B$24)*Alukset_Käynnit_Lask!W376*(Alukset_fx!$K$52)/1000),IF(AA376="HSD",((U376*Alukset_fx!$B$24)*Alukset_Käynnit_Lask!W376*(Alukset_fx!$K$55)/1000),0)))</f>
        <v>0</v>
      </c>
      <c r="AI376" s="207">
        <f>IF(AC376="MSD",((V376*Alukset_fx!$B$25)*Alukset_Käynnit_Lask!W376*(Alukset_fx!$L$52)/1000),IF(AC376="HSD",((V376*Alukset_fx!$B$25)*Alukset_Käynnit_Lask!W376*(Alukset_fx!$L$55)/1000),0))</f>
        <v>0</v>
      </c>
      <c r="AJ376" s="207">
        <f>X376*W376*Alukset_fx!$K$61/1000</f>
        <v>0</v>
      </c>
      <c r="AK376">
        <v>0</v>
      </c>
      <c r="AL376" s="207">
        <f>IF(AG376="Käytetty",0,IF(AC376="MSD",((V376*Alukset_fx!$O$25)*Alukset_Käynnit_Lask!O376*(Alukset_fx!$L$52)/1000),IF(AC376="HSD",((V376*Alukset_fx!$O$25)*Alukset_Käynnit_Lask!O376*(Alukset_fx!$L$55)/1000),0)))</f>
        <v>0</v>
      </c>
      <c r="AM376" s="207">
        <f>IF(AG376="Käytetty",0,Y376*O376*Alukset_fx!$K$61/1000)</f>
        <v>0</v>
      </c>
      <c r="AN376" s="213">
        <f t="shared" si="74"/>
        <v>0</v>
      </c>
    </row>
    <row r="377" spans="1:40" x14ac:dyDescent="0.25">
      <c r="A377" s="203">
        <f>Alukset_Käynnit!A384</f>
        <v>0</v>
      </c>
      <c r="B377" s="203">
        <f>Alukset_Käynnit!B384</f>
        <v>0</v>
      </c>
      <c r="C377" s="262">
        <f>Alukset_Käynnit!C384</f>
        <v>0</v>
      </c>
      <c r="D377" s="266">
        <f>Alukset_Käynnit!D384</f>
        <v>0</v>
      </c>
      <c r="E377" s="262">
        <f>Alukset_Käynnit!E384</f>
        <v>0</v>
      </c>
      <c r="F377" s="262">
        <f>Alukset_Käynnit!F384</f>
        <v>0</v>
      </c>
      <c r="G377" s="262">
        <f>Alukset_Käynnit!G384</f>
        <v>0</v>
      </c>
      <c r="H377" s="262">
        <f>Alukset_Käynnit!H384</f>
        <v>0</v>
      </c>
      <c r="I377" s="262">
        <f>Alukset_Käynnit!I384</f>
        <v>0</v>
      </c>
      <c r="J377" s="262">
        <f>Alukset_Käynnit!J384</f>
        <v>0</v>
      </c>
      <c r="K377" s="262">
        <f>Alukset_Käynnit!K384</f>
        <v>0</v>
      </c>
      <c r="L377" s="205">
        <f>Alukset_Käynnit!L384</f>
        <v>0</v>
      </c>
      <c r="N377" s="273">
        <f t="shared" si="75"/>
        <v>0</v>
      </c>
      <c r="O377" s="274">
        <f t="shared" si="76"/>
        <v>0</v>
      </c>
      <c r="Q377" s="204">
        <f t="shared" si="65"/>
        <v>0</v>
      </c>
      <c r="R377" s="202">
        <f>IF(Q377="Other dry cargo",L377*Alukset_fx!$B$71,IF(OR(Q377="Dry bulk",Q377="Bulk carrier"),L377*Alukset_fx!$B$69,IF(Q377="Tugboat",L377*Alukset_fx!$B$76,IF(OR(Q377="Tanker",Q377="Gas tanker",Q377="Chemical tanker",Q377="Oil tanker"),L377*Alukset_fx!$B$68,IF(OR(Q377="RoRo",Q377="Vehicle carrier"),L377*Alukset_fx!$B$72,IF(Q377="RoPax",L377*Alukset_fx!$B$73,IF(Q377="Container ship",L377*Alukset_fx!$B$70,IF(Q377="Barge",0,L377*Alukset_fx!$B$75))))))))</f>
        <v>0</v>
      </c>
      <c r="S377" s="210">
        <f>IF(L377=0,IF(Q377="Other dry cargo",Alukset_fx!$H$73*(Alukset_Käynnit_Lask!K377^Alukset_fx!$I$73),IF(OR(Q377="Dry Bulk",Q377="Bulk carrier"),Alukset_fx!$H$71*(Alukset_Käynnit_Lask!K377^Alukset_fx!$I$71),IF(Q377="Tugboat",Alukset_fx!$H$78*(Alukset_Käynnit_Lask!K377^Alukset_fx!$I$78),IF(OR(Q377="Tanker",Q377="Gas tanker",Q377="Chemical tanker",Q377="Oil tanker"),Alukset_fx!$H$70*(Alukset_Käynnit_Lask!K377^Alukset_fx!$I$70),IF(Q377="Container ship",Alukset_fx!$H$72*(Alukset_Käynnit_Lask!K377^Alukset_fx!$I$72),IF(Q377="Barge",0,IF(Q377="RoPax",Alukset_fx!$H$75*(Alukset_Käynnit_Lask!K377^Alukset_fx!$I$75),IF(OR(Q377="RoRo",Q377="Vehicle carrier"),Alukset_fx!$H$74*(Alukset_Käynnit_Lask!K377^Alukset_fx!$I$74),Alukset_fx!$H$77*(Alukset_Käynnit_Lask!K377^Alukset_fx!$I$77))))))))),"-")</f>
        <v>0</v>
      </c>
      <c r="T377" s="208">
        <f>IF(R377=0,IF(Q377="Other dry cargo",S377*Alukset_fx!$B$71,IF(OR(Q377="Dry bulk",Q377="Bulk carrier"),S377*Alukset_fx!$B$69,IF(Q377="Tugboat",S377*Alukset_fx!$B$76,IF(OR(Q377="Tanker",Q377="Gas tanker",Q377="Chemical tanker",Q377="Oil tanker"),S377*Alukset_fx!$B$68,IF(OR(Q377="RoRo",Q377="Vehicle carrier"),S377*Alukset_fx!$B$72,IF(Q377="RoPax",S377*Alukset_fx!$B$73,IF(Q377="Container ship",S377*Alukset_fx!$B$70,S377*Alukset_fx!$B$75))))))),"-")</f>
        <v>0</v>
      </c>
      <c r="U377" s="208">
        <f t="shared" si="66"/>
        <v>0</v>
      </c>
      <c r="V377" s="208">
        <f t="shared" si="67"/>
        <v>0</v>
      </c>
      <c r="W377" s="202">
        <f>Alukset_Käynnit!N384</f>
        <v>0</v>
      </c>
      <c r="X377" s="211">
        <f>IF(Q377="Other dry cargo", Alukset_fx!$C$52, IF(OR(Q377="Dry bulk",Q377="Bulk carrier"),Alukset_fx!$C$35,IF(OR(Q377="Tanker",Q377="Gas tanker",Q377="Oil tanker"),Alukset_fx!$C$57,IF(Q377="Chemical tanker",Alukset_fx!$C$56,IF(OR(Q377="Tugboat",Q377="Barge"),0,IF(Q377="Other vessel",Alukset_fx!$C$54,IF(Q377="Container ship",Alukset_fx!$C$37,IF(OR(Q377="RoPax",Q377="RoRo",Q377="Vehicle carrier"),Alukset_fx!$C$55,0))))))))</f>
        <v>0</v>
      </c>
      <c r="Y377" s="211">
        <f>IF(Q377="Other dry cargo", Alukset_fx!$Q$52, IF(OR(Q377="Dry bulk",Q377="Bulk carrier"),Alukset_fx!$Q$35,IF(OR(Q377="Tanker",Q377="Gas tanker",Q377="Oil tanker"),Alukset_fx!$Q$57,IF(Q377="Chemical tanker",Alukset_fx!$Q$56,IF(OR(Q377="Tugboat",Q377="Barge"),0,IF(Q377="Other vessel",Alukset_fx!$Q$54,IF(Q377="Container ship",Alukset_fx!$Q$37,IF(OR(Q377="RoPax",Q377="RoRo",Q377="Vehicle carrier"),Alukset_fx!$Q$55,0))))))))</f>
        <v>0</v>
      </c>
      <c r="Z377" t="str">
        <f t="shared" si="68"/>
        <v>MDO/MGO</v>
      </c>
      <c r="AA377" t="str">
        <f t="shared" si="69"/>
        <v>MSD</v>
      </c>
      <c r="AB377" t="str">
        <f t="shared" si="70"/>
        <v>MDO/MGO</v>
      </c>
      <c r="AC377" t="str">
        <f t="shared" si="71"/>
        <v>MSD</v>
      </c>
      <c r="AD377" t="str">
        <f t="shared" si="72"/>
        <v>MDO/MGO</v>
      </c>
      <c r="AE377" t="str">
        <f t="shared" si="73"/>
        <v>ST</v>
      </c>
      <c r="AG377">
        <f>Alukset_Käynnit!O384</f>
        <v>0</v>
      </c>
      <c r="AH377" s="207">
        <f>IF(AA377="SSD",((U377*Alukset_fx!$B$24)*Alukset_Käynnit_Lask!W377*(Alukset_fx!$K$49)/1000),IF(AA377="MSD",((U377*Alukset_fx!$B$24)*Alukset_Käynnit_Lask!W377*(Alukset_fx!$K$52)/1000),IF(AA377="HSD",((U377*Alukset_fx!$B$24)*Alukset_Käynnit_Lask!W377*(Alukset_fx!$K$55)/1000),0)))</f>
        <v>0</v>
      </c>
      <c r="AI377" s="207">
        <f>IF(AC377="MSD",((V377*Alukset_fx!$B$25)*Alukset_Käynnit_Lask!W377*(Alukset_fx!$L$52)/1000),IF(AC377="HSD",((V377*Alukset_fx!$B$25)*Alukset_Käynnit_Lask!W377*(Alukset_fx!$L$55)/1000),0))</f>
        <v>0</v>
      </c>
      <c r="AJ377" s="207">
        <f>X377*W377*Alukset_fx!$K$61/1000</f>
        <v>0</v>
      </c>
      <c r="AK377">
        <v>0</v>
      </c>
      <c r="AL377" s="207">
        <f>IF(AG377="Käytetty",0,IF(AC377="MSD",((V377*Alukset_fx!$O$25)*Alukset_Käynnit_Lask!O377*(Alukset_fx!$L$52)/1000),IF(AC377="HSD",((V377*Alukset_fx!$O$25)*Alukset_Käynnit_Lask!O377*(Alukset_fx!$L$55)/1000),0)))</f>
        <v>0</v>
      </c>
      <c r="AM377" s="207">
        <f>IF(AG377="Käytetty",0,Y377*O377*Alukset_fx!$K$61/1000)</f>
        <v>0</v>
      </c>
      <c r="AN377" s="213">
        <f t="shared" si="74"/>
        <v>0</v>
      </c>
    </row>
    <row r="378" spans="1:40" x14ac:dyDescent="0.25">
      <c r="A378" s="203">
        <f>Alukset_Käynnit!A385</f>
        <v>0</v>
      </c>
      <c r="B378" s="203">
        <f>Alukset_Käynnit!B385</f>
        <v>0</v>
      </c>
      <c r="C378" s="262">
        <f>Alukset_Käynnit!C385</f>
        <v>0</v>
      </c>
      <c r="D378" s="266">
        <f>Alukset_Käynnit!D385</f>
        <v>0</v>
      </c>
      <c r="E378" s="262">
        <f>Alukset_Käynnit!E385</f>
        <v>0</v>
      </c>
      <c r="F378" s="262">
        <f>Alukset_Käynnit!F385</f>
        <v>0</v>
      </c>
      <c r="G378" s="262">
        <f>Alukset_Käynnit!G385</f>
        <v>0</v>
      </c>
      <c r="H378" s="262">
        <f>Alukset_Käynnit!H385</f>
        <v>0</v>
      </c>
      <c r="I378" s="262">
        <f>Alukset_Käynnit!I385</f>
        <v>0</v>
      </c>
      <c r="J378" s="262">
        <f>Alukset_Käynnit!J385</f>
        <v>0</v>
      </c>
      <c r="K378" s="262">
        <f>Alukset_Käynnit!K385</f>
        <v>0</v>
      </c>
      <c r="L378" s="205">
        <f>Alukset_Käynnit!L385</f>
        <v>0</v>
      </c>
      <c r="N378" s="273">
        <f t="shared" si="75"/>
        <v>0</v>
      </c>
      <c r="O378" s="274">
        <f t="shared" si="76"/>
        <v>0</v>
      </c>
      <c r="Q378" s="204">
        <f t="shared" si="65"/>
        <v>0</v>
      </c>
      <c r="R378" s="202">
        <f>IF(Q378="Other dry cargo",L378*Alukset_fx!$B$71,IF(OR(Q378="Dry bulk",Q378="Bulk carrier"),L378*Alukset_fx!$B$69,IF(Q378="Tugboat",L378*Alukset_fx!$B$76,IF(OR(Q378="Tanker",Q378="Gas tanker",Q378="Chemical tanker",Q378="Oil tanker"),L378*Alukset_fx!$B$68,IF(OR(Q378="RoRo",Q378="Vehicle carrier"),L378*Alukset_fx!$B$72,IF(Q378="RoPax",L378*Alukset_fx!$B$73,IF(Q378="Container ship",L378*Alukset_fx!$B$70,IF(Q378="Barge",0,L378*Alukset_fx!$B$75))))))))</f>
        <v>0</v>
      </c>
      <c r="S378" s="210">
        <f>IF(L378=0,IF(Q378="Other dry cargo",Alukset_fx!$H$73*(Alukset_Käynnit_Lask!K378^Alukset_fx!$I$73),IF(OR(Q378="Dry Bulk",Q378="Bulk carrier"),Alukset_fx!$H$71*(Alukset_Käynnit_Lask!K378^Alukset_fx!$I$71),IF(Q378="Tugboat",Alukset_fx!$H$78*(Alukset_Käynnit_Lask!K378^Alukset_fx!$I$78),IF(OR(Q378="Tanker",Q378="Gas tanker",Q378="Chemical tanker",Q378="Oil tanker"),Alukset_fx!$H$70*(Alukset_Käynnit_Lask!K378^Alukset_fx!$I$70),IF(Q378="Container ship",Alukset_fx!$H$72*(Alukset_Käynnit_Lask!K378^Alukset_fx!$I$72),IF(Q378="Barge",0,IF(Q378="RoPax",Alukset_fx!$H$75*(Alukset_Käynnit_Lask!K378^Alukset_fx!$I$75),IF(OR(Q378="RoRo",Q378="Vehicle carrier"),Alukset_fx!$H$74*(Alukset_Käynnit_Lask!K378^Alukset_fx!$I$74),Alukset_fx!$H$77*(Alukset_Käynnit_Lask!K378^Alukset_fx!$I$77))))))))),"-")</f>
        <v>0</v>
      </c>
      <c r="T378" s="208">
        <f>IF(R378=0,IF(Q378="Other dry cargo",S378*Alukset_fx!$B$71,IF(OR(Q378="Dry bulk",Q378="Bulk carrier"),S378*Alukset_fx!$B$69,IF(Q378="Tugboat",S378*Alukset_fx!$B$76,IF(OR(Q378="Tanker",Q378="Gas tanker",Q378="Chemical tanker",Q378="Oil tanker"),S378*Alukset_fx!$B$68,IF(OR(Q378="RoRo",Q378="Vehicle carrier"),S378*Alukset_fx!$B$72,IF(Q378="RoPax",S378*Alukset_fx!$B$73,IF(Q378="Container ship",S378*Alukset_fx!$B$70,S378*Alukset_fx!$B$75))))))),"-")</f>
        <v>0</v>
      </c>
      <c r="U378" s="208">
        <f t="shared" si="66"/>
        <v>0</v>
      </c>
      <c r="V378" s="208">
        <f t="shared" si="67"/>
        <v>0</v>
      </c>
      <c r="W378" s="202">
        <f>Alukset_Käynnit!N385</f>
        <v>0</v>
      </c>
      <c r="X378" s="211">
        <f>IF(Q378="Other dry cargo", Alukset_fx!$C$52, IF(OR(Q378="Dry bulk",Q378="Bulk carrier"),Alukset_fx!$C$35,IF(OR(Q378="Tanker",Q378="Gas tanker",Q378="Oil tanker"),Alukset_fx!$C$57,IF(Q378="Chemical tanker",Alukset_fx!$C$56,IF(OR(Q378="Tugboat",Q378="Barge"),0,IF(Q378="Other vessel",Alukset_fx!$C$54,IF(Q378="Container ship",Alukset_fx!$C$37,IF(OR(Q378="RoPax",Q378="RoRo",Q378="Vehicle carrier"),Alukset_fx!$C$55,0))))))))</f>
        <v>0</v>
      </c>
      <c r="Y378" s="211">
        <f>IF(Q378="Other dry cargo", Alukset_fx!$Q$52, IF(OR(Q378="Dry bulk",Q378="Bulk carrier"),Alukset_fx!$Q$35,IF(OR(Q378="Tanker",Q378="Gas tanker",Q378="Oil tanker"),Alukset_fx!$Q$57,IF(Q378="Chemical tanker",Alukset_fx!$Q$56,IF(OR(Q378="Tugboat",Q378="Barge"),0,IF(Q378="Other vessel",Alukset_fx!$Q$54,IF(Q378="Container ship",Alukset_fx!$Q$37,IF(OR(Q378="RoPax",Q378="RoRo",Q378="Vehicle carrier"),Alukset_fx!$Q$55,0))))))))</f>
        <v>0</v>
      </c>
      <c r="Z378" t="str">
        <f t="shared" si="68"/>
        <v>MDO/MGO</v>
      </c>
      <c r="AA378" t="str">
        <f t="shared" si="69"/>
        <v>MSD</v>
      </c>
      <c r="AB378" t="str">
        <f t="shared" si="70"/>
        <v>MDO/MGO</v>
      </c>
      <c r="AC378" t="str">
        <f t="shared" si="71"/>
        <v>MSD</v>
      </c>
      <c r="AD378" t="str">
        <f t="shared" si="72"/>
        <v>MDO/MGO</v>
      </c>
      <c r="AE378" t="str">
        <f t="shared" si="73"/>
        <v>ST</v>
      </c>
      <c r="AG378">
        <f>Alukset_Käynnit!O385</f>
        <v>0</v>
      </c>
      <c r="AH378" s="207">
        <f>IF(AA378="SSD",((U378*Alukset_fx!$B$24)*Alukset_Käynnit_Lask!W378*(Alukset_fx!$K$49)/1000),IF(AA378="MSD",((U378*Alukset_fx!$B$24)*Alukset_Käynnit_Lask!W378*(Alukset_fx!$K$52)/1000),IF(AA378="HSD",((U378*Alukset_fx!$B$24)*Alukset_Käynnit_Lask!W378*(Alukset_fx!$K$55)/1000),0)))</f>
        <v>0</v>
      </c>
      <c r="AI378" s="207">
        <f>IF(AC378="MSD",((V378*Alukset_fx!$B$25)*Alukset_Käynnit_Lask!W378*(Alukset_fx!$L$52)/1000),IF(AC378="HSD",((V378*Alukset_fx!$B$25)*Alukset_Käynnit_Lask!W378*(Alukset_fx!$L$55)/1000),0))</f>
        <v>0</v>
      </c>
      <c r="AJ378" s="207">
        <f>X378*W378*Alukset_fx!$K$61/1000</f>
        <v>0</v>
      </c>
      <c r="AK378">
        <v>0</v>
      </c>
      <c r="AL378" s="207">
        <f>IF(AG378="Käytetty",0,IF(AC378="MSD",((V378*Alukset_fx!$O$25)*Alukset_Käynnit_Lask!O378*(Alukset_fx!$L$52)/1000),IF(AC378="HSD",((V378*Alukset_fx!$O$25)*Alukset_Käynnit_Lask!O378*(Alukset_fx!$L$55)/1000),0)))</f>
        <v>0</v>
      </c>
      <c r="AM378" s="207">
        <f>IF(AG378="Käytetty",0,Y378*O378*Alukset_fx!$K$61/1000)</f>
        <v>0</v>
      </c>
      <c r="AN378" s="213">
        <f t="shared" si="74"/>
        <v>0</v>
      </c>
    </row>
    <row r="379" spans="1:40" x14ac:dyDescent="0.25">
      <c r="A379" s="203">
        <f>Alukset_Käynnit!A386</f>
        <v>0</v>
      </c>
      <c r="B379" s="203">
        <f>Alukset_Käynnit!B386</f>
        <v>0</v>
      </c>
      <c r="C379" s="262">
        <f>Alukset_Käynnit!C386</f>
        <v>0</v>
      </c>
      <c r="D379" s="266">
        <f>Alukset_Käynnit!D386</f>
        <v>0</v>
      </c>
      <c r="E379" s="262">
        <f>Alukset_Käynnit!E386</f>
        <v>0</v>
      </c>
      <c r="F379" s="262">
        <f>Alukset_Käynnit!F386</f>
        <v>0</v>
      </c>
      <c r="G379" s="262">
        <f>Alukset_Käynnit!G386</f>
        <v>0</v>
      </c>
      <c r="H379" s="262">
        <f>Alukset_Käynnit!H386</f>
        <v>0</v>
      </c>
      <c r="I379" s="262">
        <f>Alukset_Käynnit!I386</f>
        <v>0</v>
      </c>
      <c r="J379" s="262">
        <f>Alukset_Käynnit!J386</f>
        <v>0</v>
      </c>
      <c r="K379" s="262">
        <f>Alukset_Käynnit!K386</f>
        <v>0</v>
      </c>
      <c r="L379" s="205">
        <f>Alukset_Käynnit!L386</f>
        <v>0</v>
      </c>
      <c r="N379" s="273">
        <f t="shared" si="75"/>
        <v>0</v>
      </c>
      <c r="O379" s="274">
        <f t="shared" si="76"/>
        <v>0</v>
      </c>
      <c r="Q379" s="204">
        <f t="shared" si="65"/>
        <v>0</v>
      </c>
      <c r="R379" s="202">
        <f>IF(Q379="Other dry cargo",L379*Alukset_fx!$B$71,IF(OR(Q379="Dry bulk",Q379="Bulk carrier"),L379*Alukset_fx!$B$69,IF(Q379="Tugboat",L379*Alukset_fx!$B$76,IF(OR(Q379="Tanker",Q379="Gas tanker",Q379="Chemical tanker",Q379="Oil tanker"),L379*Alukset_fx!$B$68,IF(OR(Q379="RoRo",Q379="Vehicle carrier"),L379*Alukset_fx!$B$72,IF(Q379="RoPax",L379*Alukset_fx!$B$73,IF(Q379="Container ship",L379*Alukset_fx!$B$70,IF(Q379="Barge",0,L379*Alukset_fx!$B$75))))))))</f>
        <v>0</v>
      </c>
      <c r="S379" s="210">
        <f>IF(L379=0,IF(Q379="Other dry cargo",Alukset_fx!$H$73*(Alukset_Käynnit_Lask!K379^Alukset_fx!$I$73),IF(OR(Q379="Dry Bulk",Q379="Bulk carrier"),Alukset_fx!$H$71*(Alukset_Käynnit_Lask!K379^Alukset_fx!$I$71),IF(Q379="Tugboat",Alukset_fx!$H$78*(Alukset_Käynnit_Lask!K379^Alukset_fx!$I$78),IF(OR(Q379="Tanker",Q379="Gas tanker",Q379="Chemical tanker",Q379="Oil tanker"),Alukset_fx!$H$70*(Alukset_Käynnit_Lask!K379^Alukset_fx!$I$70),IF(Q379="Container ship",Alukset_fx!$H$72*(Alukset_Käynnit_Lask!K379^Alukset_fx!$I$72),IF(Q379="Barge",0,IF(Q379="RoPax",Alukset_fx!$H$75*(Alukset_Käynnit_Lask!K379^Alukset_fx!$I$75),IF(OR(Q379="RoRo",Q379="Vehicle carrier"),Alukset_fx!$H$74*(Alukset_Käynnit_Lask!K379^Alukset_fx!$I$74),Alukset_fx!$H$77*(Alukset_Käynnit_Lask!K379^Alukset_fx!$I$77))))))))),"-")</f>
        <v>0</v>
      </c>
      <c r="T379" s="208">
        <f>IF(R379=0,IF(Q379="Other dry cargo",S379*Alukset_fx!$B$71,IF(OR(Q379="Dry bulk",Q379="Bulk carrier"),S379*Alukset_fx!$B$69,IF(Q379="Tugboat",S379*Alukset_fx!$B$76,IF(OR(Q379="Tanker",Q379="Gas tanker",Q379="Chemical tanker",Q379="Oil tanker"),S379*Alukset_fx!$B$68,IF(OR(Q379="RoRo",Q379="Vehicle carrier"),S379*Alukset_fx!$B$72,IF(Q379="RoPax",S379*Alukset_fx!$B$73,IF(Q379="Container ship",S379*Alukset_fx!$B$70,S379*Alukset_fx!$B$75))))))),"-")</f>
        <v>0</v>
      </c>
      <c r="U379" s="208">
        <f t="shared" si="66"/>
        <v>0</v>
      </c>
      <c r="V379" s="208">
        <f t="shared" si="67"/>
        <v>0</v>
      </c>
      <c r="W379" s="202">
        <f>Alukset_Käynnit!N386</f>
        <v>0</v>
      </c>
      <c r="X379" s="211">
        <f>IF(Q379="Other dry cargo", Alukset_fx!$C$52, IF(OR(Q379="Dry bulk",Q379="Bulk carrier"),Alukset_fx!$C$35,IF(OR(Q379="Tanker",Q379="Gas tanker",Q379="Oil tanker"),Alukset_fx!$C$57,IF(Q379="Chemical tanker",Alukset_fx!$C$56,IF(OR(Q379="Tugboat",Q379="Barge"),0,IF(Q379="Other vessel",Alukset_fx!$C$54,IF(Q379="Container ship",Alukset_fx!$C$37,IF(OR(Q379="RoPax",Q379="RoRo",Q379="Vehicle carrier"),Alukset_fx!$C$55,0))))))))</f>
        <v>0</v>
      </c>
      <c r="Y379" s="211">
        <f>IF(Q379="Other dry cargo", Alukset_fx!$Q$52, IF(OR(Q379="Dry bulk",Q379="Bulk carrier"),Alukset_fx!$Q$35,IF(OR(Q379="Tanker",Q379="Gas tanker",Q379="Oil tanker"),Alukset_fx!$Q$57,IF(Q379="Chemical tanker",Alukset_fx!$Q$56,IF(OR(Q379="Tugboat",Q379="Barge"),0,IF(Q379="Other vessel",Alukset_fx!$Q$54,IF(Q379="Container ship",Alukset_fx!$Q$37,IF(OR(Q379="RoPax",Q379="RoRo",Q379="Vehicle carrier"),Alukset_fx!$Q$55,0))))))))</f>
        <v>0</v>
      </c>
      <c r="Z379" t="str">
        <f t="shared" si="68"/>
        <v>MDO/MGO</v>
      </c>
      <c r="AA379" t="str">
        <f t="shared" si="69"/>
        <v>MSD</v>
      </c>
      <c r="AB379" t="str">
        <f t="shared" si="70"/>
        <v>MDO/MGO</v>
      </c>
      <c r="AC379" t="str">
        <f t="shared" si="71"/>
        <v>MSD</v>
      </c>
      <c r="AD379" t="str">
        <f t="shared" si="72"/>
        <v>MDO/MGO</v>
      </c>
      <c r="AE379" t="str">
        <f t="shared" si="73"/>
        <v>ST</v>
      </c>
      <c r="AG379">
        <f>Alukset_Käynnit!O386</f>
        <v>0</v>
      </c>
      <c r="AH379" s="207">
        <f>IF(AA379="SSD",((U379*Alukset_fx!$B$24)*Alukset_Käynnit_Lask!W379*(Alukset_fx!$K$49)/1000),IF(AA379="MSD",((U379*Alukset_fx!$B$24)*Alukset_Käynnit_Lask!W379*(Alukset_fx!$K$52)/1000),IF(AA379="HSD",((U379*Alukset_fx!$B$24)*Alukset_Käynnit_Lask!W379*(Alukset_fx!$K$55)/1000),0)))</f>
        <v>0</v>
      </c>
      <c r="AI379" s="207">
        <f>IF(AC379="MSD",((V379*Alukset_fx!$B$25)*Alukset_Käynnit_Lask!W379*(Alukset_fx!$L$52)/1000),IF(AC379="HSD",((V379*Alukset_fx!$B$25)*Alukset_Käynnit_Lask!W379*(Alukset_fx!$L$55)/1000),0))</f>
        <v>0</v>
      </c>
      <c r="AJ379" s="207">
        <f>X379*W379*Alukset_fx!$K$61/1000</f>
        <v>0</v>
      </c>
      <c r="AK379">
        <v>0</v>
      </c>
      <c r="AL379" s="207">
        <f>IF(AG379="Käytetty",0,IF(AC379="MSD",((V379*Alukset_fx!$O$25)*Alukset_Käynnit_Lask!O379*(Alukset_fx!$L$52)/1000),IF(AC379="HSD",((V379*Alukset_fx!$O$25)*Alukset_Käynnit_Lask!O379*(Alukset_fx!$L$55)/1000),0)))</f>
        <v>0</v>
      </c>
      <c r="AM379" s="207">
        <f>IF(AG379="Käytetty",0,Y379*O379*Alukset_fx!$K$61/1000)</f>
        <v>0</v>
      </c>
      <c r="AN379" s="213">
        <f t="shared" si="74"/>
        <v>0</v>
      </c>
    </row>
    <row r="380" spans="1:40" x14ac:dyDescent="0.25">
      <c r="A380" s="203">
        <f>Alukset_Käynnit!A387</f>
        <v>0</v>
      </c>
      <c r="B380" s="203">
        <f>Alukset_Käynnit!B387</f>
        <v>0</v>
      </c>
      <c r="C380" s="262">
        <f>Alukset_Käynnit!C387</f>
        <v>0</v>
      </c>
      <c r="D380" s="266">
        <f>Alukset_Käynnit!D387</f>
        <v>0</v>
      </c>
      <c r="E380" s="262">
        <f>Alukset_Käynnit!E387</f>
        <v>0</v>
      </c>
      <c r="F380" s="262">
        <f>Alukset_Käynnit!F387</f>
        <v>0</v>
      </c>
      <c r="G380" s="262">
        <f>Alukset_Käynnit!G387</f>
        <v>0</v>
      </c>
      <c r="H380" s="262">
        <f>Alukset_Käynnit!H387</f>
        <v>0</v>
      </c>
      <c r="I380" s="262">
        <f>Alukset_Käynnit!I387</f>
        <v>0</v>
      </c>
      <c r="J380" s="262">
        <f>Alukset_Käynnit!J387</f>
        <v>0</v>
      </c>
      <c r="K380" s="262">
        <f>Alukset_Käynnit!K387</f>
        <v>0</v>
      </c>
      <c r="L380" s="205">
        <f>Alukset_Käynnit!L387</f>
        <v>0</v>
      </c>
      <c r="N380" s="273">
        <f t="shared" si="75"/>
        <v>0</v>
      </c>
      <c r="O380" s="274">
        <f t="shared" si="76"/>
        <v>0</v>
      </c>
      <c r="Q380" s="204">
        <f t="shared" si="65"/>
        <v>0</v>
      </c>
      <c r="R380" s="202">
        <f>IF(Q380="Other dry cargo",L380*Alukset_fx!$B$71,IF(OR(Q380="Dry bulk",Q380="Bulk carrier"),L380*Alukset_fx!$B$69,IF(Q380="Tugboat",L380*Alukset_fx!$B$76,IF(OR(Q380="Tanker",Q380="Gas tanker",Q380="Chemical tanker",Q380="Oil tanker"),L380*Alukset_fx!$B$68,IF(OR(Q380="RoRo",Q380="Vehicle carrier"),L380*Alukset_fx!$B$72,IF(Q380="RoPax",L380*Alukset_fx!$B$73,IF(Q380="Container ship",L380*Alukset_fx!$B$70,IF(Q380="Barge",0,L380*Alukset_fx!$B$75))))))))</f>
        <v>0</v>
      </c>
      <c r="S380" s="210">
        <f>IF(L380=0,IF(Q380="Other dry cargo",Alukset_fx!$H$73*(Alukset_Käynnit_Lask!K380^Alukset_fx!$I$73),IF(OR(Q380="Dry Bulk",Q380="Bulk carrier"),Alukset_fx!$H$71*(Alukset_Käynnit_Lask!K380^Alukset_fx!$I$71),IF(Q380="Tugboat",Alukset_fx!$H$78*(Alukset_Käynnit_Lask!K380^Alukset_fx!$I$78),IF(OR(Q380="Tanker",Q380="Gas tanker",Q380="Chemical tanker",Q380="Oil tanker"),Alukset_fx!$H$70*(Alukset_Käynnit_Lask!K380^Alukset_fx!$I$70),IF(Q380="Container ship",Alukset_fx!$H$72*(Alukset_Käynnit_Lask!K380^Alukset_fx!$I$72),IF(Q380="Barge",0,IF(Q380="RoPax",Alukset_fx!$H$75*(Alukset_Käynnit_Lask!K380^Alukset_fx!$I$75),IF(OR(Q380="RoRo",Q380="Vehicle carrier"),Alukset_fx!$H$74*(Alukset_Käynnit_Lask!K380^Alukset_fx!$I$74),Alukset_fx!$H$77*(Alukset_Käynnit_Lask!K380^Alukset_fx!$I$77))))))))),"-")</f>
        <v>0</v>
      </c>
      <c r="T380" s="208">
        <f>IF(R380=0,IF(Q380="Other dry cargo",S380*Alukset_fx!$B$71,IF(OR(Q380="Dry bulk",Q380="Bulk carrier"),S380*Alukset_fx!$B$69,IF(Q380="Tugboat",S380*Alukset_fx!$B$76,IF(OR(Q380="Tanker",Q380="Gas tanker",Q380="Chemical tanker",Q380="Oil tanker"),S380*Alukset_fx!$B$68,IF(OR(Q380="RoRo",Q380="Vehicle carrier"),S380*Alukset_fx!$B$72,IF(Q380="RoPax",S380*Alukset_fx!$B$73,IF(Q380="Container ship",S380*Alukset_fx!$B$70,S380*Alukset_fx!$B$75))))))),"-")</f>
        <v>0</v>
      </c>
      <c r="U380" s="208">
        <f t="shared" si="66"/>
        <v>0</v>
      </c>
      <c r="V380" s="208">
        <f t="shared" si="67"/>
        <v>0</v>
      </c>
      <c r="W380" s="202">
        <f>Alukset_Käynnit!N387</f>
        <v>0</v>
      </c>
      <c r="X380" s="211">
        <f>IF(Q380="Other dry cargo", Alukset_fx!$C$52, IF(OR(Q380="Dry bulk",Q380="Bulk carrier"),Alukset_fx!$C$35,IF(OR(Q380="Tanker",Q380="Gas tanker",Q380="Oil tanker"),Alukset_fx!$C$57,IF(Q380="Chemical tanker",Alukset_fx!$C$56,IF(OR(Q380="Tugboat",Q380="Barge"),0,IF(Q380="Other vessel",Alukset_fx!$C$54,IF(Q380="Container ship",Alukset_fx!$C$37,IF(OR(Q380="RoPax",Q380="RoRo",Q380="Vehicle carrier"),Alukset_fx!$C$55,0))))))))</f>
        <v>0</v>
      </c>
      <c r="Y380" s="211">
        <f>IF(Q380="Other dry cargo", Alukset_fx!$Q$52, IF(OR(Q380="Dry bulk",Q380="Bulk carrier"),Alukset_fx!$Q$35,IF(OR(Q380="Tanker",Q380="Gas tanker",Q380="Oil tanker"),Alukset_fx!$Q$57,IF(Q380="Chemical tanker",Alukset_fx!$Q$56,IF(OR(Q380="Tugboat",Q380="Barge"),0,IF(Q380="Other vessel",Alukset_fx!$Q$54,IF(Q380="Container ship",Alukset_fx!$Q$37,IF(OR(Q380="RoPax",Q380="RoRo",Q380="Vehicle carrier"),Alukset_fx!$Q$55,0))))))))</f>
        <v>0</v>
      </c>
      <c r="Z380" t="str">
        <f t="shared" si="68"/>
        <v>MDO/MGO</v>
      </c>
      <c r="AA380" t="str">
        <f t="shared" si="69"/>
        <v>MSD</v>
      </c>
      <c r="AB380" t="str">
        <f t="shared" si="70"/>
        <v>MDO/MGO</v>
      </c>
      <c r="AC380" t="str">
        <f t="shared" si="71"/>
        <v>MSD</v>
      </c>
      <c r="AD380" t="str">
        <f t="shared" si="72"/>
        <v>MDO/MGO</v>
      </c>
      <c r="AE380" t="str">
        <f t="shared" si="73"/>
        <v>ST</v>
      </c>
      <c r="AG380">
        <f>Alukset_Käynnit!O387</f>
        <v>0</v>
      </c>
      <c r="AH380" s="207">
        <f>IF(AA380="SSD",((U380*Alukset_fx!$B$24)*Alukset_Käynnit_Lask!W380*(Alukset_fx!$K$49)/1000),IF(AA380="MSD",((U380*Alukset_fx!$B$24)*Alukset_Käynnit_Lask!W380*(Alukset_fx!$K$52)/1000),IF(AA380="HSD",((U380*Alukset_fx!$B$24)*Alukset_Käynnit_Lask!W380*(Alukset_fx!$K$55)/1000),0)))</f>
        <v>0</v>
      </c>
      <c r="AI380" s="207">
        <f>IF(AC380="MSD",((V380*Alukset_fx!$B$25)*Alukset_Käynnit_Lask!W380*(Alukset_fx!$L$52)/1000),IF(AC380="HSD",((V380*Alukset_fx!$B$25)*Alukset_Käynnit_Lask!W380*(Alukset_fx!$L$55)/1000),0))</f>
        <v>0</v>
      </c>
      <c r="AJ380" s="207">
        <f>X380*W380*Alukset_fx!$K$61/1000</f>
        <v>0</v>
      </c>
      <c r="AK380">
        <v>0</v>
      </c>
      <c r="AL380" s="207">
        <f>IF(AG380="Käytetty",0,IF(AC380="MSD",((V380*Alukset_fx!$O$25)*Alukset_Käynnit_Lask!O380*(Alukset_fx!$L$52)/1000),IF(AC380="HSD",((V380*Alukset_fx!$O$25)*Alukset_Käynnit_Lask!O380*(Alukset_fx!$L$55)/1000),0)))</f>
        <v>0</v>
      </c>
      <c r="AM380" s="207">
        <f>IF(AG380="Käytetty",0,Y380*O380*Alukset_fx!$K$61/1000)</f>
        <v>0</v>
      </c>
      <c r="AN380" s="213">
        <f t="shared" si="74"/>
        <v>0</v>
      </c>
    </row>
    <row r="381" spans="1:40" x14ac:dyDescent="0.25">
      <c r="A381" s="203">
        <f>Alukset_Käynnit!A388</f>
        <v>0</v>
      </c>
      <c r="B381" s="203">
        <f>Alukset_Käynnit!B388</f>
        <v>0</v>
      </c>
      <c r="C381" s="262">
        <f>Alukset_Käynnit!C388</f>
        <v>0</v>
      </c>
      <c r="D381" s="266">
        <f>Alukset_Käynnit!D388</f>
        <v>0</v>
      </c>
      <c r="E381" s="262">
        <f>Alukset_Käynnit!E388</f>
        <v>0</v>
      </c>
      <c r="F381" s="262">
        <f>Alukset_Käynnit!F388</f>
        <v>0</v>
      </c>
      <c r="G381" s="262">
        <f>Alukset_Käynnit!G388</f>
        <v>0</v>
      </c>
      <c r="H381" s="262">
        <f>Alukset_Käynnit!H388</f>
        <v>0</v>
      </c>
      <c r="I381" s="262">
        <f>Alukset_Käynnit!I388</f>
        <v>0</v>
      </c>
      <c r="J381" s="262">
        <f>Alukset_Käynnit!J388</f>
        <v>0</v>
      </c>
      <c r="K381" s="262">
        <f>Alukset_Käynnit!K388</f>
        <v>0</v>
      </c>
      <c r="L381" s="205">
        <f>Alukset_Käynnit!L388</f>
        <v>0</v>
      </c>
      <c r="N381" s="273">
        <f t="shared" si="75"/>
        <v>0</v>
      </c>
      <c r="O381" s="274">
        <f t="shared" si="76"/>
        <v>0</v>
      </c>
      <c r="Q381" s="204">
        <f t="shared" si="65"/>
        <v>0</v>
      </c>
      <c r="R381" s="202">
        <f>IF(Q381="Other dry cargo",L381*Alukset_fx!$B$71,IF(OR(Q381="Dry bulk",Q381="Bulk carrier"),L381*Alukset_fx!$B$69,IF(Q381="Tugboat",L381*Alukset_fx!$B$76,IF(OR(Q381="Tanker",Q381="Gas tanker",Q381="Chemical tanker",Q381="Oil tanker"),L381*Alukset_fx!$B$68,IF(OR(Q381="RoRo",Q381="Vehicle carrier"),L381*Alukset_fx!$B$72,IF(Q381="RoPax",L381*Alukset_fx!$B$73,IF(Q381="Container ship",L381*Alukset_fx!$B$70,IF(Q381="Barge",0,L381*Alukset_fx!$B$75))))))))</f>
        <v>0</v>
      </c>
      <c r="S381" s="210">
        <f>IF(L381=0,IF(Q381="Other dry cargo",Alukset_fx!$H$73*(Alukset_Käynnit_Lask!K381^Alukset_fx!$I$73),IF(OR(Q381="Dry Bulk",Q381="Bulk carrier"),Alukset_fx!$H$71*(Alukset_Käynnit_Lask!K381^Alukset_fx!$I$71),IF(Q381="Tugboat",Alukset_fx!$H$78*(Alukset_Käynnit_Lask!K381^Alukset_fx!$I$78),IF(OR(Q381="Tanker",Q381="Gas tanker",Q381="Chemical tanker",Q381="Oil tanker"),Alukset_fx!$H$70*(Alukset_Käynnit_Lask!K381^Alukset_fx!$I$70),IF(Q381="Container ship",Alukset_fx!$H$72*(Alukset_Käynnit_Lask!K381^Alukset_fx!$I$72),IF(Q381="Barge",0,IF(Q381="RoPax",Alukset_fx!$H$75*(Alukset_Käynnit_Lask!K381^Alukset_fx!$I$75),IF(OR(Q381="RoRo",Q381="Vehicle carrier"),Alukset_fx!$H$74*(Alukset_Käynnit_Lask!K381^Alukset_fx!$I$74),Alukset_fx!$H$77*(Alukset_Käynnit_Lask!K381^Alukset_fx!$I$77))))))))),"-")</f>
        <v>0</v>
      </c>
      <c r="T381" s="208">
        <f>IF(R381=0,IF(Q381="Other dry cargo",S381*Alukset_fx!$B$71,IF(OR(Q381="Dry bulk",Q381="Bulk carrier"),S381*Alukset_fx!$B$69,IF(Q381="Tugboat",S381*Alukset_fx!$B$76,IF(OR(Q381="Tanker",Q381="Gas tanker",Q381="Chemical tanker",Q381="Oil tanker"),S381*Alukset_fx!$B$68,IF(OR(Q381="RoRo",Q381="Vehicle carrier"),S381*Alukset_fx!$B$72,IF(Q381="RoPax",S381*Alukset_fx!$B$73,IF(Q381="Container ship",S381*Alukset_fx!$B$70,S381*Alukset_fx!$B$75))))))),"-")</f>
        <v>0</v>
      </c>
      <c r="U381" s="208">
        <f t="shared" si="66"/>
        <v>0</v>
      </c>
      <c r="V381" s="208">
        <f t="shared" si="67"/>
        <v>0</v>
      </c>
      <c r="W381" s="202">
        <f>Alukset_Käynnit!N388</f>
        <v>0</v>
      </c>
      <c r="X381" s="211">
        <f>IF(Q381="Other dry cargo", Alukset_fx!$C$52, IF(OR(Q381="Dry bulk",Q381="Bulk carrier"),Alukset_fx!$C$35,IF(OR(Q381="Tanker",Q381="Gas tanker",Q381="Oil tanker"),Alukset_fx!$C$57,IF(Q381="Chemical tanker",Alukset_fx!$C$56,IF(OR(Q381="Tugboat",Q381="Barge"),0,IF(Q381="Other vessel",Alukset_fx!$C$54,IF(Q381="Container ship",Alukset_fx!$C$37,IF(OR(Q381="RoPax",Q381="RoRo",Q381="Vehicle carrier"),Alukset_fx!$C$55,0))))))))</f>
        <v>0</v>
      </c>
      <c r="Y381" s="211">
        <f>IF(Q381="Other dry cargo", Alukset_fx!$Q$52, IF(OR(Q381="Dry bulk",Q381="Bulk carrier"),Alukset_fx!$Q$35,IF(OR(Q381="Tanker",Q381="Gas tanker",Q381="Oil tanker"),Alukset_fx!$Q$57,IF(Q381="Chemical tanker",Alukset_fx!$Q$56,IF(OR(Q381="Tugboat",Q381="Barge"),0,IF(Q381="Other vessel",Alukset_fx!$Q$54,IF(Q381="Container ship",Alukset_fx!$Q$37,IF(OR(Q381="RoPax",Q381="RoRo",Q381="Vehicle carrier"),Alukset_fx!$Q$55,0))))))))</f>
        <v>0</v>
      </c>
      <c r="Z381" t="str">
        <f t="shared" si="68"/>
        <v>MDO/MGO</v>
      </c>
      <c r="AA381" t="str">
        <f t="shared" si="69"/>
        <v>MSD</v>
      </c>
      <c r="AB381" t="str">
        <f t="shared" si="70"/>
        <v>MDO/MGO</v>
      </c>
      <c r="AC381" t="str">
        <f t="shared" si="71"/>
        <v>MSD</v>
      </c>
      <c r="AD381" t="str">
        <f t="shared" si="72"/>
        <v>MDO/MGO</v>
      </c>
      <c r="AE381" t="str">
        <f t="shared" si="73"/>
        <v>ST</v>
      </c>
      <c r="AG381">
        <f>Alukset_Käynnit!O388</f>
        <v>0</v>
      </c>
      <c r="AH381" s="207">
        <f>IF(AA381="SSD",((U381*Alukset_fx!$B$24)*Alukset_Käynnit_Lask!W381*(Alukset_fx!$K$49)/1000),IF(AA381="MSD",((U381*Alukset_fx!$B$24)*Alukset_Käynnit_Lask!W381*(Alukset_fx!$K$52)/1000),IF(AA381="HSD",((U381*Alukset_fx!$B$24)*Alukset_Käynnit_Lask!W381*(Alukset_fx!$K$55)/1000),0)))</f>
        <v>0</v>
      </c>
      <c r="AI381" s="207">
        <f>IF(AC381="MSD",((V381*Alukset_fx!$B$25)*Alukset_Käynnit_Lask!W381*(Alukset_fx!$L$52)/1000),IF(AC381="HSD",((V381*Alukset_fx!$B$25)*Alukset_Käynnit_Lask!W381*(Alukset_fx!$L$55)/1000),0))</f>
        <v>0</v>
      </c>
      <c r="AJ381" s="207">
        <f>X381*W381*Alukset_fx!$K$61/1000</f>
        <v>0</v>
      </c>
      <c r="AK381">
        <v>0</v>
      </c>
      <c r="AL381" s="207">
        <f>IF(AG381="Käytetty",0,IF(AC381="MSD",((V381*Alukset_fx!$O$25)*Alukset_Käynnit_Lask!O381*(Alukset_fx!$L$52)/1000),IF(AC381="HSD",((V381*Alukset_fx!$O$25)*Alukset_Käynnit_Lask!O381*(Alukset_fx!$L$55)/1000),0)))</f>
        <v>0</v>
      </c>
      <c r="AM381" s="207">
        <f>IF(AG381="Käytetty",0,Y381*O381*Alukset_fx!$K$61/1000)</f>
        <v>0</v>
      </c>
      <c r="AN381" s="213">
        <f t="shared" si="74"/>
        <v>0</v>
      </c>
    </row>
    <row r="382" spans="1:40" x14ac:dyDescent="0.25">
      <c r="A382" s="203">
        <f>Alukset_Käynnit!A389</f>
        <v>0</v>
      </c>
      <c r="B382" s="203">
        <f>Alukset_Käynnit!B389</f>
        <v>0</v>
      </c>
      <c r="C382" s="262">
        <f>Alukset_Käynnit!C389</f>
        <v>0</v>
      </c>
      <c r="D382" s="266">
        <f>Alukset_Käynnit!D389</f>
        <v>0</v>
      </c>
      <c r="E382" s="262">
        <f>Alukset_Käynnit!E389</f>
        <v>0</v>
      </c>
      <c r="F382" s="262">
        <f>Alukset_Käynnit!F389</f>
        <v>0</v>
      </c>
      <c r="G382" s="262">
        <f>Alukset_Käynnit!G389</f>
        <v>0</v>
      </c>
      <c r="H382" s="262">
        <f>Alukset_Käynnit!H389</f>
        <v>0</v>
      </c>
      <c r="I382" s="262">
        <f>Alukset_Käynnit!I389</f>
        <v>0</v>
      </c>
      <c r="J382" s="262">
        <f>Alukset_Käynnit!J389</f>
        <v>0</v>
      </c>
      <c r="K382" s="262">
        <f>Alukset_Käynnit!K389</f>
        <v>0</v>
      </c>
      <c r="L382" s="205">
        <f>Alukset_Käynnit!L389</f>
        <v>0</v>
      </c>
      <c r="N382" s="273">
        <f t="shared" si="75"/>
        <v>0</v>
      </c>
      <c r="O382" s="274">
        <f t="shared" si="76"/>
        <v>0</v>
      </c>
      <c r="Q382" s="204">
        <f t="shared" si="65"/>
        <v>0</v>
      </c>
      <c r="R382" s="202">
        <f>IF(Q382="Other dry cargo",L382*Alukset_fx!$B$71,IF(OR(Q382="Dry bulk",Q382="Bulk carrier"),L382*Alukset_fx!$B$69,IF(Q382="Tugboat",L382*Alukset_fx!$B$76,IF(OR(Q382="Tanker",Q382="Gas tanker",Q382="Chemical tanker",Q382="Oil tanker"),L382*Alukset_fx!$B$68,IF(OR(Q382="RoRo",Q382="Vehicle carrier"),L382*Alukset_fx!$B$72,IF(Q382="RoPax",L382*Alukset_fx!$B$73,IF(Q382="Container ship",L382*Alukset_fx!$B$70,IF(Q382="Barge",0,L382*Alukset_fx!$B$75))))))))</f>
        <v>0</v>
      </c>
      <c r="S382" s="210">
        <f>IF(L382=0,IF(Q382="Other dry cargo",Alukset_fx!$H$73*(Alukset_Käynnit_Lask!K382^Alukset_fx!$I$73),IF(OR(Q382="Dry Bulk",Q382="Bulk carrier"),Alukset_fx!$H$71*(Alukset_Käynnit_Lask!K382^Alukset_fx!$I$71),IF(Q382="Tugboat",Alukset_fx!$H$78*(Alukset_Käynnit_Lask!K382^Alukset_fx!$I$78),IF(OR(Q382="Tanker",Q382="Gas tanker",Q382="Chemical tanker",Q382="Oil tanker"),Alukset_fx!$H$70*(Alukset_Käynnit_Lask!K382^Alukset_fx!$I$70),IF(Q382="Container ship",Alukset_fx!$H$72*(Alukset_Käynnit_Lask!K382^Alukset_fx!$I$72),IF(Q382="Barge",0,IF(Q382="RoPax",Alukset_fx!$H$75*(Alukset_Käynnit_Lask!K382^Alukset_fx!$I$75),IF(OR(Q382="RoRo",Q382="Vehicle carrier"),Alukset_fx!$H$74*(Alukset_Käynnit_Lask!K382^Alukset_fx!$I$74),Alukset_fx!$H$77*(Alukset_Käynnit_Lask!K382^Alukset_fx!$I$77))))))))),"-")</f>
        <v>0</v>
      </c>
      <c r="T382" s="208">
        <f>IF(R382=0,IF(Q382="Other dry cargo",S382*Alukset_fx!$B$71,IF(OR(Q382="Dry bulk",Q382="Bulk carrier"),S382*Alukset_fx!$B$69,IF(Q382="Tugboat",S382*Alukset_fx!$B$76,IF(OR(Q382="Tanker",Q382="Gas tanker",Q382="Chemical tanker",Q382="Oil tanker"),S382*Alukset_fx!$B$68,IF(OR(Q382="RoRo",Q382="Vehicle carrier"),S382*Alukset_fx!$B$72,IF(Q382="RoPax",S382*Alukset_fx!$B$73,IF(Q382="Container ship",S382*Alukset_fx!$B$70,S382*Alukset_fx!$B$75))))))),"-")</f>
        <v>0</v>
      </c>
      <c r="U382" s="208">
        <f t="shared" si="66"/>
        <v>0</v>
      </c>
      <c r="V382" s="208">
        <f t="shared" si="67"/>
        <v>0</v>
      </c>
      <c r="W382" s="202">
        <f>Alukset_Käynnit!N389</f>
        <v>0</v>
      </c>
      <c r="X382" s="211">
        <f>IF(Q382="Other dry cargo", Alukset_fx!$C$52, IF(OR(Q382="Dry bulk",Q382="Bulk carrier"),Alukset_fx!$C$35,IF(OR(Q382="Tanker",Q382="Gas tanker",Q382="Oil tanker"),Alukset_fx!$C$57,IF(Q382="Chemical tanker",Alukset_fx!$C$56,IF(OR(Q382="Tugboat",Q382="Barge"),0,IF(Q382="Other vessel",Alukset_fx!$C$54,IF(Q382="Container ship",Alukset_fx!$C$37,IF(OR(Q382="RoPax",Q382="RoRo",Q382="Vehicle carrier"),Alukset_fx!$C$55,0))))))))</f>
        <v>0</v>
      </c>
      <c r="Y382" s="211">
        <f>IF(Q382="Other dry cargo", Alukset_fx!$Q$52, IF(OR(Q382="Dry bulk",Q382="Bulk carrier"),Alukset_fx!$Q$35,IF(OR(Q382="Tanker",Q382="Gas tanker",Q382="Oil tanker"),Alukset_fx!$Q$57,IF(Q382="Chemical tanker",Alukset_fx!$Q$56,IF(OR(Q382="Tugboat",Q382="Barge"),0,IF(Q382="Other vessel",Alukset_fx!$Q$54,IF(Q382="Container ship",Alukset_fx!$Q$37,IF(OR(Q382="RoPax",Q382="RoRo",Q382="Vehicle carrier"),Alukset_fx!$Q$55,0))))))))</f>
        <v>0</v>
      </c>
      <c r="Z382" t="str">
        <f t="shared" si="68"/>
        <v>MDO/MGO</v>
      </c>
      <c r="AA382" t="str">
        <f t="shared" si="69"/>
        <v>MSD</v>
      </c>
      <c r="AB382" t="str">
        <f t="shared" si="70"/>
        <v>MDO/MGO</v>
      </c>
      <c r="AC382" t="str">
        <f t="shared" si="71"/>
        <v>MSD</v>
      </c>
      <c r="AD382" t="str">
        <f t="shared" si="72"/>
        <v>MDO/MGO</v>
      </c>
      <c r="AE382" t="str">
        <f t="shared" si="73"/>
        <v>ST</v>
      </c>
      <c r="AG382">
        <f>Alukset_Käynnit!O389</f>
        <v>0</v>
      </c>
      <c r="AH382" s="207">
        <f>IF(AA382="SSD",((U382*Alukset_fx!$B$24)*Alukset_Käynnit_Lask!W382*(Alukset_fx!$K$49)/1000),IF(AA382="MSD",((U382*Alukset_fx!$B$24)*Alukset_Käynnit_Lask!W382*(Alukset_fx!$K$52)/1000),IF(AA382="HSD",((U382*Alukset_fx!$B$24)*Alukset_Käynnit_Lask!W382*(Alukset_fx!$K$55)/1000),0)))</f>
        <v>0</v>
      </c>
      <c r="AI382" s="207">
        <f>IF(AC382="MSD",((V382*Alukset_fx!$B$25)*Alukset_Käynnit_Lask!W382*(Alukset_fx!$L$52)/1000),IF(AC382="HSD",((V382*Alukset_fx!$B$25)*Alukset_Käynnit_Lask!W382*(Alukset_fx!$L$55)/1000),0))</f>
        <v>0</v>
      </c>
      <c r="AJ382" s="207">
        <f>X382*W382*Alukset_fx!$K$61/1000</f>
        <v>0</v>
      </c>
      <c r="AK382">
        <v>0</v>
      </c>
      <c r="AL382" s="207">
        <f>IF(AG382="Käytetty",0,IF(AC382="MSD",((V382*Alukset_fx!$O$25)*Alukset_Käynnit_Lask!O382*(Alukset_fx!$L$52)/1000),IF(AC382="HSD",((V382*Alukset_fx!$O$25)*Alukset_Käynnit_Lask!O382*(Alukset_fx!$L$55)/1000),0)))</f>
        <v>0</v>
      </c>
      <c r="AM382" s="207">
        <f>IF(AG382="Käytetty",0,Y382*O382*Alukset_fx!$K$61/1000)</f>
        <v>0</v>
      </c>
      <c r="AN382" s="213">
        <f t="shared" si="74"/>
        <v>0</v>
      </c>
    </row>
    <row r="383" spans="1:40" x14ac:dyDescent="0.25">
      <c r="A383" s="203">
        <f>Alukset_Käynnit!A390</f>
        <v>0</v>
      </c>
      <c r="B383" s="203">
        <f>Alukset_Käynnit!B390</f>
        <v>0</v>
      </c>
      <c r="C383" s="262">
        <f>Alukset_Käynnit!C390</f>
        <v>0</v>
      </c>
      <c r="D383" s="266">
        <f>Alukset_Käynnit!D390</f>
        <v>0</v>
      </c>
      <c r="E383" s="262">
        <f>Alukset_Käynnit!E390</f>
        <v>0</v>
      </c>
      <c r="F383" s="262">
        <f>Alukset_Käynnit!F390</f>
        <v>0</v>
      </c>
      <c r="G383" s="262">
        <f>Alukset_Käynnit!G390</f>
        <v>0</v>
      </c>
      <c r="H383" s="262">
        <f>Alukset_Käynnit!H390</f>
        <v>0</v>
      </c>
      <c r="I383" s="262">
        <f>Alukset_Käynnit!I390</f>
        <v>0</v>
      </c>
      <c r="J383" s="262">
        <f>Alukset_Käynnit!J390</f>
        <v>0</v>
      </c>
      <c r="K383" s="262">
        <f>Alukset_Käynnit!K390</f>
        <v>0</v>
      </c>
      <c r="L383" s="205">
        <f>Alukset_Käynnit!L390</f>
        <v>0</v>
      </c>
      <c r="N383" s="273">
        <f t="shared" si="75"/>
        <v>0</v>
      </c>
      <c r="O383" s="274">
        <f t="shared" si="76"/>
        <v>0</v>
      </c>
      <c r="Q383" s="204">
        <f t="shared" si="65"/>
        <v>0</v>
      </c>
      <c r="R383" s="202">
        <f>IF(Q383="Other dry cargo",L383*Alukset_fx!$B$71,IF(OR(Q383="Dry bulk",Q383="Bulk carrier"),L383*Alukset_fx!$B$69,IF(Q383="Tugboat",L383*Alukset_fx!$B$76,IF(OR(Q383="Tanker",Q383="Gas tanker",Q383="Chemical tanker",Q383="Oil tanker"),L383*Alukset_fx!$B$68,IF(OR(Q383="RoRo",Q383="Vehicle carrier"),L383*Alukset_fx!$B$72,IF(Q383="RoPax",L383*Alukset_fx!$B$73,IF(Q383="Container ship",L383*Alukset_fx!$B$70,IF(Q383="Barge",0,L383*Alukset_fx!$B$75))))))))</f>
        <v>0</v>
      </c>
      <c r="S383" s="210">
        <f>IF(L383=0,IF(Q383="Other dry cargo",Alukset_fx!$H$73*(Alukset_Käynnit_Lask!K383^Alukset_fx!$I$73),IF(OR(Q383="Dry Bulk",Q383="Bulk carrier"),Alukset_fx!$H$71*(Alukset_Käynnit_Lask!K383^Alukset_fx!$I$71),IF(Q383="Tugboat",Alukset_fx!$H$78*(Alukset_Käynnit_Lask!K383^Alukset_fx!$I$78),IF(OR(Q383="Tanker",Q383="Gas tanker",Q383="Chemical tanker",Q383="Oil tanker"),Alukset_fx!$H$70*(Alukset_Käynnit_Lask!K383^Alukset_fx!$I$70),IF(Q383="Container ship",Alukset_fx!$H$72*(Alukset_Käynnit_Lask!K383^Alukset_fx!$I$72),IF(Q383="Barge",0,IF(Q383="RoPax",Alukset_fx!$H$75*(Alukset_Käynnit_Lask!K383^Alukset_fx!$I$75),IF(OR(Q383="RoRo",Q383="Vehicle carrier"),Alukset_fx!$H$74*(Alukset_Käynnit_Lask!K383^Alukset_fx!$I$74),Alukset_fx!$H$77*(Alukset_Käynnit_Lask!K383^Alukset_fx!$I$77))))))))),"-")</f>
        <v>0</v>
      </c>
      <c r="T383" s="208">
        <f>IF(R383=0,IF(Q383="Other dry cargo",S383*Alukset_fx!$B$71,IF(OR(Q383="Dry bulk",Q383="Bulk carrier"),S383*Alukset_fx!$B$69,IF(Q383="Tugboat",S383*Alukset_fx!$B$76,IF(OR(Q383="Tanker",Q383="Gas tanker",Q383="Chemical tanker",Q383="Oil tanker"),S383*Alukset_fx!$B$68,IF(OR(Q383="RoRo",Q383="Vehicle carrier"),S383*Alukset_fx!$B$72,IF(Q383="RoPax",S383*Alukset_fx!$B$73,IF(Q383="Container ship",S383*Alukset_fx!$B$70,S383*Alukset_fx!$B$75))))))),"-")</f>
        <v>0</v>
      </c>
      <c r="U383" s="208">
        <f t="shared" si="66"/>
        <v>0</v>
      </c>
      <c r="V383" s="208">
        <f t="shared" si="67"/>
        <v>0</v>
      </c>
      <c r="W383" s="202">
        <f>Alukset_Käynnit!N390</f>
        <v>0</v>
      </c>
      <c r="X383" s="211">
        <f>IF(Q383="Other dry cargo", Alukset_fx!$C$52, IF(OR(Q383="Dry bulk",Q383="Bulk carrier"),Alukset_fx!$C$35,IF(OR(Q383="Tanker",Q383="Gas tanker",Q383="Oil tanker"),Alukset_fx!$C$57,IF(Q383="Chemical tanker",Alukset_fx!$C$56,IF(OR(Q383="Tugboat",Q383="Barge"),0,IF(Q383="Other vessel",Alukset_fx!$C$54,IF(Q383="Container ship",Alukset_fx!$C$37,IF(OR(Q383="RoPax",Q383="RoRo",Q383="Vehicle carrier"),Alukset_fx!$C$55,0))))))))</f>
        <v>0</v>
      </c>
      <c r="Y383" s="211">
        <f>IF(Q383="Other dry cargo", Alukset_fx!$Q$52, IF(OR(Q383="Dry bulk",Q383="Bulk carrier"),Alukset_fx!$Q$35,IF(OR(Q383="Tanker",Q383="Gas tanker",Q383="Oil tanker"),Alukset_fx!$Q$57,IF(Q383="Chemical tanker",Alukset_fx!$Q$56,IF(OR(Q383="Tugboat",Q383="Barge"),0,IF(Q383="Other vessel",Alukset_fx!$Q$54,IF(Q383="Container ship",Alukset_fx!$Q$37,IF(OR(Q383="RoPax",Q383="RoRo",Q383="Vehicle carrier"),Alukset_fx!$Q$55,0))))))))</f>
        <v>0</v>
      </c>
      <c r="Z383" t="str">
        <f t="shared" si="68"/>
        <v>MDO/MGO</v>
      </c>
      <c r="AA383" t="str">
        <f t="shared" si="69"/>
        <v>MSD</v>
      </c>
      <c r="AB383" t="str">
        <f t="shared" si="70"/>
        <v>MDO/MGO</v>
      </c>
      <c r="AC383" t="str">
        <f t="shared" si="71"/>
        <v>MSD</v>
      </c>
      <c r="AD383" t="str">
        <f t="shared" si="72"/>
        <v>MDO/MGO</v>
      </c>
      <c r="AE383" t="str">
        <f t="shared" si="73"/>
        <v>ST</v>
      </c>
      <c r="AG383">
        <f>Alukset_Käynnit!O390</f>
        <v>0</v>
      </c>
      <c r="AH383" s="207">
        <f>IF(AA383="SSD",((U383*Alukset_fx!$B$24)*Alukset_Käynnit_Lask!W383*(Alukset_fx!$K$49)/1000),IF(AA383="MSD",((U383*Alukset_fx!$B$24)*Alukset_Käynnit_Lask!W383*(Alukset_fx!$K$52)/1000),IF(AA383="HSD",((U383*Alukset_fx!$B$24)*Alukset_Käynnit_Lask!W383*(Alukset_fx!$K$55)/1000),0)))</f>
        <v>0</v>
      </c>
      <c r="AI383" s="207">
        <f>IF(AC383="MSD",((V383*Alukset_fx!$B$25)*Alukset_Käynnit_Lask!W383*(Alukset_fx!$L$52)/1000),IF(AC383="HSD",((V383*Alukset_fx!$B$25)*Alukset_Käynnit_Lask!W383*(Alukset_fx!$L$55)/1000),0))</f>
        <v>0</v>
      </c>
      <c r="AJ383" s="207">
        <f>X383*W383*Alukset_fx!$K$61/1000</f>
        <v>0</v>
      </c>
      <c r="AK383">
        <v>0</v>
      </c>
      <c r="AL383" s="207">
        <f>IF(AG383="Käytetty",0,IF(AC383="MSD",((V383*Alukset_fx!$O$25)*Alukset_Käynnit_Lask!O383*(Alukset_fx!$L$52)/1000),IF(AC383="HSD",((V383*Alukset_fx!$O$25)*Alukset_Käynnit_Lask!O383*(Alukset_fx!$L$55)/1000),0)))</f>
        <v>0</v>
      </c>
      <c r="AM383" s="207">
        <f>IF(AG383="Käytetty",0,Y383*O383*Alukset_fx!$K$61/1000)</f>
        <v>0</v>
      </c>
      <c r="AN383" s="213">
        <f t="shared" si="74"/>
        <v>0</v>
      </c>
    </row>
    <row r="384" spans="1:40" x14ac:dyDescent="0.25">
      <c r="A384" s="203">
        <f>Alukset_Käynnit!A391</f>
        <v>0</v>
      </c>
      <c r="B384" s="203">
        <f>Alukset_Käynnit!B391</f>
        <v>0</v>
      </c>
      <c r="C384" s="262">
        <f>Alukset_Käynnit!C391</f>
        <v>0</v>
      </c>
      <c r="D384" s="266">
        <f>Alukset_Käynnit!D391</f>
        <v>0</v>
      </c>
      <c r="E384" s="262">
        <f>Alukset_Käynnit!E391</f>
        <v>0</v>
      </c>
      <c r="F384" s="262">
        <f>Alukset_Käynnit!F391</f>
        <v>0</v>
      </c>
      <c r="G384" s="262">
        <f>Alukset_Käynnit!G391</f>
        <v>0</v>
      </c>
      <c r="H384" s="262">
        <f>Alukset_Käynnit!H391</f>
        <v>0</v>
      </c>
      <c r="I384" s="262">
        <f>Alukset_Käynnit!I391</f>
        <v>0</v>
      </c>
      <c r="J384" s="262">
        <f>Alukset_Käynnit!J391</f>
        <v>0</v>
      </c>
      <c r="K384" s="262">
        <f>Alukset_Käynnit!K391</f>
        <v>0</v>
      </c>
      <c r="L384" s="205">
        <f>Alukset_Käynnit!L391</f>
        <v>0</v>
      </c>
      <c r="N384" s="273">
        <f t="shared" si="75"/>
        <v>0</v>
      </c>
      <c r="O384" s="274">
        <f t="shared" si="76"/>
        <v>0</v>
      </c>
      <c r="Q384" s="204">
        <f t="shared" si="65"/>
        <v>0</v>
      </c>
      <c r="R384" s="202">
        <f>IF(Q384="Other dry cargo",L384*Alukset_fx!$B$71,IF(OR(Q384="Dry bulk",Q384="Bulk carrier"),L384*Alukset_fx!$B$69,IF(Q384="Tugboat",L384*Alukset_fx!$B$76,IF(OR(Q384="Tanker",Q384="Gas tanker",Q384="Chemical tanker",Q384="Oil tanker"),L384*Alukset_fx!$B$68,IF(OR(Q384="RoRo",Q384="Vehicle carrier"),L384*Alukset_fx!$B$72,IF(Q384="RoPax",L384*Alukset_fx!$B$73,IF(Q384="Container ship",L384*Alukset_fx!$B$70,IF(Q384="Barge",0,L384*Alukset_fx!$B$75))))))))</f>
        <v>0</v>
      </c>
      <c r="S384" s="210">
        <f>IF(L384=0,IF(Q384="Other dry cargo",Alukset_fx!$H$73*(Alukset_Käynnit_Lask!K384^Alukset_fx!$I$73),IF(OR(Q384="Dry Bulk",Q384="Bulk carrier"),Alukset_fx!$H$71*(Alukset_Käynnit_Lask!K384^Alukset_fx!$I$71),IF(Q384="Tugboat",Alukset_fx!$H$78*(Alukset_Käynnit_Lask!K384^Alukset_fx!$I$78),IF(OR(Q384="Tanker",Q384="Gas tanker",Q384="Chemical tanker",Q384="Oil tanker"),Alukset_fx!$H$70*(Alukset_Käynnit_Lask!K384^Alukset_fx!$I$70),IF(Q384="Container ship",Alukset_fx!$H$72*(Alukset_Käynnit_Lask!K384^Alukset_fx!$I$72),IF(Q384="Barge",0,IF(Q384="RoPax",Alukset_fx!$H$75*(Alukset_Käynnit_Lask!K384^Alukset_fx!$I$75),IF(OR(Q384="RoRo",Q384="Vehicle carrier"),Alukset_fx!$H$74*(Alukset_Käynnit_Lask!K384^Alukset_fx!$I$74),Alukset_fx!$H$77*(Alukset_Käynnit_Lask!K384^Alukset_fx!$I$77))))))))),"-")</f>
        <v>0</v>
      </c>
      <c r="T384" s="208">
        <f>IF(R384=0,IF(Q384="Other dry cargo",S384*Alukset_fx!$B$71,IF(OR(Q384="Dry bulk",Q384="Bulk carrier"),S384*Alukset_fx!$B$69,IF(Q384="Tugboat",S384*Alukset_fx!$B$76,IF(OR(Q384="Tanker",Q384="Gas tanker",Q384="Chemical tanker",Q384="Oil tanker"),S384*Alukset_fx!$B$68,IF(OR(Q384="RoRo",Q384="Vehicle carrier"),S384*Alukset_fx!$B$72,IF(Q384="RoPax",S384*Alukset_fx!$B$73,IF(Q384="Container ship",S384*Alukset_fx!$B$70,S384*Alukset_fx!$B$75))))))),"-")</f>
        <v>0</v>
      </c>
      <c r="U384" s="208">
        <f t="shared" si="66"/>
        <v>0</v>
      </c>
      <c r="V384" s="208">
        <f t="shared" si="67"/>
        <v>0</v>
      </c>
      <c r="W384" s="202">
        <f>Alukset_Käynnit!N391</f>
        <v>0</v>
      </c>
      <c r="X384" s="211">
        <f>IF(Q384="Other dry cargo", Alukset_fx!$C$52, IF(OR(Q384="Dry bulk",Q384="Bulk carrier"),Alukset_fx!$C$35,IF(OR(Q384="Tanker",Q384="Gas tanker",Q384="Oil tanker"),Alukset_fx!$C$57,IF(Q384="Chemical tanker",Alukset_fx!$C$56,IF(OR(Q384="Tugboat",Q384="Barge"),0,IF(Q384="Other vessel",Alukset_fx!$C$54,IF(Q384="Container ship",Alukset_fx!$C$37,IF(OR(Q384="RoPax",Q384="RoRo",Q384="Vehicle carrier"),Alukset_fx!$C$55,0))))))))</f>
        <v>0</v>
      </c>
      <c r="Y384" s="211">
        <f>IF(Q384="Other dry cargo", Alukset_fx!$Q$52, IF(OR(Q384="Dry bulk",Q384="Bulk carrier"),Alukset_fx!$Q$35,IF(OR(Q384="Tanker",Q384="Gas tanker",Q384="Oil tanker"),Alukset_fx!$Q$57,IF(Q384="Chemical tanker",Alukset_fx!$Q$56,IF(OR(Q384="Tugboat",Q384="Barge"),0,IF(Q384="Other vessel",Alukset_fx!$Q$54,IF(Q384="Container ship",Alukset_fx!$Q$37,IF(OR(Q384="RoPax",Q384="RoRo",Q384="Vehicle carrier"),Alukset_fx!$Q$55,0))))))))</f>
        <v>0</v>
      </c>
      <c r="Z384" t="str">
        <f t="shared" si="68"/>
        <v>MDO/MGO</v>
      </c>
      <c r="AA384" t="str">
        <f t="shared" si="69"/>
        <v>MSD</v>
      </c>
      <c r="AB384" t="str">
        <f t="shared" si="70"/>
        <v>MDO/MGO</v>
      </c>
      <c r="AC384" t="str">
        <f t="shared" si="71"/>
        <v>MSD</v>
      </c>
      <c r="AD384" t="str">
        <f t="shared" si="72"/>
        <v>MDO/MGO</v>
      </c>
      <c r="AE384" t="str">
        <f t="shared" si="73"/>
        <v>ST</v>
      </c>
      <c r="AG384">
        <f>Alukset_Käynnit!O391</f>
        <v>0</v>
      </c>
      <c r="AH384" s="207">
        <f>IF(AA384="SSD",((U384*Alukset_fx!$B$24)*Alukset_Käynnit_Lask!W384*(Alukset_fx!$K$49)/1000),IF(AA384="MSD",((U384*Alukset_fx!$B$24)*Alukset_Käynnit_Lask!W384*(Alukset_fx!$K$52)/1000),IF(AA384="HSD",((U384*Alukset_fx!$B$24)*Alukset_Käynnit_Lask!W384*(Alukset_fx!$K$55)/1000),0)))</f>
        <v>0</v>
      </c>
      <c r="AI384" s="207">
        <f>IF(AC384="MSD",((V384*Alukset_fx!$B$25)*Alukset_Käynnit_Lask!W384*(Alukset_fx!$L$52)/1000),IF(AC384="HSD",((V384*Alukset_fx!$B$25)*Alukset_Käynnit_Lask!W384*(Alukset_fx!$L$55)/1000),0))</f>
        <v>0</v>
      </c>
      <c r="AJ384" s="207">
        <f>X384*W384*Alukset_fx!$K$61/1000</f>
        <v>0</v>
      </c>
      <c r="AK384">
        <v>0</v>
      </c>
      <c r="AL384" s="207">
        <f>IF(AG384="Käytetty",0,IF(AC384="MSD",((V384*Alukset_fx!$O$25)*Alukset_Käynnit_Lask!O384*(Alukset_fx!$L$52)/1000),IF(AC384="HSD",((V384*Alukset_fx!$O$25)*Alukset_Käynnit_Lask!O384*(Alukset_fx!$L$55)/1000),0)))</f>
        <v>0</v>
      </c>
      <c r="AM384" s="207">
        <f>IF(AG384="Käytetty",0,Y384*O384*Alukset_fx!$K$61/1000)</f>
        <v>0</v>
      </c>
      <c r="AN384" s="213">
        <f t="shared" si="74"/>
        <v>0</v>
      </c>
    </row>
    <row r="385" spans="1:40" x14ac:dyDescent="0.25">
      <c r="A385" s="203">
        <f>Alukset_Käynnit!A392</f>
        <v>0</v>
      </c>
      <c r="B385" s="203">
        <f>Alukset_Käynnit!B392</f>
        <v>0</v>
      </c>
      <c r="C385" s="262">
        <f>Alukset_Käynnit!C392</f>
        <v>0</v>
      </c>
      <c r="D385" s="266">
        <f>Alukset_Käynnit!D392</f>
        <v>0</v>
      </c>
      <c r="E385" s="262">
        <f>Alukset_Käynnit!E392</f>
        <v>0</v>
      </c>
      <c r="F385" s="262">
        <f>Alukset_Käynnit!F392</f>
        <v>0</v>
      </c>
      <c r="G385" s="262">
        <f>Alukset_Käynnit!G392</f>
        <v>0</v>
      </c>
      <c r="H385" s="262">
        <f>Alukset_Käynnit!H392</f>
        <v>0</v>
      </c>
      <c r="I385" s="262">
        <f>Alukset_Käynnit!I392</f>
        <v>0</v>
      </c>
      <c r="J385" s="262">
        <f>Alukset_Käynnit!J392</f>
        <v>0</v>
      </c>
      <c r="K385" s="262">
        <f>Alukset_Käynnit!K392</f>
        <v>0</v>
      </c>
      <c r="L385" s="205">
        <f>Alukset_Käynnit!L392</f>
        <v>0</v>
      </c>
      <c r="N385" s="273">
        <f t="shared" si="75"/>
        <v>0</v>
      </c>
      <c r="O385" s="274">
        <f t="shared" si="76"/>
        <v>0</v>
      </c>
      <c r="Q385" s="204">
        <f t="shared" si="65"/>
        <v>0</v>
      </c>
      <c r="R385" s="202">
        <f>IF(Q385="Other dry cargo",L385*Alukset_fx!$B$71,IF(OR(Q385="Dry bulk",Q385="Bulk carrier"),L385*Alukset_fx!$B$69,IF(Q385="Tugboat",L385*Alukset_fx!$B$76,IF(OR(Q385="Tanker",Q385="Gas tanker",Q385="Chemical tanker",Q385="Oil tanker"),L385*Alukset_fx!$B$68,IF(OR(Q385="RoRo",Q385="Vehicle carrier"),L385*Alukset_fx!$B$72,IF(Q385="RoPax",L385*Alukset_fx!$B$73,IF(Q385="Container ship",L385*Alukset_fx!$B$70,IF(Q385="Barge",0,L385*Alukset_fx!$B$75))))))))</f>
        <v>0</v>
      </c>
      <c r="S385" s="210">
        <f>IF(L385=0,IF(Q385="Other dry cargo",Alukset_fx!$H$73*(Alukset_Käynnit_Lask!K385^Alukset_fx!$I$73),IF(OR(Q385="Dry Bulk",Q385="Bulk carrier"),Alukset_fx!$H$71*(Alukset_Käynnit_Lask!K385^Alukset_fx!$I$71),IF(Q385="Tugboat",Alukset_fx!$H$78*(Alukset_Käynnit_Lask!K385^Alukset_fx!$I$78),IF(OR(Q385="Tanker",Q385="Gas tanker",Q385="Chemical tanker",Q385="Oil tanker"),Alukset_fx!$H$70*(Alukset_Käynnit_Lask!K385^Alukset_fx!$I$70),IF(Q385="Container ship",Alukset_fx!$H$72*(Alukset_Käynnit_Lask!K385^Alukset_fx!$I$72),IF(Q385="Barge",0,IF(Q385="RoPax",Alukset_fx!$H$75*(Alukset_Käynnit_Lask!K385^Alukset_fx!$I$75),IF(OR(Q385="RoRo",Q385="Vehicle carrier"),Alukset_fx!$H$74*(Alukset_Käynnit_Lask!K385^Alukset_fx!$I$74),Alukset_fx!$H$77*(Alukset_Käynnit_Lask!K385^Alukset_fx!$I$77))))))))),"-")</f>
        <v>0</v>
      </c>
      <c r="T385" s="208">
        <f>IF(R385=0,IF(Q385="Other dry cargo",S385*Alukset_fx!$B$71,IF(OR(Q385="Dry bulk",Q385="Bulk carrier"),S385*Alukset_fx!$B$69,IF(Q385="Tugboat",S385*Alukset_fx!$B$76,IF(OR(Q385="Tanker",Q385="Gas tanker",Q385="Chemical tanker",Q385="Oil tanker"),S385*Alukset_fx!$B$68,IF(OR(Q385="RoRo",Q385="Vehicle carrier"),S385*Alukset_fx!$B$72,IF(Q385="RoPax",S385*Alukset_fx!$B$73,IF(Q385="Container ship",S385*Alukset_fx!$B$70,S385*Alukset_fx!$B$75))))))),"-")</f>
        <v>0</v>
      </c>
      <c r="U385" s="208">
        <f t="shared" si="66"/>
        <v>0</v>
      </c>
      <c r="V385" s="208">
        <f t="shared" si="67"/>
        <v>0</v>
      </c>
      <c r="W385" s="202">
        <f>Alukset_Käynnit!N392</f>
        <v>0</v>
      </c>
      <c r="X385" s="211">
        <f>IF(Q385="Other dry cargo", Alukset_fx!$C$52, IF(OR(Q385="Dry bulk",Q385="Bulk carrier"),Alukset_fx!$C$35,IF(OR(Q385="Tanker",Q385="Gas tanker",Q385="Oil tanker"),Alukset_fx!$C$57,IF(Q385="Chemical tanker",Alukset_fx!$C$56,IF(OR(Q385="Tugboat",Q385="Barge"),0,IF(Q385="Other vessel",Alukset_fx!$C$54,IF(Q385="Container ship",Alukset_fx!$C$37,IF(OR(Q385="RoPax",Q385="RoRo",Q385="Vehicle carrier"),Alukset_fx!$C$55,0))))))))</f>
        <v>0</v>
      </c>
      <c r="Y385" s="211">
        <f>IF(Q385="Other dry cargo", Alukset_fx!$Q$52, IF(OR(Q385="Dry bulk",Q385="Bulk carrier"),Alukset_fx!$Q$35,IF(OR(Q385="Tanker",Q385="Gas tanker",Q385="Oil tanker"),Alukset_fx!$Q$57,IF(Q385="Chemical tanker",Alukset_fx!$Q$56,IF(OR(Q385="Tugboat",Q385="Barge"),0,IF(Q385="Other vessel",Alukset_fx!$Q$54,IF(Q385="Container ship",Alukset_fx!$Q$37,IF(OR(Q385="RoPax",Q385="RoRo",Q385="Vehicle carrier"),Alukset_fx!$Q$55,0))))))))</f>
        <v>0</v>
      </c>
      <c r="Z385" t="str">
        <f t="shared" si="68"/>
        <v>MDO/MGO</v>
      </c>
      <c r="AA385" t="str">
        <f t="shared" si="69"/>
        <v>MSD</v>
      </c>
      <c r="AB385" t="str">
        <f t="shared" si="70"/>
        <v>MDO/MGO</v>
      </c>
      <c r="AC385" t="str">
        <f t="shared" si="71"/>
        <v>MSD</v>
      </c>
      <c r="AD385" t="str">
        <f t="shared" si="72"/>
        <v>MDO/MGO</v>
      </c>
      <c r="AE385" t="str">
        <f t="shared" si="73"/>
        <v>ST</v>
      </c>
      <c r="AG385">
        <f>Alukset_Käynnit!O392</f>
        <v>0</v>
      </c>
      <c r="AH385" s="207">
        <f>IF(AA385="SSD",((U385*Alukset_fx!$B$24)*Alukset_Käynnit_Lask!W385*(Alukset_fx!$K$49)/1000),IF(AA385="MSD",((U385*Alukset_fx!$B$24)*Alukset_Käynnit_Lask!W385*(Alukset_fx!$K$52)/1000),IF(AA385="HSD",((U385*Alukset_fx!$B$24)*Alukset_Käynnit_Lask!W385*(Alukset_fx!$K$55)/1000),0)))</f>
        <v>0</v>
      </c>
      <c r="AI385" s="207">
        <f>IF(AC385="MSD",((V385*Alukset_fx!$B$25)*Alukset_Käynnit_Lask!W385*(Alukset_fx!$L$52)/1000),IF(AC385="HSD",((V385*Alukset_fx!$B$25)*Alukset_Käynnit_Lask!W385*(Alukset_fx!$L$55)/1000),0))</f>
        <v>0</v>
      </c>
      <c r="AJ385" s="207">
        <f>X385*W385*Alukset_fx!$K$61/1000</f>
        <v>0</v>
      </c>
      <c r="AK385">
        <v>0</v>
      </c>
      <c r="AL385" s="207">
        <f>IF(AG385="Käytetty",0,IF(AC385="MSD",((V385*Alukset_fx!$O$25)*Alukset_Käynnit_Lask!O385*(Alukset_fx!$L$52)/1000),IF(AC385="HSD",((V385*Alukset_fx!$O$25)*Alukset_Käynnit_Lask!O385*(Alukset_fx!$L$55)/1000),0)))</f>
        <v>0</v>
      </c>
      <c r="AM385" s="207">
        <f>IF(AG385="Käytetty",0,Y385*O385*Alukset_fx!$K$61/1000)</f>
        <v>0</v>
      </c>
      <c r="AN385" s="213">
        <f t="shared" si="74"/>
        <v>0</v>
      </c>
    </row>
    <row r="386" spans="1:40" x14ac:dyDescent="0.25">
      <c r="A386" s="203">
        <f>Alukset_Käynnit!A393</f>
        <v>0</v>
      </c>
      <c r="B386" s="203">
        <f>Alukset_Käynnit!B393</f>
        <v>0</v>
      </c>
      <c r="C386" s="262">
        <f>Alukset_Käynnit!C393</f>
        <v>0</v>
      </c>
      <c r="D386" s="266">
        <f>Alukset_Käynnit!D393</f>
        <v>0</v>
      </c>
      <c r="E386" s="262">
        <f>Alukset_Käynnit!E393</f>
        <v>0</v>
      </c>
      <c r="F386" s="262">
        <f>Alukset_Käynnit!F393</f>
        <v>0</v>
      </c>
      <c r="G386" s="262">
        <f>Alukset_Käynnit!G393</f>
        <v>0</v>
      </c>
      <c r="H386" s="262">
        <f>Alukset_Käynnit!H393</f>
        <v>0</v>
      </c>
      <c r="I386" s="262">
        <f>Alukset_Käynnit!I393</f>
        <v>0</v>
      </c>
      <c r="J386" s="262">
        <f>Alukset_Käynnit!J393</f>
        <v>0</v>
      </c>
      <c r="K386" s="262">
        <f>Alukset_Käynnit!K393</f>
        <v>0</v>
      </c>
      <c r="L386" s="205">
        <f>Alukset_Käynnit!L393</f>
        <v>0</v>
      </c>
      <c r="N386" s="273">
        <f t="shared" si="75"/>
        <v>0</v>
      </c>
      <c r="O386" s="274">
        <f t="shared" si="76"/>
        <v>0</v>
      </c>
      <c r="Q386" s="204">
        <f t="shared" si="65"/>
        <v>0</v>
      </c>
      <c r="R386" s="202">
        <f>IF(Q386="Other dry cargo",L386*Alukset_fx!$B$71,IF(OR(Q386="Dry bulk",Q386="Bulk carrier"),L386*Alukset_fx!$B$69,IF(Q386="Tugboat",L386*Alukset_fx!$B$76,IF(OR(Q386="Tanker",Q386="Gas tanker",Q386="Chemical tanker",Q386="Oil tanker"),L386*Alukset_fx!$B$68,IF(OR(Q386="RoRo",Q386="Vehicle carrier"),L386*Alukset_fx!$B$72,IF(Q386="RoPax",L386*Alukset_fx!$B$73,IF(Q386="Container ship",L386*Alukset_fx!$B$70,IF(Q386="Barge",0,L386*Alukset_fx!$B$75))))))))</f>
        <v>0</v>
      </c>
      <c r="S386" s="210">
        <f>IF(L386=0,IF(Q386="Other dry cargo",Alukset_fx!$H$73*(Alukset_Käynnit_Lask!K386^Alukset_fx!$I$73),IF(OR(Q386="Dry Bulk",Q386="Bulk carrier"),Alukset_fx!$H$71*(Alukset_Käynnit_Lask!K386^Alukset_fx!$I$71),IF(Q386="Tugboat",Alukset_fx!$H$78*(Alukset_Käynnit_Lask!K386^Alukset_fx!$I$78),IF(OR(Q386="Tanker",Q386="Gas tanker",Q386="Chemical tanker",Q386="Oil tanker"),Alukset_fx!$H$70*(Alukset_Käynnit_Lask!K386^Alukset_fx!$I$70),IF(Q386="Container ship",Alukset_fx!$H$72*(Alukset_Käynnit_Lask!K386^Alukset_fx!$I$72),IF(Q386="Barge",0,IF(Q386="RoPax",Alukset_fx!$H$75*(Alukset_Käynnit_Lask!K386^Alukset_fx!$I$75),IF(OR(Q386="RoRo",Q386="Vehicle carrier"),Alukset_fx!$H$74*(Alukset_Käynnit_Lask!K386^Alukset_fx!$I$74),Alukset_fx!$H$77*(Alukset_Käynnit_Lask!K386^Alukset_fx!$I$77))))))))),"-")</f>
        <v>0</v>
      </c>
      <c r="T386" s="208">
        <f>IF(R386=0,IF(Q386="Other dry cargo",S386*Alukset_fx!$B$71,IF(OR(Q386="Dry bulk",Q386="Bulk carrier"),S386*Alukset_fx!$B$69,IF(Q386="Tugboat",S386*Alukset_fx!$B$76,IF(OR(Q386="Tanker",Q386="Gas tanker",Q386="Chemical tanker",Q386="Oil tanker"),S386*Alukset_fx!$B$68,IF(OR(Q386="RoRo",Q386="Vehicle carrier"),S386*Alukset_fx!$B$72,IF(Q386="RoPax",S386*Alukset_fx!$B$73,IF(Q386="Container ship",S386*Alukset_fx!$B$70,S386*Alukset_fx!$B$75))))))),"-")</f>
        <v>0</v>
      </c>
      <c r="U386" s="208">
        <f t="shared" si="66"/>
        <v>0</v>
      </c>
      <c r="V386" s="208">
        <f t="shared" si="67"/>
        <v>0</v>
      </c>
      <c r="W386" s="202">
        <f>Alukset_Käynnit!N393</f>
        <v>0</v>
      </c>
      <c r="X386" s="211">
        <f>IF(Q386="Other dry cargo", Alukset_fx!$C$52, IF(OR(Q386="Dry bulk",Q386="Bulk carrier"),Alukset_fx!$C$35,IF(OR(Q386="Tanker",Q386="Gas tanker",Q386="Oil tanker"),Alukset_fx!$C$57,IF(Q386="Chemical tanker",Alukset_fx!$C$56,IF(OR(Q386="Tugboat",Q386="Barge"),0,IF(Q386="Other vessel",Alukset_fx!$C$54,IF(Q386="Container ship",Alukset_fx!$C$37,IF(OR(Q386="RoPax",Q386="RoRo",Q386="Vehicle carrier"),Alukset_fx!$C$55,0))))))))</f>
        <v>0</v>
      </c>
      <c r="Y386" s="211">
        <f>IF(Q386="Other dry cargo", Alukset_fx!$Q$52, IF(OR(Q386="Dry bulk",Q386="Bulk carrier"),Alukset_fx!$Q$35,IF(OR(Q386="Tanker",Q386="Gas tanker",Q386="Oil tanker"),Alukset_fx!$Q$57,IF(Q386="Chemical tanker",Alukset_fx!$Q$56,IF(OR(Q386="Tugboat",Q386="Barge"),0,IF(Q386="Other vessel",Alukset_fx!$Q$54,IF(Q386="Container ship",Alukset_fx!$Q$37,IF(OR(Q386="RoPax",Q386="RoRo",Q386="Vehicle carrier"),Alukset_fx!$Q$55,0))))))))</f>
        <v>0</v>
      </c>
      <c r="Z386" t="str">
        <f t="shared" si="68"/>
        <v>MDO/MGO</v>
      </c>
      <c r="AA386" t="str">
        <f t="shared" si="69"/>
        <v>MSD</v>
      </c>
      <c r="AB386" t="str">
        <f t="shared" si="70"/>
        <v>MDO/MGO</v>
      </c>
      <c r="AC386" t="str">
        <f t="shared" si="71"/>
        <v>MSD</v>
      </c>
      <c r="AD386" t="str">
        <f t="shared" si="72"/>
        <v>MDO/MGO</v>
      </c>
      <c r="AE386" t="str">
        <f t="shared" si="73"/>
        <v>ST</v>
      </c>
      <c r="AG386">
        <f>Alukset_Käynnit!O393</f>
        <v>0</v>
      </c>
      <c r="AH386" s="207">
        <f>IF(AA386="SSD",((U386*Alukset_fx!$B$24)*Alukset_Käynnit_Lask!W386*(Alukset_fx!$K$49)/1000),IF(AA386="MSD",((U386*Alukset_fx!$B$24)*Alukset_Käynnit_Lask!W386*(Alukset_fx!$K$52)/1000),IF(AA386="HSD",((U386*Alukset_fx!$B$24)*Alukset_Käynnit_Lask!W386*(Alukset_fx!$K$55)/1000),0)))</f>
        <v>0</v>
      </c>
      <c r="AI386" s="207">
        <f>IF(AC386="MSD",((V386*Alukset_fx!$B$25)*Alukset_Käynnit_Lask!W386*(Alukset_fx!$L$52)/1000),IF(AC386="HSD",((V386*Alukset_fx!$B$25)*Alukset_Käynnit_Lask!W386*(Alukset_fx!$L$55)/1000),0))</f>
        <v>0</v>
      </c>
      <c r="AJ386" s="207">
        <f>X386*W386*Alukset_fx!$K$61/1000</f>
        <v>0</v>
      </c>
      <c r="AK386">
        <v>0</v>
      </c>
      <c r="AL386" s="207">
        <f>IF(AG386="Käytetty",0,IF(AC386="MSD",((V386*Alukset_fx!$O$25)*Alukset_Käynnit_Lask!O386*(Alukset_fx!$L$52)/1000),IF(AC386="HSD",((V386*Alukset_fx!$O$25)*Alukset_Käynnit_Lask!O386*(Alukset_fx!$L$55)/1000),0)))</f>
        <v>0</v>
      </c>
      <c r="AM386" s="207">
        <f>IF(AG386="Käytetty",0,Y386*O386*Alukset_fx!$K$61/1000)</f>
        <v>0</v>
      </c>
      <c r="AN386" s="213">
        <f t="shared" si="74"/>
        <v>0</v>
      </c>
    </row>
    <row r="387" spans="1:40" x14ac:dyDescent="0.25">
      <c r="A387" s="203">
        <f>Alukset_Käynnit!A394</f>
        <v>0</v>
      </c>
      <c r="B387" s="203">
        <f>Alukset_Käynnit!B394</f>
        <v>0</v>
      </c>
      <c r="C387" s="262">
        <f>Alukset_Käynnit!C394</f>
        <v>0</v>
      </c>
      <c r="D387" s="266">
        <f>Alukset_Käynnit!D394</f>
        <v>0</v>
      </c>
      <c r="E387" s="262">
        <f>Alukset_Käynnit!E394</f>
        <v>0</v>
      </c>
      <c r="F387" s="262">
        <f>Alukset_Käynnit!F394</f>
        <v>0</v>
      </c>
      <c r="G387" s="262">
        <f>Alukset_Käynnit!G394</f>
        <v>0</v>
      </c>
      <c r="H387" s="262">
        <f>Alukset_Käynnit!H394</f>
        <v>0</v>
      </c>
      <c r="I387" s="262">
        <f>Alukset_Käynnit!I394</f>
        <v>0</v>
      </c>
      <c r="J387" s="262">
        <f>Alukset_Käynnit!J394</f>
        <v>0</v>
      </c>
      <c r="K387" s="262">
        <f>Alukset_Käynnit!K394</f>
        <v>0</v>
      </c>
      <c r="L387" s="205">
        <f>Alukset_Käynnit!L394</f>
        <v>0</v>
      </c>
      <c r="N387" s="273">
        <f t="shared" si="75"/>
        <v>0</v>
      </c>
      <c r="O387" s="274">
        <f t="shared" si="76"/>
        <v>0</v>
      </c>
      <c r="Q387" s="204">
        <f t="shared" si="65"/>
        <v>0</v>
      </c>
      <c r="R387" s="202">
        <f>IF(Q387="Other dry cargo",L387*Alukset_fx!$B$71,IF(OR(Q387="Dry bulk",Q387="Bulk carrier"),L387*Alukset_fx!$B$69,IF(Q387="Tugboat",L387*Alukset_fx!$B$76,IF(OR(Q387="Tanker",Q387="Gas tanker",Q387="Chemical tanker",Q387="Oil tanker"),L387*Alukset_fx!$B$68,IF(OR(Q387="RoRo",Q387="Vehicle carrier"),L387*Alukset_fx!$B$72,IF(Q387="RoPax",L387*Alukset_fx!$B$73,IF(Q387="Container ship",L387*Alukset_fx!$B$70,IF(Q387="Barge",0,L387*Alukset_fx!$B$75))))))))</f>
        <v>0</v>
      </c>
      <c r="S387" s="210">
        <f>IF(L387=0,IF(Q387="Other dry cargo",Alukset_fx!$H$73*(Alukset_Käynnit_Lask!K387^Alukset_fx!$I$73),IF(OR(Q387="Dry Bulk",Q387="Bulk carrier"),Alukset_fx!$H$71*(Alukset_Käynnit_Lask!K387^Alukset_fx!$I$71),IF(Q387="Tugboat",Alukset_fx!$H$78*(Alukset_Käynnit_Lask!K387^Alukset_fx!$I$78),IF(OR(Q387="Tanker",Q387="Gas tanker",Q387="Chemical tanker",Q387="Oil tanker"),Alukset_fx!$H$70*(Alukset_Käynnit_Lask!K387^Alukset_fx!$I$70),IF(Q387="Container ship",Alukset_fx!$H$72*(Alukset_Käynnit_Lask!K387^Alukset_fx!$I$72),IF(Q387="Barge",0,IF(Q387="RoPax",Alukset_fx!$H$75*(Alukset_Käynnit_Lask!K387^Alukset_fx!$I$75),IF(OR(Q387="RoRo",Q387="Vehicle carrier"),Alukset_fx!$H$74*(Alukset_Käynnit_Lask!K387^Alukset_fx!$I$74),Alukset_fx!$H$77*(Alukset_Käynnit_Lask!K387^Alukset_fx!$I$77))))))))),"-")</f>
        <v>0</v>
      </c>
      <c r="T387" s="208">
        <f>IF(R387=0,IF(Q387="Other dry cargo",S387*Alukset_fx!$B$71,IF(OR(Q387="Dry bulk",Q387="Bulk carrier"),S387*Alukset_fx!$B$69,IF(Q387="Tugboat",S387*Alukset_fx!$B$76,IF(OR(Q387="Tanker",Q387="Gas tanker",Q387="Chemical tanker",Q387="Oil tanker"),S387*Alukset_fx!$B$68,IF(OR(Q387="RoRo",Q387="Vehicle carrier"),S387*Alukset_fx!$B$72,IF(Q387="RoPax",S387*Alukset_fx!$B$73,IF(Q387="Container ship",S387*Alukset_fx!$B$70,S387*Alukset_fx!$B$75))))))),"-")</f>
        <v>0</v>
      </c>
      <c r="U387" s="208">
        <f t="shared" si="66"/>
        <v>0</v>
      </c>
      <c r="V387" s="208">
        <f t="shared" si="67"/>
        <v>0</v>
      </c>
      <c r="W387" s="202">
        <f>Alukset_Käynnit!N394</f>
        <v>0</v>
      </c>
      <c r="X387" s="211">
        <f>IF(Q387="Other dry cargo", Alukset_fx!$C$52, IF(OR(Q387="Dry bulk",Q387="Bulk carrier"),Alukset_fx!$C$35,IF(OR(Q387="Tanker",Q387="Gas tanker",Q387="Oil tanker"),Alukset_fx!$C$57,IF(Q387="Chemical tanker",Alukset_fx!$C$56,IF(OR(Q387="Tugboat",Q387="Barge"),0,IF(Q387="Other vessel",Alukset_fx!$C$54,IF(Q387="Container ship",Alukset_fx!$C$37,IF(OR(Q387="RoPax",Q387="RoRo",Q387="Vehicle carrier"),Alukset_fx!$C$55,0))))))))</f>
        <v>0</v>
      </c>
      <c r="Y387" s="211">
        <f>IF(Q387="Other dry cargo", Alukset_fx!$Q$52, IF(OR(Q387="Dry bulk",Q387="Bulk carrier"),Alukset_fx!$Q$35,IF(OR(Q387="Tanker",Q387="Gas tanker",Q387="Oil tanker"),Alukset_fx!$Q$57,IF(Q387="Chemical tanker",Alukset_fx!$Q$56,IF(OR(Q387="Tugboat",Q387="Barge"),0,IF(Q387="Other vessel",Alukset_fx!$Q$54,IF(Q387="Container ship",Alukset_fx!$Q$37,IF(OR(Q387="RoPax",Q387="RoRo",Q387="Vehicle carrier"),Alukset_fx!$Q$55,0))))))))</f>
        <v>0</v>
      </c>
      <c r="Z387" t="str">
        <f t="shared" si="68"/>
        <v>MDO/MGO</v>
      </c>
      <c r="AA387" t="str">
        <f t="shared" si="69"/>
        <v>MSD</v>
      </c>
      <c r="AB387" t="str">
        <f t="shared" si="70"/>
        <v>MDO/MGO</v>
      </c>
      <c r="AC387" t="str">
        <f t="shared" si="71"/>
        <v>MSD</v>
      </c>
      <c r="AD387" t="str">
        <f t="shared" si="72"/>
        <v>MDO/MGO</v>
      </c>
      <c r="AE387" t="str">
        <f t="shared" si="73"/>
        <v>ST</v>
      </c>
      <c r="AG387">
        <f>Alukset_Käynnit!O394</f>
        <v>0</v>
      </c>
      <c r="AH387" s="207">
        <f>IF(AA387="SSD",((U387*Alukset_fx!$B$24)*Alukset_Käynnit_Lask!W387*(Alukset_fx!$K$49)/1000),IF(AA387="MSD",((U387*Alukset_fx!$B$24)*Alukset_Käynnit_Lask!W387*(Alukset_fx!$K$52)/1000),IF(AA387="HSD",((U387*Alukset_fx!$B$24)*Alukset_Käynnit_Lask!W387*(Alukset_fx!$K$55)/1000),0)))</f>
        <v>0</v>
      </c>
      <c r="AI387" s="207">
        <f>IF(AC387="MSD",((V387*Alukset_fx!$B$25)*Alukset_Käynnit_Lask!W387*(Alukset_fx!$L$52)/1000),IF(AC387="HSD",((V387*Alukset_fx!$B$25)*Alukset_Käynnit_Lask!W387*(Alukset_fx!$L$55)/1000),0))</f>
        <v>0</v>
      </c>
      <c r="AJ387" s="207">
        <f>X387*W387*Alukset_fx!$K$61/1000</f>
        <v>0</v>
      </c>
      <c r="AK387">
        <v>0</v>
      </c>
      <c r="AL387" s="207">
        <f>IF(AG387="Käytetty",0,IF(AC387="MSD",((V387*Alukset_fx!$O$25)*Alukset_Käynnit_Lask!O387*(Alukset_fx!$L$52)/1000),IF(AC387="HSD",((V387*Alukset_fx!$O$25)*Alukset_Käynnit_Lask!O387*(Alukset_fx!$L$55)/1000),0)))</f>
        <v>0</v>
      </c>
      <c r="AM387" s="207">
        <f>IF(AG387="Käytetty",0,Y387*O387*Alukset_fx!$K$61/1000)</f>
        <v>0</v>
      </c>
      <c r="AN387" s="213">
        <f t="shared" si="74"/>
        <v>0</v>
      </c>
    </row>
    <row r="388" spans="1:40" x14ac:dyDescent="0.25">
      <c r="A388" s="203">
        <f>Alukset_Käynnit!A395</f>
        <v>0</v>
      </c>
      <c r="B388" s="203">
        <f>Alukset_Käynnit!B395</f>
        <v>0</v>
      </c>
      <c r="C388" s="262">
        <f>Alukset_Käynnit!C395</f>
        <v>0</v>
      </c>
      <c r="D388" s="266">
        <f>Alukset_Käynnit!D395</f>
        <v>0</v>
      </c>
      <c r="E388" s="262">
        <f>Alukset_Käynnit!E395</f>
        <v>0</v>
      </c>
      <c r="F388" s="262">
        <f>Alukset_Käynnit!F395</f>
        <v>0</v>
      </c>
      <c r="G388" s="262">
        <f>Alukset_Käynnit!G395</f>
        <v>0</v>
      </c>
      <c r="H388" s="262">
        <f>Alukset_Käynnit!H395</f>
        <v>0</v>
      </c>
      <c r="I388" s="262">
        <f>Alukset_Käynnit!I395</f>
        <v>0</v>
      </c>
      <c r="J388" s="262">
        <f>Alukset_Käynnit!J395</f>
        <v>0</v>
      </c>
      <c r="K388" s="262">
        <f>Alukset_Käynnit!K395</f>
        <v>0</v>
      </c>
      <c r="L388" s="205">
        <f>Alukset_Käynnit!L395</f>
        <v>0</v>
      </c>
      <c r="N388" s="273">
        <f t="shared" si="75"/>
        <v>0</v>
      </c>
      <c r="O388" s="274">
        <f t="shared" si="76"/>
        <v>0</v>
      </c>
      <c r="Q388" s="204">
        <f t="shared" si="65"/>
        <v>0</v>
      </c>
      <c r="R388" s="202">
        <f>IF(Q388="Other dry cargo",L388*Alukset_fx!$B$71,IF(OR(Q388="Dry bulk",Q388="Bulk carrier"),L388*Alukset_fx!$B$69,IF(Q388="Tugboat",L388*Alukset_fx!$B$76,IF(OR(Q388="Tanker",Q388="Gas tanker",Q388="Chemical tanker",Q388="Oil tanker"),L388*Alukset_fx!$B$68,IF(OR(Q388="RoRo",Q388="Vehicle carrier"),L388*Alukset_fx!$B$72,IF(Q388="RoPax",L388*Alukset_fx!$B$73,IF(Q388="Container ship",L388*Alukset_fx!$B$70,IF(Q388="Barge",0,L388*Alukset_fx!$B$75))))))))</f>
        <v>0</v>
      </c>
      <c r="S388" s="210">
        <f>IF(L388=0,IF(Q388="Other dry cargo",Alukset_fx!$H$73*(Alukset_Käynnit_Lask!K388^Alukset_fx!$I$73),IF(OR(Q388="Dry Bulk",Q388="Bulk carrier"),Alukset_fx!$H$71*(Alukset_Käynnit_Lask!K388^Alukset_fx!$I$71),IF(Q388="Tugboat",Alukset_fx!$H$78*(Alukset_Käynnit_Lask!K388^Alukset_fx!$I$78),IF(OR(Q388="Tanker",Q388="Gas tanker",Q388="Chemical tanker",Q388="Oil tanker"),Alukset_fx!$H$70*(Alukset_Käynnit_Lask!K388^Alukset_fx!$I$70),IF(Q388="Container ship",Alukset_fx!$H$72*(Alukset_Käynnit_Lask!K388^Alukset_fx!$I$72),IF(Q388="Barge",0,IF(Q388="RoPax",Alukset_fx!$H$75*(Alukset_Käynnit_Lask!K388^Alukset_fx!$I$75),IF(OR(Q388="RoRo",Q388="Vehicle carrier"),Alukset_fx!$H$74*(Alukset_Käynnit_Lask!K388^Alukset_fx!$I$74),Alukset_fx!$H$77*(Alukset_Käynnit_Lask!K388^Alukset_fx!$I$77))))))))),"-")</f>
        <v>0</v>
      </c>
      <c r="T388" s="208">
        <f>IF(R388=0,IF(Q388="Other dry cargo",S388*Alukset_fx!$B$71,IF(OR(Q388="Dry bulk",Q388="Bulk carrier"),S388*Alukset_fx!$B$69,IF(Q388="Tugboat",S388*Alukset_fx!$B$76,IF(OR(Q388="Tanker",Q388="Gas tanker",Q388="Chemical tanker",Q388="Oil tanker"),S388*Alukset_fx!$B$68,IF(OR(Q388="RoRo",Q388="Vehicle carrier"),S388*Alukset_fx!$B$72,IF(Q388="RoPax",S388*Alukset_fx!$B$73,IF(Q388="Container ship",S388*Alukset_fx!$B$70,S388*Alukset_fx!$B$75))))))),"-")</f>
        <v>0</v>
      </c>
      <c r="U388" s="208">
        <f t="shared" si="66"/>
        <v>0</v>
      </c>
      <c r="V388" s="208">
        <f t="shared" si="67"/>
        <v>0</v>
      </c>
      <c r="W388" s="202">
        <f>Alukset_Käynnit!N395</f>
        <v>0</v>
      </c>
      <c r="X388" s="211">
        <f>IF(Q388="Other dry cargo", Alukset_fx!$C$52, IF(OR(Q388="Dry bulk",Q388="Bulk carrier"),Alukset_fx!$C$35,IF(OR(Q388="Tanker",Q388="Gas tanker",Q388="Oil tanker"),Alukset_fx!$C$57,IF(Q388="Chemical tanker",Alukset_fx!$C$56,IF(OR(Q388="Tugboat",Q388="Barge"),0,IF(Q388="Other vessel",Alukset_fx!$C$54,IF(Q388="Container ship",Alukset_fx!$C$37,IF(OR(Q388="RoPax",Q388="RoRo",Q388="Vehicle carrier"),Alukset_fx!$C$55,0))))))))</f>
        <v>0</v>
      </c>
      <c r="Y388" s="211">
        <f>IF(Q388="Other dry cargo", Alukset_fx!$Q$52, IF(OR(Q388="Dry bulk",Q388="Bulk carrier"),Alukset_fx!$Q$35,IF(OR(Q388="Tanker",Q388="Gas tanker",Q388="Oil tanker"),Alukset_fx!$Q$57,IF(Q388="Chemical tanker",Alukset_fx!$Q$56,IF(OR(Q388="Tugboat",Q388="Barge"),0,IF(Q388="Other vessel",Alukset_fx!$Q$54,IF(Q388="Container ship",Alukset_fx!$Q$37,IF(OR(Q388="RoPax",Q388="RoRo",Q388="Vehicle carrier"),Alukset_fx!$Q$55,0))))))))</f>
        <v>0</v>
      </c>
      <c r="Z388" t="str">
        <f t="shared" si="68"/>
        <v>MDO/MGO</v>
      </c>
      <c r="AA388" t="str">
        <f t="shared" si="69"/>
        <v>MSD</v>
      </c>
      <c r="AB388" t="str">
        <f t="shared" si="70"/>
        <v>MDO/MGO</v>
      </c>
      <c r="AC388" t="str">
        <f t="shared" si="71"/>
        <v>MSD</v>
      </c>
      <c r="AD388" t="str">
        <f t="shared" si="72"/>
        <v>MDO/MGO</v>
      </c>
      <c r="AE388" t="str">
        <f t="shared" si="73"/>
        <v>ST</v>
      </c>
      <c r="AG388">
        <f>Alukset_Käynnit!O395</f>
        <v>0</v>
      </c>
      <c r="AH388" s="207">
        <f>IF(AA388="SSD",((U388*Alukset_fx!$B$24)*Alukset_Käynnit_Lask!W388*(Alukset_fx!$K$49)/1000),IF(AA388="MSD",((U388*Alukset_fx!$B$24)*Alukset_Käynnit_Lask!W388*(Alukset_fx!$K$52)/1000),IF(AA388="HSD",((U388*Alukset_fx!$B$24)*Alukset_Käynnit_Lask!W388*(Alukset_fx!$K$55)/1000),0)))</f>
        <v>0</v>
      </c>
      <c r="AI388" s="207">
        <f>IF(AC388="MSD",((V388*Alukset_fx!$B$25)*Alukset_Käynnit_Lask!W388*(Alukset_fx!$L$52)/1000),IF(AC388="HSD",((V388*Alukset_fx!$B$25)*Alukset_Käynnit_Lask!W388*(Alukset_fx!$L$55)/1000),0))</f>
        <v>0</v>
      </c>
      <c r="AJ388" s="207">
        <f>X388*W388*Alukset_fx!$K$61/1000</f>
        <v>0</v>
      </c>
      <c r="AK388">
        <v>0</v>
      </c>
      <c r="AL388" s="207">
        <f>IF(AG388="Käytetty",0,IF(AC388="MSD",((V388*Alukset_fx!$O$25)*Alukset_Käynnit_Lask!O388*(Alukset_fx!$L$52)/1000),IF(AC388="HSD",((V388*Alukset_fx!$O$25)*Alukset_Käynnit_Lask!O388*(Alukset_fx!$L$55)/1000),0)))</f>
        <v>0</v>
      </c>
      <c r="AM388" s="207">
        <f>IF(AG388="Käytetty",0,Y388*O388*Alukset_fx!$K$61/1000)</f>
        <v>0</v>
      </c>
      <c r="AN388" s="213">
        <f t="shared" si="74"/>
        <v>0</v>
      </c>
    </row>
    <row r="389" spans="1:40" x14ac:dyDescent="0.25">
      <c r="A389" s="203">
        <f>Alukset_Käynnit!A396</f>
        <v>0</v>
      </c>
      <c r="B389" s="203">
        <f>Alukset_Käynnit!B396</f>
        <v>0</v>
      </c>
      <c r="C389" s="262">
        <f>Alukset_Käynnit!C396</f>
        <v>0</v>
      </c>
      <c r="D389" s="266">
        <f>Alukset_Käynnit!D396</f>
        <v>0</v>
      </c>
      <c r="E389" s="262">
        <f>Alukset_Käynnit!E396</f>
        <v>0</v>
      </c>
      <c r="F389" s="262">
        <f>Alukset_Käynnit!F396</f>
        <v>0</v>
      </c>
      <c r="G389" s="262">
        <f>Alukset_Käynnit!G396</f>
        <v>0</v>
      </c>
      <c r="H389" s="262">
        <f>Alukset_Käynnit!H396</f>
        <v>0</v>
      </c>
      <c r="I389" s="262">
        <f>Alukset_Käynnit!I396</f>
        <v>0</v>
      </c>
      <c r="J389" s="262">
        <f>Alukset_Käynnit!J396</f>
        <v>0</v>
      </c>
      <c r="K389" s="262">
        <f>Alukset_Käynnit!K396</f>
        <v>0</v>
      </c>
      <c r="L389" s="205">
        <f>Alukset_Käynnit!L396</f>
        <v>0</v>
      </c>
      <c r="N389" s="273">
        <f t="shared" si="75"/>
        <v>0</v>
      </c>
      <c r="O389" s="274">
        <f t="shared" si="76"/>
        <v>0</v>
      </c>
      <c r="Q389" s="204">
        <f t="shared" si="65"/>
        <v>0</v>
      </c>
      <c r="R389" s="202">
        <f>IF(Q389="Other dry cargo",L389*Alukset_fx!$B$71,IF(OR(Q389="Dry bulk",Q389="Bulk carrier"),L389*Alukset_fx!$B$69,IF(Q389="Tugboat",L389*Alukset_fx!$B$76,IF(OR(Q389="Tanker",Q389="Gas tanker",Q389="Chemical tanker",Q389="Oil tanker"),L389*Alukset_fx!$B$68,IF(OR(Q389="RoRo",Q389="Vehicle carrier"),L389*Alukset_fx!$B$72,IF(Q389="RoPax",L389*Alukset_fx!$B$73,IF(Q389="Container ship",L389*Alukset_fx!$B$70,IF(Q389="Barge",0,L389*Alukset_fx!$B$75))))))))</f>
        <v>0</v>
      </c>
      <c r="S389" s="210">
        <f>IF(L389=0,IF(Q389="Other dry cargo",Alukset_fx!$H$73*(Alukset_Käynnit_Lask!K389^Alukset_fx!$I$73),IF(OR(Q389="Dry Bulk",Q389="Bulk carrier"),Alukset_fx!$H$71*(Alukset_Käynnit_Lask!K389^Alukset_fx!$I$71),IF(Q389="Tugboat",Alukset_fx!$H$78*(Alukset_Käynnit_Lask!K389^Alukset_fx!$I$78),IF(OR(Q389="Tanker",Q389="Gas tanker",Q389="Chemical tanker",Q389="Oil tanker"),Alukset_fx!$H$70*(Alukset_Käynnit_Lask!K389^Alukset_fx!$I$70),IF(Q389="Container ship",Alukset_fx!$H$72*(Alukset_Käynnit_Lask!K389^Alukset_fx!$I$72),IF(Q389="Barge",0,IF(Q389="RoPax",Alukset_fx!$H$75*(Alukset_Käynnit_Lask!K389^Alukset_fx!$I$75),IF(OR(Q389="RoRo",Q389="Vehicle carrier"),Alukset_fx!$H$74*(Alukset_Käynnit_Lask!K389^Alukset_fx!$I$74),Alukset_fx!$H$77*(Alukset_Käynnit_Lask!K389^Alukset_fx!$I$77))))))))),"-")</f>
        <v>0</v>
      </c>
      <c r="T389" s="208">
        <f>IF(R389=0,IF(Q389="Other dry cargo",S389*Alukset_fx!$B$71,IF(OR(Q389="Dry bulk",Q389="Bulk carrier"),S389*Alukset_fx!$B$69,IF(Q389="Tugboat",S389*Alukset_fx!$B$76,IF(OR(Q389="Tanker",Q389="Gas tanker",Q389="Chemical tanker",Q389="Oil tanker"),S389*Alukset_fx!$B$68,IF(OR(Q389="RoRo",Q389="Vehicle carrier"),S389*Alukset_fx!$B$72,IF(Q389="RoPax",S389*Alukset_fx!$B$73,IF(Q389="Container ship",S389*Alukset_fx!$B$70,S389*Alukset_fx!$B$75))))))),"-")</f>
        <v>0</v>
      </c>
      <c r="U389" s="208">
        <f t="shared" si="66"/>
        <v>0</v>
      </c>
      <c r="V389" s="208">
        <f t="shared" si="67"/>
        <v>0</v>
      </c>
      <c r="W389" s="202">
        <f>Alukset_Käynnit!N396</f>
        <v>0</v>
      </c>
      <c r="X389" s="211">
        <f>IF(Q389="Other dry cargo", Alukset_fx!$C$52, IF(OR(Q389="Dry bulk",Q389="Bulk carrier"),Alukset_fx!$C$35,IF(OR(Q389="Tanker",Q389="Gas tanker",Q389="Oil tanker"),Alukset_fx!$C$57,IF(Q389="Chemical tanker",Alukset_fx!$C$56,IF(OR(Q389="Tugboat",Q389="Barge"),0,IF(Q389="Other vessel",Alukset_fx!$C$54,IF(Q389="Container ship",Alukset_fx!$C$37,IF(OR(Q389="RoPax",Q389="RoRo",Q389="Vehicle carrier"),Alukset_fx!$C$55,0))))))))</f>
        <v>0</v>
      </c>
      <c r="Y389" s="211">
        <f>IF(Q389="Other dry cargo", Alukset_fx!$Q$52, IF(OR(Q389="Dry bulk",Q389="Bulk carrier"),Alukset_fx!$Q$35,IF(OR(Q389="Tanker",Q389="Gas tanker",Q389="Oil tanker"),Alukset_fx!$Q$57,IF(Q389="Chemical tanker",Alukset_fx!$Q$56,IF(OR(Q389="Tugboat",Q389="Barge"),0,IF(Q389="Other vessel",Alukset_fx!$Q$54,IF(Q389="Container ship",Alukset_fx!$Q$37,IF(OR(Q389="RoPax",Q389="RoRo",Q389="Vehicle carrier"),Alukset_fx!$Q$55,0))))))))</f>
        <v>0</v>
      </c>
      <c r="Z389" t="str">
        <f t="shared" si="68"/>
        <v>MDO/MGO</v>
      </c>
      <c r="AA389" t="str">
        <f t="shared" si="69"/>
        <v>MSD</v>
      </c>
      <c r="AB389" t="str">
        <f t="shared" si="70"/>
        <v>MDO/MGO</v>
      </c>
      <c r="AC389" t="str">
        <f t="shared" si="71"/>
        <v>MSD</v>
      </c>
      <c r="AD389" t="str">
        <f t="shared" si="72"/>
        <v>MDO/MGO</v>
      </c>
      <c r="AE389" t="str">
        <f t="shared" si="73"/>
        <v>ST</v>
      </c>
      <c r="AG389">
        <f>Alukset_Käynnit!O396</f>
        <v>0</v>
      </c>
      <c r="AH389" s="207">
        <f>IF(AA389="SSD",((U389*Alukset_fx!$B$24)*Alukset_Käynnit_Lask!W389*(Alukset_fx!$K$49)/1000),IF(AA389="MSD",((U389*Alukset_fx!$B$24)*Alukset_Käynnit_Lask!W389*(Alukset_fx!$K$52)/1000),IF(AA389="HSD",((U389*Alukset_fx!$B$24)*Alukset_Käynnit_Lask!W389*(Alukset_fx!$K$55)/1000),0)))</f>
        <v>0</v>
      </c>
      <c r="AI389" s="207">
        <f>IF(AC389="MSD",((V389*Alukset_fx!$B$25)*Alukset_Käynnit_Lask!W389*(Alukset_fx!$L$52)/1000),IF(AC389="HSD",((V389*Alukset_fx!$B$25)*Alukset_Käynnit_Lask!W389*(Alukset_fx!$L$55)/1000),0))</f>
        <v>0</v>
      </c>
      <c r="AJ389" s="207">
        <f>X389*W389*Alukset_fx!$K$61/1000</f>
        <v>0</v>
      </c>
      <c r="AK389">
        <v>0</v>
      </c>
      <c r="AL389" s="207">
        <f>IF(AG389="Käytetty",0,IF(AC389="MSD",((V389*Alukset_fx!$O$25)*Alukset_Käynnit_Lask!O389*(Alukset_fx!$L$52)/1000),IF(AC389="HSD",((V389*Alukset_fx!$O$25)*Alukset_Käynnit_Lask!O389*(Alukset_fx!$L$55)/1000),0)))</f>
        <v>0</v>
      </c>
      <c r="AM389" s="207">
        <f>IF(AG389="Käytetty",0,Y389*O389*Alukset_fx!$K$61/1000)</f>
        <v>0</v>
      </c>
      <c r="AN389" s="213">
        <f t="shared" si="74"/>
        <v>0</v>
      </c>
    </row>
    <row r="390" spans="1:40" x14ac:dyDescent="0.25">
      <c r="A390" s="203">
        <f>Alukset_Käynnit!A397</f>
        <v>0</v>
      </c>
      <c r="B390" s="203">
        <f>Alukset_Käynnit!B397</f>
        <v>0</v>
      </c>
      <c r="C390" s="262">
        <f>Alukset_Käynnit!C397</f>
        <v>0</v>
      </c>
      <c r="D390" s="266">
        <f>Alukset_Käynnit!D397</f>
        <v>0</v>
      </c>
      <c r="E390" s="262">
        <f>Alukset_Käynnit!E397</f>
        <v>0</v>
      </c>
      <c r="F390" s="262">
        <f>Alukset_Käynnit!F397</f>
        <v>0</v>
      </c>
      <c r="G390" s="262">
        <f>Alukset_Käynnit!G397</f>
        <v>0</v>
      </c>
      <c r="H390" s="262">
        <f>Alukset_Käynnit!H397</f>
        <v>0</v>
      </c>
      <c r="I390" s="262">
        <f>Alukset_Käynnit!I397</f>
        <v>0</v>
      </c>
      <c r="J390" s="262">
        <f>Alukset_Käynnit!J397</f>
        <v>0</v>
      </c>
      <c r="K390" s="262">
        <f>Alukset_Käynnit!K397</f>
        <v>0</v>
      </c>
      <c r="L390" s="205">
        <f>Alukset_Käynnit!L397</f>
        <v>0</v>
      </c>
      <c r="N390" s="273">
        <f t="shared" si="75"/>
        <v>0</v>
      </c>
      <c r="O390" s="274">
        <f t="shared" si="76"/>
        <v>0</v>
      </c>
      <c r="Q390" s="204">
        <f t="shared" si="65"/>
        <v>0</v>
      </c>
      <c r="R390" s="202">
        <f>IF(Q390="Other dry cargo",L390*Alukset_fx!$B$71,IF(OR(Q390="Dry bulk",Q390="Bulk carrier"),L390*Alukset_fx!$B$69,IF(Q390="Tugboat",L390*Alukset_fx!$B$76,IF(OR(Q390="Tanker",Q390="Gas tanker",Q390="Chemical tanker",Q390="Oil tanker"),L390*Alukset_fx!$B$68,IF(OR(Q390="RoRo",Q390="Vehicle carrier"),L390*Alukset_fx!$B$72,IF(Q390="RoPax",L390*Alukset_fx!$B$73,IF(Q390="Container ship",L390*Alukset_fx!$B$70,IF(Q390="Barge",0,L390*Alukset_fx!$B$75))))))))</f>
        <v>0</v>
      </c>
      <c r="S390" s="210">
        <f>IF(L390=0,IF(Q390="Other dry cargo",Alukset_fx!$H$73*(Alukset_Käynnit_Lask!K390^Alukset_fx!$I$73),IF(OR(Q390="Dry Bulk",Q390="Bulk carrier"),Alukset_fx!$H$71*(Alukset_Käynnit_Lask!K390^Alukset_fx!$I$71),IF(Q390="Tugboat",Alukset_fx!$H$78*(Alukset_Käynnit_Lask!K390^Alukset_fx!$I$78),IF(OR(Q390="Tanker",Q390="Gas tanker",Q390="Chemical tanker",Q390="Oil tanker"),Alukset_fx!$H$70*(Alukset_Käynnit_Lask!K390^Alukset_fx!$I$70),IF(Q390="Container ship",Alukset_fx!$H$72*(Alukset_Käynnit_Lask!K390^Alukset_fx!$I$72),IF(Q390="Barge",0,IF(Q390="RoPax",Alukset_fx!$H$75*(Alukset_Käynnit_Lask!K390^Alukset_fx!$I$75),IF(OR(Q390="RoRo",Q390="Vehicle carrier"),Alukset_fx!$H$74*(Alukset_Käynnit_Lask!K390^Alukset_fx!$I$74),Alukset_fx!$H$77*(Alukset_Käynnit_Lask!K390^Alukset_fx!$I$77))))))))),"-")</f>
        <v>0</v>
      </c>
      <c r="T390" s="208">
        <f>IF(R390=0,IF(Q390="Other dry cargo",S390*Alukset_fx!$B$71,IF(OR(Q390="Dry bulk",Q390="Bulk carrier"),S390*Alukset_fx!$B$69,IF(Q390="Tugboat",S390*Alukset_fx!$B$76,IF(OR(Q390="Tanker",Q390="Gas tanker",Q390="Chemical tanker",Q390="Oil tanker"),S390*Alukset_fx!$B$68,IF(OR(Q390="RoRo",Q390="Vehicle carrier"),S390*Alukset_fx!$B$72,IF(Q390="RoPax",S390*Alukset_fx!$B$73,IF(Q390="Container ship",S390*Alukset_fx!$B$70,S390*Alukset_fx!$B$75))))))),"-")</f>
        <v>0</v>
      </c>
      <c r="U390" s="208">
        <f t="shared" si="66"/>
        <v>0</v>
      </c>
      <c r="V390" s="208">
        <f t="shared" si="67"/>
        <v>0</v>
      </c>
      <c r="W390" s="202">
        <f>Alukset_Käynnit!N397</f>
        <v>0</v>
      </c>
      <c r="X390" s="211">
        <f>IF(Q390="Other dry cargo", Alukset_fx!$C$52, IF(OR(Q390="Dry bulk",Q390="Bulk carrier"),Alukset_fx!$C$35,IF(OR(Q390="Tanker",Q390="Gas tanker",Q390="Oil tanker"),Alukset_fx!$C$57,IF(Q390="Chemical tanker",Alukset_fx!$C$56,IF(OR(Q390="Tugboat",Q390="Barge"),0,IF(Q390="Other vessel",Alukset_fx!$C$54,IF(Q390="Container ship",Alukset_fx!$C$37,IF(OR(Q390="RoPax",Q390="RoRo",Q390="Vehicle carrier"),Alukset_fx!$C$55,0))))))))</f>
        <v>0</v>
      </c>
      <c r="Y390" s="211">
        <f>IF(Q390="Other dry cargo", Alukset_fx!$Q$52, IF(OR(Q390="Dry bulk",Q390="Bulk carrier"),Alukset_fx!$Q$35,IF(OR(Q390="Tanker",Q390="Gas tanker",Q390="Oil tanker"),Alukset_fx!$Q$57,IF(Q390="Chemical tanker",Alukset_fx!$Q$56,IF(OR(Q390="Tugboat",Q390="Barge"),0,IF(Q390="Other vessel",Alukset_fx!$Q$54,IF(Q390="Container ship",Alukset_fx!$Q$37,IF(OR(Q390="RoPax",Q390="RoRo",Q390="Vehicle carrier"),Alukset_fx!$Q$55,0))))))))</f>
        <v>0</v>
      </c>
      <c r="Z390" t="str">
        <f t="shared" si="68"/>
        <v>MDO/MGO</v>
      </c>
      <c r="AA390" t="str">
        <f t="shared" si="69"/>
        <v>MSD</v>
      </c>
      <c r="AB390" t="str">
        <f t="shared" si="70"/>
        <v>MDO/MGO</v>
      </c>
      <c r="AC390" t="str">
        <f t="shared" si="71"/>
        <v>MSD</v>
      </c>
      <c r="AD390" t="str">
        <f t="shared" si="72"/>
        <v>MDO/MGO</v>
      </c>
      <c r="AE390" t="str">
        <f t="shared" si="73"/>
        <v>ST</v>
      </c>
      <c r="AG390">
        <f>Alukset_Käynnit!O397</f>
        <v>0</v>
      </c>
      <c r="AH390" s="207">
        <f>IF(AA390="SSD",((U390*Alukset_fx!$B$24)*Alukset_Käynnit_Lask!W390*(Alukset_fx!$K$49)/1000),IF(AA390="MSD",((U390*Alukset_fx!$B$24)*Alukset_Käynnit_Lask!W390*(Alukset_fx!$K$52)/1000),IF(AA390="HSD",((U390*Alukset_fx!$B$24)*Alukset_Käynnit_Lask!W390*(Alukset_fx!$K$55)/1000),0)))</f>
        <v>0</v>
      </c>
      <c r="AI390" s="207">
        <f>IF(AC390="MSD",((V390*Alukset_fx!$B$25)*Alukset_Käynnit_Lask!W390*(Alukset_fx!$L$52)/1000),IF(AC390="HSD",((V390*Alukset_fx!$B$25)*Alukset_Käynnit_Lask!W390*(Alukset_fx!$L$55)/1000),0))</f>
        <v>0</v>
      </c>
      <c r="AJ390" s="207">
        <f>X390*W390*Alukset_fx!$K$61/1000</f>
        <v>0</v>
      </c>
      <c r="AK390">
        <v>0</v>
      </c>
      <c r="AL390" s="207">
        <f>IF(AG390="Käytetty",0,IF(AC390="MSD",((V390*Alukset_fx!$O$25)*Alukset_Käynnit_Lask!O390*(Alukset_fx!$L$52)/1000),IF(AC390="HSD",((V390*Alukset_fx!$O$25)*Alukset_Käynnit_Lask!O390*(Alukset_fx!$L$55)/1000),0)))</f>
        <v>0</v>
      </c>
      <c r="AM390" s="207">
        <f>IF(AG390="Käytetty",0,Y390*O390*Alukset_fx!$K$61/1000)</f>
        <v>0</v>
      </c>
      <c r="AN390" s="213">
        <f t="shared" si="74"/>
        <v>0</v>
      </c>
    </row>
    <row r="391" spans="1:40" x14ac:dyDescent="0.25">
      <c r="A391" s="203">
        <f>Alukset_Käynnit!A398</f>
        <v>0</v>
      </c>
      <c r="B391" s="203">
        <f>Alukset_Käynnit!B398</f>
        <v>0</v>
      </c>
      <c r="C391" s="262">
        <f>Alukset_Käynnit!C398</f>
        <v>0</v>
      </c>
      <c r="D391" s="266">
        <f>Alukset_Käynnit!D398</f>
        <v>0</v>
      </c>
      <c r="E391" s="262">
        <f>Alukset_Käynnit!E398</f>
        <v>0</v>
      </c>
      <c r="F391" s="262">
        <f>Alukset_Käynnit!F398</f>
        <v>0</v>
      </c>
      <c r="G391" s="262">
        <f>Alukset_Käynnit!G398</f>
        <v>0</v>
      </c>
      <c r="H391" s="262">
        <f>Alukset_Käynnit!H398</f>
        <v>0</v>
      </c>
      <c r="I391" s="262">
        <f>Alukset_Käynnit!I398</f>
        <v>0</v>
      </c>
      <c r="J391" s="262">
        <f>Alukset_Käynnit!J398</f>
        <v>0</v>
      </c>
      <c r="K391" s="262">
        <f>Alukset_Käynnit!K398</f>
        <v>0</v>
      </c>
      <c r="L391" s="205">
        <f>Alukset_Käynnit!L398</f>
        <v>0</v>
      </c>
      <c r="N391" s="273">
        <f t="shared" si="75"/>
        <v>0</v>
      </c>
      <c r="O391" s="274">
        <f t="shared" si="76"/>
        <v>0</v>
      </c>
      <c r="Q391" s="204">
        <f t="shared" si="65"/>
        <v>0</v>
      </c>
      <c r="R391" s="202">
        <f>IF(Q391="Other dry cargo",L391*Alukset_fx!$B$71,IF(OR(Q391="Dry bulk",Q391="Bulk carrier"),L391*Alukset_fx!$B$69,IF(Q391="Tugboat",L391*Alukset_fx!$B$76,IF(OR(Q391="Tanker",Q391="Gas tanker",Q391="Chemical tanker",Q391="Oil tanker"),L391*Alukset_fx!$B$68,IF(OR(Q391="RoRo",Q391="Vehicle carrier"),L391*Alukset_fx!$B$72,IF(Q391="RoPax",L391*Alukset_fx!$B$73,IF(Q391="Container ship",L391*Alukset_fx!$B$70,IF(Q391="Barge",0,L391*Alukset_fx!$B$75))))))))</f>
        <v>0</v>
      </c>
      <c r="S391" s="210">
        <f>IF(L391=0,IF(Q391="Other dry cargo",Alukset_fx!$H$73*(Alukset_Käynnit_Lask!K391^Alukset_fx!$I$73),IF(OR(Q391="Dry Bulk",Q391="Bulk carrier"),Alukset_fx!$H$71*(Alukset_Käynnit_Lask!K391^Alukset_fx!$I$71),IF(Q391="Tugboat",Alukset_fx!$H$78*(Alukset_Käynnit_Lask!K391^Alukset_fx!$I$78),IF(OR(Q391="Tanker",Q391="Gas tanker",Q391="Chemical tanker",Q391="Oil tanker"),Alukset_fx!$H$70*(Alukset_Käynnit_Lask!K391^Alukset_fx!$I$70),IF(Q391="Container ship",Alukset_fx!$H$72*(Alukset_Käynnit_Lask!K391^Alukset_fx!$I$72),IF(Q391="Barge",0,IF(Q391="RoPax",Alukset_fx!$H$75*(Alukset_Käynnit_Lask!K391^Alukset_fx!$I$75),IF(OR(Q391="RoRo",Q391="Vehicle carrier"),Alukset_fx!$H$74*(Alukset_Käynnit_Lask!K391^Alukset_fx!$I$74),Alukset_fx!$H$77*(Alukset_Käynnit_Lask!K391^Alukset_fx!$I$77))))))))),"-")</f>
        <v>0</v>
      </c>
      <c r="T391" s="208">
        <f>IF(R391=0,IF(Q391="Other dry cargo",S391*Alukset_fx!$B$71,IF(OR(Q391="Dry bulk",Q391="Bulk carrier"),S391*Alukset_fx!$B$69,IF(Q391="Tugboat",S391*Alukset_fx!$B$76,IF(OR(Q391="Tanker",Q391="Gas tanker",Q391="Chemical tanker",Q391="Oil tanker"),S391*Alukset_fx!$B$68,IF(OR(Q391="RoRo",Q391="Vehicle carrier"),S391*Alukset_fx!$B$72,IF(Q391="RoPax",S391*Alukset_fx!$B$73,IF(Q391="Container ship",S391*Alukset_fx!$B$70,S391*Alukset_fx!$B$75))))))),"-")</f>
        <v>0</v>
      </c>
      <c r="U391" s="208">
        <f t="shared" si="66"/>
        <v>0</v>
      </c>
      <c r="V391" s="208">
        <f t="shared" si="67"/>
        <v>0</v>
      </c>
      <c r="W391" s="202">
        <f>Alukset_Käynnit!N398</f>
        <v>0</v>
      </c>
      <c r="X391" s="211">
        <f>IF(Q391="Other dry cargo", Alukset_fx!$C$52, IF(OR(Q391="Dry bulk",Q391="Bulk carrier"),Alukset_fx!$C$35,IF(OR(Q391="Tanker",Q391="Gas tanker",Q391="Oil tanker"),Alukset_fx!$C$57,IF(Q391="Chemical tanker",Alukset_fx!$C$56,IF(OR(Q391="Tugboat",Q391="Barge"),0,IF(Q391="Other vessel",Alukset_fx!$C$54,IF(Q391="Container ship",Alukset_fx!$C$37,IF(OR(Q391="RoPax",Q391="RoRo",Q391="Vehicle carrier"),Alukset_fx!$C$55,0))))))))</f>
        <v>0</v>
      </c>
      <c r="Y391" s="211">
        <f>IF(Q391="Other dry cargo", Alukset_fx!$Q$52, IF(OR(Q391="Dry bulk",Q391="Bulk carrier"),Alukset_fx!$Q$35,IF(OR(Q391="Tanker",Q391="Gas tanker",Q391="Oil tanker"),Alukset_fx!$Q$57,IF(Q391="Chemical tanker",Alukset_fx!$Q$56,IF(OR(Q391="Tugboat",Q391="Barge"),0,IF(Q391="Other vessel",Alukset_fx!$Q$54,IF(Q391="Container ship",Alukset_fx!$Q$37,IF(OR(Q391="RoPax",Q391="RoRo",Q391="Vehicle carrier"),Alukset_fx!$Q$55,0))))))))</f>
        <v>0</v>
      </c>
      <c r="Z391" t="str">
        <f t="shared" si="68"/>
        <v>MDO/MGO</v>
      </c>
      <c r="AA391" t="str">
        <f t="shared" si="69"/>
        <v>MSD</v>
      </c>
      <c r="AB391" t="str">
        <f t="shared" si="70"/>
        <v>MDO/MGO</v>
      </c>
      <c r="AC391" t="str">
        <f t="shared" si="71"/>
        <v>MSD</v>
      </c>
      <c r="AD391" t="str">
        <f t="shared" si="72"/>
        <v>MDO/MGO</v>
      </c>
      <c r="AE391" t="str">
        <f t="shared" si="73"/>
        <v>ST</v>
      </c>
      <c r="AG391">
        <f>Alukset_Käynnit!O398</f>
        <v>0</v>
      </c>
      <c r="AH391" s="207">
        <f>IF(AA391="SSD",((U391*Alukset_fx!$B$24)*Alukset_Käynnit_Lask!W391*(Alukset_fx!$K$49)/1000),IF(AA391="MSD",((U391*Alukset_fx!$B$24)*Alukset_Käynnit_Lask!W391*(Alukset_fx!$K$52)/1000),IF(AA391="HSD",((U391*Alukset_fx!$B$24)*Alukset_Käynnit_Lask!W391*(Alukset_fx!$K$55)/1000),0)))</f>
        <v>0</v>
      </c>
      <c r="AI391" s="207">
        <f>IF(AC391="MSD",((V391*Alukset_fx!$B$25)*Alukset_Käynnit_Lask!W391*(Alukset_fx!$L$52)/1000),IF(AC391="HSD",((V391*Alukset_fx!$B$25)*Alukset_Käynnit_Lask!W391*(Alukset_fx!$L$55)/1000),0))</f>
        <v>0</v>
      </c>
      <c r="AJ391" s="207">
        <f>X391*W391*Alukset_fx!$K$61/1000</f>
        <v>0</v>
      </c>
      <c r="AK391">
        <v>0</v>
      </c>
      <c r="AL391" s="207">
        <f>IF(AG391="Käytetty",0,IF(AC391="MSD",((V391*Alukset_fx!$O$25)*Alukset_Käynnit_Lask!O391*(Alukset_fx!$L$52)/1000),IF(AC391="HSD",((V391*Alukset_fx!$O$25)*Alukset_Käynnit_Lask!O391*(Alukset_fx!$L$55)/1000),0)))</f>
        <v>0</v>
      </c>
      <c r="AM391" s="207">
        <f>IF(AG391="Käytetty",0,Y391*O391*Alukset_fx!$K$61/1000)</f>
        <v>0</v>
      </c>
      <c r="AN391" s="213">
        <f t="shared" si="74"/>
        <v>0</v>
      </c>
    </row>
    <row r="392" spans="1:40" x14ac:dyDescent="0.25">
      <c r="A392" s="203">
        <f>Alukset_Käynnit!A399</f>
        <v>0</v>
      </c>
      <c r="B392" s="203">
        <f>Alukset_Käynnit!B399</f>
        <v>0</v>
      </c>
      <c r="C392" s="262">
        <f>Alukset_Käynnit!C399</f>
        <v>0</v>
      </c>
      <c r="D392" s="266">
        <f>Alukset_Käynnit!D399</f>
        <v>0</v>
      </c>
      <c r="E392" s="262">
        <f>Alukset_Käynnit!E399</f>
        <v>0</v>
      </c>
      <c r="F392" s="262">
        <f>Alukset_Käynnit!F399</f>
        <v>0</v>
      </c>
      <c r="G392" s="262">
        <f>Alukset_Käynnit!G399</f>
        <v>0</v>
      </c>
      <c r="H392" s="262">
        <f>Alukset_Käynnit!H399</f>
        <v>0</v>
      </c>
      <c r="I392" s="262">
        <f>Alukset_Käynnit!I399</f>
        <v>0</v>
      </c>
      <c r="J392" s="262">
        <f>Alukset_Käynnit!J399</f>
        <v>0</v>
      </c>
      <c r="K392" s="262">
        <f>Alukset_Käynnit!K399</f>
        <v>0</v>
      </c>
      <c r="L392" s="205">
        <f>Alukset_Käynnit!L399</f>
        <v>0</v>
      </c>
      <c r="N392" s="273">
        <f t="shared" si="75"/>
        <v>0</v>
      </c>
      <c r="O392" s="274">
        <f t="shared" si="76"/>
        <v>0</v>
      </c>
      <c r="Q392" s="204">
        <f t="shared" si="65"/>
        <v>0</v>
      </c>
      <c r="R392" s="202">
        <f>IF(Q392="Other dry cargo",L392*Alukset_fx!$B$71,IF(OR(Q392="Dry bulk",Q392="Bulk carrier"),L392*Alukset_fx!$B$69,IF(Q392="Tugboat",L392*Alukset_fx!$B$76,IF(OR(Q392="Tanker",Q392="Gas tanker",Q392="Chemical tanker",Q392="Oil tanker"),L392*Alukset_fx!$B$68,IF(OR(Q392="RoRo",Q392="Vehicle carrier"),L392*Alukset_fx!$B$72,IF(Q392="RoPax",L392*Alukset_fx!$B$73,IF(Q392="Container ship",L392*Alukset_fx!$B$70,IF(Q392="Barge",0,L392*Alukset_fx!$B$75))))))))</f>
        <v>0</v>
      </c>
      <c r="S392" s="210">
        <f>IF(L392=0,IF(Q392="Other dry cargo",Alukset_fx!$H$73*(Alukset_Käynnit_Lask!K392^Alukset_fx!$I$73),IF(OR(Q392="Dry Bulk",Q392="Bulk carrier"),Alukset_fx!$H$71*(Alukset_Käynnit_Lask!K392^Alukset_fx!$I$71),IF(Q392="Tugboat",Alukset_fx!$H$78*(Alukset_Käynnit_Lask!K392^Alukset_fx!$I$78),IF(OR(Q392="Tanker",Q392="Gas tanker",Q392="Chemical tanker",Q392="Oil tanker"),Alukset_fx!$H$70*(Alukset_Käynnit_Lask!K392^Alukset_fx!$I$70),IF(Q392="Container ship",Alukset_fx!$H$72*(Alukset_Käynnit_Lask!K392^Alukset_fx!$I$72),IF(Q392="Barge",0,IF(Q392="RoPax",Alukset_fx!$H$75*(Alukset_Käynnit_Lask!K392^Alukset_fx!$I$75),IF(OR(Q392="RoRo",Q392="Vehicle carrier"),Alukset_fx!$H$74*(Alukset_Käynnit_Lask!K392^Alukset_fx!$I$74),Alukset_fx!$H$77*(Alukset_Käynnit_Lask!K392^Alukset_fx!$I$77))))))))),"-")</f>
        <v>0</v>
      </c>
      <c r="T392" s="208">
        <f>IF(R392=0,IF(Q392="Other dry cargo",S392*Alukset_fx!$B$71,IF(OR(Q392="Dry bulk",Q392="Bulk carrier"),S392*Alukset_fx!$B$69,IF(Q392="Tugboat",S392*Alukset_fx!$B$76,IF(OR(Q392="Tanker",Q392="Gas tanker",Q392="Chemical tanker",Q392="Oil tanker"),S392*Alukset_fx!$B$68,IF(OR(Q392="RoRo",Q392="Vehicle carrier"),S392*Alukset_fx!$B$72,IF(Q392="RoPax",S392*Alukset_fx!$B$73,IF(Q392="Container ship",S392*Alukset_fx!$B$70,S392*Alukset_fx!$B$75))))))),"-")</f>
        <v>0</v>
      </c>
      <c r="U392" s="208">
        <f t="shared" si="66"/>
        <v>0</v>
      </c>
      <c r="V392" s="208">
        <f t="shared" si="67"/>
        <v>0</v>
      </c>
      <c r="W392" s="202">
        <f>Alukset_Käynnit!N399</f>
        <v>0</v>
      </c>
      <c r="X392" s="211">
        <f>IF(Q392="Other dry cargo", Alukset_fx!$C$52, IF(OR(Q392="Dry bulk",Q392="Bulk carrier"),Alukset_fx!$C$35,IF(OR(Q392="Tanker",Q392="Gas tanker",Q392="Oil tanker"),Alukset_fx!$C$57,IF(Q392="Chemical tanker",Alukset_fx!$C$56,IF(OR(Q392="Tugboat",Q392="Barge"),0,IF(Q392="Other vessel",Alukset_fx!$C$54,IF(Q392="Container ship",Alukset_fx!$C$37,IF(OR(Q392="RoPax",Q392="RoRo",Q392="Vehicle carrier"),Alukset_fx!$C$55,0))))))))</f>
        <v>0</v>
      </c>
      <c r="Y392" s="211">
        <f>IF(Q392="Other dry cargo", Alukset_fx!$Q$52, IF(OR(Q392="Dry bulk",Q392="Bulk carrier"),Alukset_fx!$Q$35,IF(OR(Q392="Tanker",Q392="Gas tanker",Q392="Oil tanker"),Alukset_fx!$Q$57,IF(Q392="Chemical tanker",Alukset_fx!$Q$56,IF(OR(Q392="Tugboat",Q392="Barge"),0,IF(Q392="Other vessel",Alukset_fx!$Q$54,IF(Q392="Container ship",Alukset_fx!$Q$37,IF(OR(Q392="RoPax",Q392="RoRo",Q392="Vehicle carrier"),Alukset_fx!$Q$55,0))))))))</f>
        <v>0</v>
      </c>
      <c r="Z392" t="str">
        <f t="shared" si="68"/>
        <v>MDO/MGO</v>
      </c>
      <c r="AA392" t="str">
        <f t="shared" si="69"/>
        <v>MSD</v>
      </c>
      <c r="AB392" t="str">
        <f t="shared" si="70"/>
        <v>MDO/MGO</v>
      </c>
      <c r="AC392" t="str">
        <f t="shared" si="71"/>
        <v>MSD</v>
      </c>
      <c r="AD392" t="str">
        <f t="shared" si="72"/>
        <v>MDO/MGO</v>
      </c>
      <c r="AE392" t="str">
        <f t="shared" si="73"/>
        <v>ST</v>
      </c>
      <c r="AG392">
        <f>Alukset_Käynnit!O399</f>
        <v>0</v>
      </c>
      <c r="AH392" s="207">
        <f>IF(AA392="SSD",((U392*Alukset_fx!$B$24)*Alukset_Käynnit_Lask!W392*(Alukset_fx!$K$49)/1000),IF(AA392="MSD",((U392*Alukset_fx!$B$24)*Alukset_Käynnit_Lask!W392*(Alukset_fx!$K$52)/1000),IF(AA392="HSD",((U392*Alukset_fx!$B$24)*Alukset_Käynnit_Lask!W392*(Alukset_fx!$K$55)/1000),0)))</f>
        <v>0</v>
      </c>
      <c r="AI392" s="207">
        <f>IF(AC392="MSD",((V392*Alukset_fx!$B$25)*Alukset_Käynnit_Lask!W392*(Alukset_fx!$L$52)/1000),IF(AC392="HSD",((V392*Alukset_fx!$B$25)*Alukset_Käynnit_Lask!W392*(Alukset_fx!$L$55)/1000),0))</f>
        <v>0</v>
      </c>
      <c r="AJ392" s="207">
        <f>X392*W392*Alukset_fx!$K$61/1000</f>
        <v>0</v>
      </c>
      <c r="AK392">
        <v>0</v>
      </c>
      <c r="AL392" s="207">
        <f>IF(AG392="Käytetty",0,IF(AC392="MSD",((V392*Alukset_fx!$O$25)*Alukset_Käynnit_Lask!O392*(Alukset_fx!$L$52)/1000),IF(AC392="HSD",((V392*Alukset_fx!$O$25)*Alukset_Käynnit_Lask!O392*(Alukset_fx!$L$55)/1000),0)))</f>
        <v>0</v>
      </c>
      <c r="AM392" s="207">
        <f>IF(AG392="Käytetty",0,Y392*O392*Alukset_fx!$K$61/1000)</f>
        <v>0</v>
      </c>
      <c r="AN392" s="213">
        <f t="shared" si="74"/>
        <v>0</v>
      </c>
    </row>
    <row r="393" spans="1:40" x14ac:dyDescent="0.25">
      <c r="A393" s="203">
        <f>Alukset_Käynnit!A400</f>
        <v>0</v>
      </c>
      <c r="B393" s="203">
        <f>Alukset_Käynnit!B400</f>
        <v>0</v>
      </c>
      <c r="C393" s="262">
        <f>Alukset_Käynnit!C400</f>
        <v>0</v>
      </c>
      <c r="D393" s="266">
        <f>Alukset_Käynnit!D400</f>
        <v>0</v>
      </c>
      <c r="E393" s="262">
        <f>Alukset_Käynnit!E400</f>
        <v>0</v>
      </c>
      <c r="F393" s="262">
        <f>Alukset_Käynnit!F400</f>
        <v>0</v>
      </c>
      <c r="G393" s="262">
        <f>Alukset_Käynnit!G400</f>
        <v>0</v>
      </c>
      <c r="H393" s="262">
        <f>Alukset_Käynnit!H400</f>
        <v>0</v>
      </c>
      <c r="I393" s="262">
        <f>Alukset_Käynnit!I400</f>
        <v>0</v>
      </c>
      <c r="J393" s="262">
        <f>Alukset_Käynnit!J400</f>
        <v>0</v>
      </c>
      <c r="K393" s="262">
        <f>Alukset_Käynnit!K400</f>
        <v>0</v>
      </c>
      <c r="L393" s="205">
        <f>Alukset_Käynnit!L400</f>
        <v>0</v>
      </c>
      <c r="N393" s="273">
        <f t="shared" si="75"/>
        <v>0</v>
      </c>
      <c r="O393" s="274">
        <f t="shared" si="76"/>
        <v>0</v>
      </c>
      <c r="Q393" s="204">
        <f t="shared" si="65"/>
        <v>0</v>
      </c>
      <c r="R393" s="202">
        <f>IF(Q393="Other dry cargo",L393*Alukset_fx!$B$71,IF(OR(Q393="Dry bulk",Q393="Bulk carrier"),L393*Alukset_fx!$B$69,IF(Q393="Tugboat",L393*Alukset_fx!$B$76,IF(OR(Q393="Tanker",Q393="Gas tanker",Q393="Chemical tanker",Q393="Oil tanker"),L393*Alukset_fx!$B$68,IF(OR(Q393="RoRo",Q393="Vehicle carrier"),L393*Alukset_fx!$B$72,IF(Q393="RoPax",L393*Alukset_fx!$B$73,IF(Q393="Container ship",L393*Alukset_fx!$B$70,IF(Q393="Barge",0,L393*Alukset_fx!$B$75))))))))</f>
        <v>0</v>
      </c>
      <c r="S393" s="210">
        <f>IF(L393=0,IF(Q393="Other dry cargo",Alukset_fx!$H$73*(Alukset_Käynnit_Lask!K393^Alukset_fx!$I$73),IF(OR(Q393="Dry Bulk",Q393="Bulk carrier"),Alukset_fx!$H$71*(Alukset_Käynnit_Lask!K393^Alukset_fx!$I$71),IF(Q393="Tugboat",Alukset_fx!$H$78*(Alukset_Käynnit_Lask!K393^Alukset_fx!$I$78),IF(OR(Q393="Tanker",Q393="Gas tanker",Q393="Chemical tanker",Q393="Oil tanker"),Alukset_fx!$H$70*(Alukset_Käynnit_Lask!K393^Alukset_fx!$I$70),IF(Q393="Container ship",Alukset_fx!$H$72*(Alukset_Käynnit_Lask!K393^Alukset_fx!$I$72),IF(Q393="Barge",0,IF(Q393="RoPax",Alukset_fx!$H$75*(Alukset_Käynnit_Lask!K393^Alukset_fx!$I$75),IF(OR(Q393="RoRo",Q393="Vehicle carrier"),Alukset_fx!$H$74*(Alukset_Käynnit_Lask!K393^Alukset_fx!$I$74),Alukset_fx!$H$77*(Alukset_Käynnit_Lask!K393^Alukset_fx!$I$77))))))))),"-")</f>
        <v>0</v>
      </c>
      <c r="T393" s="208">
        <f>IF(R393=0,IF(Q393="Other dry cargo",S393*Alukset_fx!$B$71,IF(OR(Q393="Dry bulk",Q393="Bulk carrier"),S393*Alukset_fx!$B$69,IF(Q393="Tugboat",S393*Alukset_fx!$B$76,IF(OR(Q393="Tanker",Q393="Gas tanker",Q393="Chemical tanker",Q393="Oil tanker"),S393*Alukset_fx!$B$68,IF(OR(Q393="RoRo",Q393="Vehicle carrier"),S393*Alukset_fx!$B$72,IF(Q393="RoPax",S393*Alukset_fx!$B$73,IF(Q393="Container ship",S393*Alukset_fx!$B$70,S393*Alukset_fx!$B$75))))))),"-")</f>
        <v>0</v>
      </c>
      <c r="U393" s="208">
        <f t="shared" si="66"/>
        <v>0</v>
      </c>
      <c r="V393" s="208">
        <f t="shared" si="67"/>
        <v>0</v>
      </c>
      <c r="W393" s="202">
        <f>Alukset_Käynnit!N400</f>
        <v>0</v>
      </c>
      <c r="X393" s="211">
        <f>IF(Q393="Other dry cargo", Alukset_fx!$C$52, IF(OR(Q393="Dry bulk",Q393="Bulk carrier"),Alukset_fx!$C$35,IF(OR(Q393="Tanker",Q393="Gas tanker",Q393="Oil tanker"),Alukset_fx!$C$57,IF(Q393="Chemical tanker",Alukset_fx!$C$56,IF(OR(Q393="Tugboat",Q393="Barge"),0,IF(Q393="Other vessel",Alukset_fx!$C$54,IF(Q393="Container ship",Alukset_fx!$C$37,IF(OR(Q393="RoPax",Q393="RoRo",Q393="Vehicle carrier"),Alukset_fx!$C$55,0))))))))</f>
        <v>0</v>
      </c>
      <c r="Y393" s="211">
        <f>IF(Q393="Other dry cargo", Alukset_fx!$Q$52, IF(OR(Q393="Dry bulk",Q393="Bulk carrier"),Alukset_fx!$Q$35,IF(OR(Q393="Tanker",Q393="Gas tanker",Q393="Oil tanker"),Alukset_fx!$Q$57,IF(Q393="Chemical tanker",Alukset_fx!$Q$56,IF(OR(Q393="Tugboat",Q393="Barge"),0,IF(Q393="Other vessel",Alukset_fx!$Q$54,IF(Q393="Container ship",Alukset_fx!$Q$37,IF(OR(Q393="RoPax",Q393="RoRo",Q393="Vehicle carrier"),Alukset_fx!$Q$55,0))))))))</f>
        <v>0</v>
      </c>
      <c r="Z393" t="str">
        <f t="shared" si="68"/>
        <v>MDO/MGO</v>
      </c>
      <c r="AA393" t="str">
        <f t="shared" si="69"/>
        <v>MSD</v>
      </c>
      <c r="AB393" t="str">
        <f t="shared" si="70"/>
        <v>MDO/MGO</v>
      </c>
      <c r="AC393" t="str">
        <f t="shared" si="71"/>
        <v>MSD</v>
      </c>
      <c r="AD393" t="str">
        <f t="shared" si="72"/>
        <v>MDO/MGO</v>
      </c>
      <c r="AE393" t="str">
        <f t="shared" si="73"/>
        <v>ST</v>
      </c>
      <c r="AG393">
        <f>Alukset_Käynnit!O400</f>
        <v>0</v>
      </c>
      <c r="AH393" s="207">
        <f>IF(AA393="SSD",((U393*Alukset_fx!$B$24)*Alukset_Käynnit_Lask!W393*(Alukset_fx!$K$49)/1000),IF(AA393="MSD",((U393*Alukset_fx!$B$24)*Alukset_Käynnit_Lask!W393*(Alukset_fx!$K$52)/1000),IF(AA393="HSD",((U393*Alukset_fx!$B$24)*Alukset_Käynnit_Lask!W393*(Alukset_fx!$K$55)/1000),0)))</f>
        <v>0</v>
      </c>
      <c r="AI393" s="207">
        <f>IF(AC393="MSD",((V393*Alukset_fx!$B$25)*Alukset_Käynnit_Lask!W393*(Alukset_fx!$L$52)/1000),IF(AC393="HSD",((V393*Alukset_fx!$B$25)*Alukset_Käynnit_Lask!W393*(Alukset_fx!$L$55)/1000),0))</f>
        <v>0</v>
      </c>
      <c r="AJ393" s="207">
        <f>X393*W393*Alukset_fx!$K$61/1000</f>
        <v>0</v>
      </c>
      <c r="AK393">
        <v>0</v>
      </c>
      <c r="AL393" s="207">
        <f>IF(AG393="Käytetty",0,IF(AC393="MSD",((V393*Alukset_fx!$O$25)*Alukset_Käynnit_Lask!O393*(Alukset_fx!$L$52)/1000),IF(AC393="HSD",((V393*Alukset_fx!$O$25)*Alukset_Käynnit_Lask!O393*(Alukset_fx!$L$55)/1000),0)))</f>
        <v>0</v>
      </c>
      <c r="AM393" s="207">
        <f>IF(AG393="Käytetty",0,Y393*O393*Alukset_fx!$K$61/1000)</f>
        <v>0</v>
      </c>
      <c r="AN393" s="213">
        <f t="shared" si="74"/>
        <v>0</v>
      </c>
    </row>
    <row r="394" spans="1:40" x14ac:dyDescent="0.25">
      <c r="A394" s="203">
        <f>Alukset_Käynnit!A401</f>
        <v>0</v>
      </c>
      <c r="B394" s="203">
        <f>Alukset_Käynnit!B401</f>
        <v>0</v>
      </c>
      <c r="C394" s="262">
        <f>Alukset_Käynnit!C401</f>
        <v>0</v>
      </c>
      <c r="D394" s="266">
        <f>Alukset_Käynnit!D401</f>
        <v>0</v>
      </c>
      <c r="E394" s="262">
        <f>Alukset_Käynnit!E401</f>
        <v>0</v>
      </c>
      <c r="F394" s="262">
        <f>Alukset_Käynnit!F401</f>
        <v>0</v>
      </c>
      <c r="G394" s="262">
        <f>Alukset_Käynnit!G401</f>
        <v>0</v>
      </c>
      <c r="H394" s="262">
        <f>Alukset_Käynnit!H401</f>
        <v>0</v>
      </c>
      <c r="I394" s="262">
        <f>Alukset_Käynnit!I401</f>
        <v>0</v>
      </c>
      <c r="J394" s="262">
        <f>Alukset_Käynnit!J401</f>
        <v>0</v>
      </c>
      <c r="K394" s="262">
        <f>Alukset_Käynnit!K401</f>
        <v>0</v>
      </c>
      <c r="L394" s="205">
        <f>Alukset_Käynnit!L401</f>
        <v>0</v>
      </c>
      <c r="N394" s="273">
        <f t="shared" si="75"/>
        <v>0</v>
      </c>
      <c r="O394" s="274">
        <f t="shared" si="76"/>
        <v>0</v>
      </c>
      <c r="Q394" s="204">
        <f t="shared" si="65"/>
        <v>0</v>
      </c>
      <c r="R394" s="202">
        <f>IF(Q394="Other dry cargo",L394*Alukset_fx!$B$71,IF(OR(Q394="Dry bulk",Q394="Bulk carrier"),L394*Alukset_fx!$B$69,IF(Q394="Tugboat",L394*Alukset_fx!$B$76,IF(OR(Q394="Tanker",Q394="Gas tanker",Q394="Chemical tanker",Q394="Oil tanker"),L394*Alukset_fx!$B$68,IF(OR(Q394="RoRo",Q394="Vehicle carrier"),L394*Alukset_fx!$B$72,IF(Q394="RoPax",L394*Alukset_fx!$B$73,IF(Q394="Container ship",L394*Alukset_fx!$B$70,IF(Q394="Barge",0,L394*Alukset_fx!$B$75))))))))</f>
        <v>0</v>
      </c>
      <c r="S394" s="210">
        <f>IF(L394=0,IF(Q394="Other dry cargo",Alukset_fx!$H$73*(Alukset_Käynnit_Lask!K394^Alukset_fx!$I$73),IF(OR(Q394="Dry Bulk",Q394="Bulk carrier"),Alukset_fx!$H$71*(Alukset_Käynnit_Lask!K394^Alukset_fx!$I$71),IF(Q394="Tugboat",Alukset_fx!$H$78*(Alukset_Käynnit_Lask!K394^Alukset_fx!$I$78),IF(OR(Q394="Tanker",Q394="Gas tanker",Q394="Chemical tanker",Q394="Oil tanker"),Alukset_fx!$H$70*(Alukset_Käynnit_Lask!K394^Alukset_fx!$I$70),IF(Q394="Container ship",Alukset_fx!$H$72*(Alukset_Käynnit_Lask!K394^Alukset_fx!$I$72),IF(Q394="Barge",0,IF(Q394="RoPax",Alukset_fx!$H$75*(Alukset_Käynnit_Lask!K394^Alukset_fx!$I$75),IF(OR(Q394="RoRo",Q394="Vehicle carrier"),Alukset_fx!$H$74*(Alukset_Käynnit_Lask!K394^Alukset_fx!$I$74),Alukset_fx!$H$77*(Alukset_Käynnit_Lask!K394^Alukset_fx!$I$77))))))))),"-")</f>
        <v>0</v>
      </c>
      <c r="T394" s="208">
        <f>IF(R394=0,IF(Q394="Other dry cargo",S394*Alukset_fx!$B$71,IF(OR(Q394="Dry bulk",Q394="Bulk carrier"),S394*Alukset_fx!$B$69,IF(Q394="Tugboat",S394*Alukset_fx!$B$76,IF(OR(Q394="Tanker",Q394="Gas tanker",Q394="Chemical tanker",Q394="Oil tanker"),S394*Alukset_fx!$B$68,IF(OR(Q394="RoRo",Q394="Vehicle carrier"),S394*Alukset_fx!$B$72,IF(Q394="RoPax",S394*Alukset_fx!$B$73,IF(Q394="Container ship",S394*Alukset_fx!$B$70,S394*Alukset_fx!$B$75))))))),"-")</f>
        <v>0</v>
      </c>
      <c r="U394" s="208">
        <f t="shared" si="66"/>
        <v>0</v>
      </c>
      <c r="V394" s="208">
        <f t="shared" si="67"/>
        <v>0</v>
      </c>
      <c r="W394" s="202">
        <f>Alukset_Käynnit!N401</f>
        <v>0</v>
      </c>
      <c r="X394" s="211">
        <f>IF(Q394="Other dry cargo", Alukset_fx!$C$52, IF(OR(Q394="Dry bulk",Q394="Bulk carrier"),Alukset_fx!$C$35,IF(OR(Q394="Tanker",Q394="Gas tanker",Q394="Oil tanker"),Alukset_fx!$C$57,IF(Q394="Chemical tanker",Alukset_fx!$C$56,IF(OR(Q394="Tugboat",Q394="Barge"),0,IF(Q394="Other vessel",Alukset_fx!$C$54,IF(Q394="Container ship",Alukset_fx!$C$37,IF(OR(Q394="RoPax",Q394="RoRo",Q394="Vehicle carrier"),Alukset_fx!$C$55,0))))))))</f>
        <v>0</v>
      </c>
      <c r="Y394" s="211">
        <f>IF(Q394="Other dry cargo", Alukset_fx!$Q$52, IF(OR(Q394="Dry bulk",Q394="Bulk carrier"),Alukset_fx!$Q$35,IF(OR(Q394="Tanker",Q394="Gas tanker",Q394="Oil tanker"),Alukset_fx!$Q$57,IF(Q394="Chemical tanker",Alukset_fx!$Q$56,IF(OR(Q394="Tugboat",Q394="Barge"),0,IF(Q394="Other vessel",Alukset_fx!$Q$54,IF(Q394="Container ship",Alukset_fx!$Q$37,IF(OR(Q394="RoPax",Q394="RoRo",Q394="Vehicle carrier"),Alukset_fx!$Q$55,0))))))))</f>
        <v>0</v>
      </c>
      <c r="Z394" t="str">
        <f t="shared" si="68"/>
        <v>MDO/MGO</v>
      </c>
      <c r="AA394" t="str">
        <f t="shared" si="69"/>
        <v>MSD</v>
      </c>
      <c r="AB394" t="str">
        <f t="shared" si="70"/>
        <v>MDO/MGO</v>
      </c>
      <c r="AC394" t="str">
        <f t="shared" si="71"/>
        <v>MSD</v>
      </c>
      <c r="AD394" t="str">
        <f t="shared" si="72"/>
        <v>MDO/MGO</v>
      </c>
      <c r="AE394" t="str">
        <f t="shared" si="73"/>
        <v>ST</v>
      </c>
      <c r="AG394">
        <f>Alukset_Käynnit!O401</f>
        <v>0</v>
      </c>
      <c r="AH394" s="207">
        <f>IF(AA394="SSD",((U394*Alukset_fx!$B$24)*Alukset_Käynnit_Lask!W394*(Alukset_fx!$K$49)/1000),IF(AA394="MSD",((U394*Alukset_fx!$B$24)*Alukset_Käynnit_Lask!W394*(Alukset_fx!$K$52)/1000),IF(AA394="HSD",((U394*Alukset_fx!$B$24)*Alukset_Käynnit_Lask!W394*(Alukset_fx!$K$55)/1000),0)))</f>
        <v>0</v>
      </c>
      <c r="AI394" s="207">
        <f>IF(AC394="MSD",((V394*Alukset_fx!$B$25)*Alukset_Käynnit_Lask!W394*(Alukset_fx!$L$52)/1000),IF(AC394="HSD",((V394*Alukset_fx!$B$25)*Alukset_Käynnit_Lask!W394*(Alukset_fx!$L$55)/1000),0))</f>
        <v>0</v>
      </c>
      <c r="AJ394" s="207">
        <f>X394*W394*Alukset_fx!$K$61/1000</f>
        <v>0</v>
      </c>
      <c r="AK394">
        <v>0</v>
      </c>
      <c r="AL394" s="207">
        <f>IF(AG394="Käytetty",0,IF(AC394="MSD",((V394*Alukset_fx!$O$25)*Alukset_Käynnit_Lask!O394*(Alukset_fx!$L$52)/1000),IF(AC394="HSD",((V394*Alukset_fx!$O$25)*Alukset_Käynnit_Lask!O394*(Alukset_fx!$L$55)/1000),0)))</f>
        <v>0</v>
      </c>
      <c r="AM394" s="207">
        <f>IF(AG394="Käytetty",0,Y394*O394*Alukset_fx!$K$61/1000)</f>
        <v>0</v>
      </c>
      <c r="AN394" s="213">
        <f t="shared" si="74"/>
        <v>0</v>
      </c>
    </row>
    <row r="395" spans="1:40" x14ac:dyDescent="0.25">
      <c r="A395" s="203">
        <f>Alukset_Käynnit!A402</f>
        <v>0</v>
      </c>
      <c r="B395" s="203">
        <f>Alukset_Käynnit!B402</f>
        <v>0</v>
      </c>
      <c r="C395" s="262">
        <f>Alukset_Käynnit!C402</f>
        <v>0</v>
      </c>
      <c r="D395" s="266">
        <f>Alukset_Käynnit!D402</f>
        <v>0</v>
      </c>
      <c r="E395" s="262">
        <f>Alukset_Käynnit!E402</f>
        <v>0</v>
      </c>
      <c r="F395" s="262">
        <f>Alukset_Käynnit!F402</f>
        <v>0</v>
      </c>
      <c r="G395" s="262">
        <f>Alukset_Käynnit!G402</f>
        <v>0</v>
      </c>
      <c r="H395" s="262">
        <f>Alukset_Käynnit!H402</f>
        <v>0</v>
      </c>
      <c r="I395" s="262">
        <f>Alukset_Käynnit!I402</f>
        <v>0</v>
      </c>
      <c r="J395" s="262">
        <f>Alukset_Käynnit!J402</f>
        <v>0</v>
      </c>
      <c r="K395" s="262">
        <f>Alukset_Käynnit!K402</f>
        <v>0</v>
      </c>
      <c r="L395" s="205">
        <f>Alukset_Käynnit!L402</f>
        <v>0</v>
      </c>
      <c r="N395" s="273">
        <f t="shared" si="75"/>
        <v>0</v>
      </c>
      <c r="O395" s="274">
        <f t="shared" si="76"/>
        <v>0</v>
      </c>
      <c r="Q395" s="204">
        <f t="shared" si="65"/>
        <v>0</v>
      </c>
      <c r="R395" s="202">
        <f>IF(Q395="Other dry cargo",L395*Alukset_fx!$B$71,IF(OR(Q395="Dry bulk",Q395="Bulk carrier"),L395*Alukset_fx!$B$69,IF(Q395="Tugboat",L395*Alukset_fx!$B$76,IF(OR(Q395="Tanker",Q395="Gas tanker",Q395="Chemical tanker",Q395="Oil tanker"),L395*Alukset_fx!$B$68,IF(OR(Q395="RoRo",Q395="Vehicle carrier"),L395*Alukset_fx!$B$72,IF(Q395="RoPax",L395*Alukset_fx!$B$73,IF(Q395="Container ship",L395*Alukset_fx!$B$70,IF(Q395="Barge",0,L395*Alukset_fx!$B$75))))))))</f>
        <v>0</v>
      </c>
      <c r="S395" s="210">
        <f>IF(L395=0,IF(Q395="Other dry cargo",Alukset_fx!$H$73*(Alukset_Käynnit_Lask!K395^Alukset_fx!$I$73),IF(OR(Q395="Dry Bulk",Q395="Bulk carrier"),Alukset_fx!$H$71*(Alukset_Käynnit_Lask!K395^Alukset_fx!$I$71),IF(Q395="Tugboat",Alukset_fx!$H$78*(Alukset_Käynnit_Lask!K395^Alukset_fx!$I$78),IF(OR(Q395="Tanker",Q395="Gas tanker",Q395="Chemical tanker",Q395="Oil tanker"),Alukset_fx!$H$70*(Alukset_Käynnit_Lask!K395^Alukset_fx!$I$70),IF(Q395="Container ship",Alukset_fx!$H$72*(Alukset_Käynnit_Lask!K395^Alukset_fx!$I$72),IF(Q395="Barge",0,IF(Q395="RoPax",Alukset_fx!$H$75*(Alukset_Käynnit_Lask!K395^Alukset_fx!$I$75),IF(OR(Q395="RoRo",Q395="Vehicle carrier"),Alukset_fx!$H$74*(Alukset_Käynnit_Lask!K395^Alukset_fx!$I$74),Alukset_fx!$H$77*(Alukset_Käynnit_Lask!K395^Alukset_fx!$I$77))))))))),"-")</f>
        <v>0</v>
      </c>
      <c r="T395" s="208">
        <f>IF(R395=0,IF(Q395="Other dry cargo",S395*Alukset_fx!$B$71,IF(OR(Q395="Dry bulk",Q395="Bulk carrier"),S395*Alukset_fx!$B$69,IF(Q395="Tugboat",S395*Alukset_fx!$B$76,IF(OR(Q395="Tanker",Q395="Gas tanker",Q395="Chemical tanker",Q395="Oil tanker"),S395*Alukset_fx!$B$68,IF(OR(Q395="RoRo",Q395="Vehicle carrier"),S395*Alukset_fx!$B$72,IF(Q395="RoPax",S395*Alukset_fx!$B$73,IF(Q395="Container ship",S395*Alukset_fx!$B$70,S395*Alukset_fx!$B$75))))))),"-")</f>
        <v>0</v>
      </c>
      <c r="U395" s="208">
        <f t="shared" si="66"/>
        <v>0</v>
      </c>
      <c r="V395" s="208">
        <f t="shared" si="67"/>
        <v>0</v>
      </c>
      <c r="W395" s="202">
        <f>Alukset_Käynnit!N402</f>
        <v>0</v>
      </c>
      <c r="X395" s="211">
        <f>IF(Q395="Other dry cargo", Alukset_fx!$C$52, IF(OR(Q395="Dry bulk",Q395="Bulk carrier"),Alukset_fx!$C$35,IF(OR(Q395="Tanker",Q395="Gas tanker",Q395="Oil tanker"),Alukset_fx!$C$57,IF(Q395="Chemical tanker",Alukset_fx!$C$56,IF(OR(Q395="Tugboat",Q395="Barge"),0,IF(Q395="Other vessel",Alukset_fx!$C$54,IF(Q395="Container ship",Alukset_fx!$C$37,IF(OR(Q395="RoPax",Q395="RoRo",Q395="Vehicle carrier"),Alukset_fx!$C$55,0))))))))</f>
        <v>0</v>
      </c>
      <c r="Y395" s="211">
        <f>IF(Q395="Other dry cargo", Alukset_fx!$Q$52, IF(OR(Q395="Dry bulk",Q395="Bulk carrier"),Alukset_fx!$Q$35,IF(OR(Q395="Tanker",Q395="Gas tanker",Q395="Oil tanker"),Alukset_fx!$Q$57,IF(Q395="Chemical tanker",Alukset_fx!$Q$56,IF(OR(Q395="Tugboat",Q395="Barge"),0,IF(Q395="Other vessel",Alukset_fx!$Q$54,IF(Q395="Container ship",Alukset_fx!$Q$37,IF(OR(Q395="RoPax",Q395="RoRo",Q395="Vehicle carrier"),Alukset_fx!$Q$55,0))))))))</f>
        <v>0</v>
      </c>
      <c r="Z395" t="str">
        <f t="shared" si="68"/>
        <v>MDO/MGO</v>
      </c>
      <c r="AA395" t="str">
        <f t="shared" si="69"/>
        <v>MSD</v>
      </c>
      <c r="AB395" t="str">
        <f t="shared" si="70"/>
        <v>MDO/MGO</v>
      </c>
      <c r="AC395" t="str">
        <f t="shared" si="71"/>
        <v>MSD</v>
      </c>
      <c r="AD395" t="str">
        <f t="shared" si="72"/>
        <v>MDO/MGO</v>
      </c>
      <c r="AE395" t="str">
        <f t="shared" si="73"/>
        <v>ST</v>
      </c>
      <c r="AG395">
        <f>Alukset_Käynnit!O402</f>
        <v>0</v>
      </c>
      <c r="AH395" s="207">
        <f>IF(AA395="SSD",((U395*Alukset_fx!$B$24)*Alukset_Käynnit_Lask!W395*(Alukset_fx!$K$49)/1000),IF(AA395="MSD",((U395*Alukset_fx!$B$24)*Alukset_Käynnit_Lask!W395*(Alukset_fx!$K$52)/1000),IF(AA395="HSD",((U395*Alukset_fx!$B$24)*Alukset_Käynnit_Lask!W395*(Alukset_fx!$K$55)/1000),0)))</f>
        <v>0</v>
      </c>
      <c r="AI395" s="207">
        <f>IF(AC395="MSD",((V395*Alukset_fx!$B$25)*Alukset_Käynnit_Lask!W395*(Alukset_fx!$L$52)/1000),IF(AC395="HSD",((V395*Alukset_fx!$B$25)*Alukset_Käynnit_Lask!W395*(Alukset_fx!$L$55)/1000),0))</f>
        <v>0</v>
      </c>
      <c r="AJ395" s="207">
        <f>X395*W395*Alukset_fx!$K$61/1000</f>
        <v>0</v>
      </c>
      <c r="AK395">
        <v>0</v>
      </c>
      <c r="AL395" s="207">
        <f>IF(AG395="Käytetty",0,IF(AC395="MSD",((V395*Alukset_fx!$O$25)*Alukset_Käynnit_Lask!O395*(Alukset_fx!$L$52)/1000),IF(AC395="HSD",((V395*Alukset_fx!$O$25)*Alukset_Käynnit_Lask!O395*(Alukset_fx!$L$55)/1000),0)))</f>
        <v>0</v>
      </c>
      <c r="AM395" s="207">
        <f>IF(AG395="Käytetty",0,Y395*O395*Alukset_fx!$K$61/1000)</f>
        <v>0</v>
      </c>
      <c r="AN395" s="213">
        <f t="shared" si="74"/>
        <v>0</v>
      </c>
    </row>
    <row r="396" spans="1:40" x14ac:dyDescent="0.25">
      <c r="A396" s="203">
        <f>Alukset_Käynnit!A403</f>
        <v>0</v>
      </c>
      <c r="B396" s="203">
        <f>Alukset_Käynnit!B403</f>
        <v>0</v>
      </c>
      <c r="C396" s="262">
        <f>Alukset_Käynnit!C403</f>
        <v>0</v>
      </c>
      <c r="D396" s="266">
        <f>Alukset_Käynnit!D403</f>
        <v>0</v>
      </c>
      <c r="E396" s="262">
        <f>Alukset_Käynnit!E403</f>
        <v>0</v>
      </c>
      <c r="F396" s="262">
        <f>Alukset_Käynnit!F403</f>
        <v>0</v>
      </c>
      <c r="G396" s="262">
        <f>Alukset_Käynnit!G403</f>
        <v>0</v>
      </c>
      <c r="H396" s="262">
        <f>Alukset_Käynnit!H403</f>
        <v>0</v>
      </c>
      <c r="I396" s="262">
        <f>Alukset_Käynnit!I403</f>
        <v>0</v>
      </c>
      <c r="J396" s="262">
        <f>Alukset_Käynnit!J403</f>
        <v>0</v>
      </c>
      <c r="K396" s="262">
        <f>Alukset_Käynnit!K403</f>
        <v>0</v>
      </c>
      <c r="L396" s="205">
        <f>Alukset_Käynnit!L403</f>
        <v>0</v>
      </c>
      <c r="N396" s="273">
        <f t="shared" si="75"/>
        <v>0</v>
      </c>
      <c r="O396" s="274">
        <f t="shared" si="76"/>
        <v>0</v>
      </c>
      <c r="Q396" s="204">
        <f t="shared" si="65"/>
        <v>0</v>
      </c>
      <c r="R396" s="202">
        <f>IF(Q396="Other dry cargo",L396*Alukset_fx!$B$71,IF(OR(Q396="Dry bulk",Q396="Bulk carrier"),L396*Alukset_fx!$B$69,IF(Q396="Tugboat",L396*Alukset_fx!$B$76,IF(OR(Q396="Tanker",Q396="Gas tanker",Q396="Chemical tanker",Q396="Oil tanker"),L396*Alukset_fx!$B$68,IF(OR(Q396="RoRo",Q396="Vehicle carrier"),L396*Alukset_fx!$B$72,IF(Q396="RoPax",L396*Alukset_fx!$B$73,IF(Q396="Container ship",L396*Alukset_fx!$B$70,IF(Q396="Barge",0,L396*Alukset_fx!$B$75))))))))</f>
        <v>0</v>
      </c>
      <c r="S396" s="210">
        <f>IF(L396=0,IF(Q396="Other dry cargo",Alukset_fx!$H$73*(Alukset_Käynnit_Lask!K396^Alukset_fx!$I$73),IF(OR(Q396="Dry Bulk",Q396="Bulk carrier"),Alukset_fx!$H$71*(Alukset_Käynnit_Lask!K396^Alukset_fx!$I$71),IF(Q396="Tugboat",Alukset_fx!$H$78*(Alukset_Käynnit_Lask!K396^Alukset_fx!$I$78),IF(OR(Q396="Tanker",Q396="Gas tanker",Q396="Chemical tanker",Q396="Oil tanker"),Alukset_fx!$H$70*(Alukset_Käynnit_Lask!K396^Alukset_fx!$I$70),IF(Q396="Container ship",Alukset_fx!$H$72*(Alukset_Käynnit_Lask!K396^Alukset_fx!$I$72),IF(Q396="Barge",0,IF(Q396="RoPax",Alukset_fx!$H$75*(Alukset_Käynnit_Lask!K396^Alukset_fx!$I$75),IF(OR(Q396="RoRo",Q396="Vehicle carrier"),Alukset_fx!$H$74*(Alukset_Käynnit_Lask!K396^Alukset_fx!$I$74),Alukset_fx!$H$77*(Alukset_Käynnit_Lask!K396^Alukset_fx!$I$77))))))))),"-")</f>
        <v>0</v>
      </c>
      <c r="T396" s="208">
        <f>IF(R396=0,IF(Q396="Other dry cargo",S396*Alukset_fx!$B$71,IF(OR(Q396="Dry bulk",Q396="Bulk carrier"),S396*Alukset_fx!$B$69,IF(Q396="Tugboat",S396*Alukset_fx!$B$76,IF(OR(Q396="Tanker",Q396="Gas tanker",Q396="Chemical tanker",Q396="Oil tanker"),S396*Alukset_fx!$B$68,IF(OR(Q396="RoRo",Q396="Vehicle carrier"),S396*Alukset_fx!$B$72,IF(Q396="RoPax",S396*Alukset_fx!$B$73,IF(Q396="Container ship",S396*Alukset_fx!$B$70,S396*Alukset_fx!$B$75))))))),"-")</f>
        <v>0</v>
      </c>
      <c r="U396" s="208">
        <f t="shared" si="66"/>
        <v>0</v>
      </c>
      <c r="V396" s="208">
        <f t="shared" si="67"/>
        <v>0</v>
      </c>
      <c r="W396" s="202">
        <f>Alukset_Käynnit!N403</f>
        <v>0</v>
      </c>
      <c r="X396" s="211">
        <f>IF(Q396="Other dry cargo", Alukset_fx!$C$52, IF(OR(Q396="Dry bulk",Q396="Bulk carrier"),Alukset_fx!$C$35,IF(OR(Q396="Tanker",Q396="Gas tanker",Q396="Oil tanker"),Alukset_fx!$C$57,IF(Q396="Chemical tanker",Alukset_fx!$C$56,IF(OR(Q396="Tugboat",Q396="Barge"),0,IF(Q396="Other vessel",Alukset_fx!$C$54,IF(Q396="Container ship",Alukset_fx!$C$37,IF(OR(Q396="RoPax",Q396="RoRo",Q396="Vehicle carrier"),Alukset_fx!$C$55,0))))))))</f>
        <v>0</v>
      </c>
      <c r="Y396" s="211">
        <f>IF(Q396="Other dry cargo", Alukset_fx!$Q$52, IF(OR(Q396="Dry bulk",Q396="Bulk carrier"),Alukset_fx!$Q$35,IF(OR(Q396="Tanker",Q396="Gas tanker",Q396="Oil tanker"),Alukset_fx!$Q$57,IF(Q396="Chemical tanker",Alukset_fx!$Q$56,IF(OR(Q396="Tugboat",Q396="Barge"),0,IF(Q396="Other vessel",Alukset_fx!$Q$54,IF(Q396="Container ship",Alukset_fx!$Q$37,IF(OR(Q396="RoPax",Q396="RoRo",Q396="Vehicle carrier"),Alukset_fx!$Q$55,0))))))))</f>
        <v>0</v>
      </c>
      <c r="Z396" t="str">
        <f t="shared" si="68"/>
        <v>MDO/MGO</v>
      </c>
      <c r="AA396" t="str">
        <f t="shared" si="69"/>
        <v>MSD</v>
      </c>
      <c r="AB396" t="str">
        <f t="shared" si="70"/>
        <v>MDO/MGO</v>
      </c>
      <c r="AC396" t="str">
        <f t="shared" si="71"/>
        <v>MSD</v>
      </c>
      <c r="AD396" t="str">
        <f t="shared" si="72"/>
        <v>MDO/MGO</v>
      </c>
      <c r="AE396" t="str">
        <f t="shared" si="73"/>
        <v>ST</v>
      </c>
      <c r="AG396">
        <f>Alukset_Käynnit!O403</f>
        <v>0</v>
      </c>
      <c r="AH396" s="207">
        <f>IF(AA396="SSD",((U396*Alukset_fx!$B$24)*Alukset_Käynnit_Lask!W396*(Alukset_fx!$K$49)/1000),IF(AA396="MSD",((U396*Alukset_fx!$B$24)*Alukset_Käynnit_Lask!W396*(Alukset_fx!$K$52)/1000),IF(AA396="HSD",((U396*Alukset_fx!$B$24)*Alukset_Käynnit_Lask!W396*(Alukset_fx!$K$55)/1000),0)))</f>
        <v>0</v>
      </c>
      <c r="AI396" s="207">
        <f>IF(AC396="MSD",((V396*Alukset_fx!$B$25)*Alukset_Käynnit_Lask!W396*(Alukset_fx!$L$52)/1000),IF(AC396="HSD",((V396*Alukset_fx!$B$25)*Alukset_Käynnit_Lask!W396*(Alukset_fx!$L$55)/1000),0))</f>
        <v>0</v>
      </c>
      <c r="AJ396" s="207">
        <f>X396*W396*Alukset_fx!$K$61/1000</f>
        <v>0</v>
      </c>
      <c r="AK396">
        <v>0</v>
      </c>
      <c r="AL396" s="207">
        <f>IF(AG396="Käytetty",0,IF(AC396="MSD",((V396*Alukset_fx!$O$25)*Alukset_Käynnit_Lask!O396*(Alukset_fx!$L$52)/1000),IF(AC396="HSD",((V396*Alukset_fx!$O$25)*Alukset_Käynnit_Lask!O396*(Alukset_fx!$L$55)/1000),0)))</f>
        <v>0</v>
      </c>
      <c r="AM396" s="207">
        <f>IF(AG396="Käytetty",0,Y396*O396*Alukset_fx!$K$61/1000)</f>
        <v>0</v>
      </c>
      <c r="AN396" s="213">
        <f t="shared" si="74"/>
        <v>0</v>
      </c>
    </row>
    <row r="397" spans="1:40" x14ac:dyDescent="0.25">
      <c r="A397" s="203">
        <f>Alukset_Käynnit!A404</f>
        <v>0</v>
      </c>
      <c r="B397" s="203">
        <f>Alukset_Käynnit!B404</f>
        <v>0</v>
      </c>
      <c r="C397" s="262">
        <f>Alukset_Käynnit!C404</f>
        <v>0</v>
      </c>
      <c r="D397" s="266">
        <f>Alukset_Käynnit!D404</f>
        <v>0</v>
      </c>
      <c r="E397" s="262">
        <f>Alukset_Käynnit!E404</f>
        <v>0</v>
      </c>
      <c r="F397" s="262">
        <f>Alukset_Käynnit!F404</f>
        <v>0</v>
      </c>
      <c r="G397" s="262">
        <f>Alukset_Käynnit!G404</f>
        <v>0</v>
      </c>
      <c r="H397" s="262">
        <f>Alukset_Käynnit!H404</f>
        <v>0</v>
      </c>
      <c r="I397" s="262">
        <f>Alukset_Käynnit!I404</f>
        <v>0</v>
      </c>
      <c r="J397" s="262">
        <f>Alukset_Käynnit!J404</f>
        <v>0</v>
      </c>
      <c r="K397" s="262">
        <f>Alukset_Käynnit!K404</f>
        <v>0</v>
      </c>
      <c r="L397" s="205">
        <f>Alukset_Käynnit!L404</f>
        <v>0</v>
      </c>
      <c r="N397" s="273">
        <f t="shared" si="75"/>
        <v>0</v>
      </c>
      <c r="O397" s="274">
        <f t="shared" si="76"/>
        <v>0</v>
      </c>
      <c r="Q397" s="204">
        <f t="shared" si="65"/>
        <v>0</v>
      </c>
      <c r="R397" s="202">
        <f>IF(Q397="Other dry cargo",L397*Alukset_fx!$B$71,IF(OR(Q397="Dry bulk",Q397="Bulk carrier"),L397*Alukset_fx!$B$69,IF(Q397="Tugboat",L397*Alukset_fx!$B$76,IF(OR(Q397="Tanker",Q397="Gas tanker",Q397="Chemical tanker",Q397="Oil tanker"),L397*Alukset_fx!$B$68,IF(OR(Q397="RoRo",Q397="Vehicle carrier"),L397*Alukset_fx!$B$72,IF(Q397="RoPax",L397*Alukset_fx!$B$73,IF(Q397="Container ship",L397*Alukset_fx!$B$70,IF(Q397="Barge",0,L397*Alukset_fx!$B$75))))))))</f>
        <v>0</v>
      </c>
      <c r="S397" s="210">
        <f>IF(L397=0,IF(Q397="Other dry cargo",Alukset_fx!$H$73*(Alukset_Käynnit_Lask!K397^Alukset_fx!$I$73),IF(OR(Q397="Dry Bulk",Q397="Bulk carrier"),Alukset_fx!$H$71*(Alukset_Käynnit_Lask!K397^Alukset_fx!$I$71),IF(Q397="Tugboat",Alukset_fx!$H$78*(Alukset_Käynnit_Lask!K397^Alukset_fx!$I$78),IF(OR(Q397="Tanker",Q397="Gas tanker",Q397="Chemical tanker",Q397="Oil tanker"),Alukset_fx!$H$70*(Alukset_Käynnit_Lask!K397^Alukset_fx!$I$70),IF(Q397="Container ship",Alukset_fx!$H$72*(Alukset_Käynnit_Lask!K397^Alukset_fx!$I$72),IF(Q397="Barge",0,IF(Q397="RoPax",Alukset_fx!$H$75*(Alukset_Käynnit_Lask!K397^Alukset_fx!$I$75),IF(OR(Q397="RoRo",Q397="Vehicle carrier"),Alukset_fx!$H$74*(Alukset_Käynnit_Lask!K397^Alukset_fx!$I$74),Alukset_fx!$H$77*(Alukset_Käynnit_Lask!K397^Alukset_fx!$I$77))))))))),"-")</f>
        <v>0</v>
      </c>
      <c r="T397" s="208">
        <f>IF(R397=0,IF(Q397="Other dry cargo",S397*Alukset_fx!$B$71,IF(OR(Q397="Dry bulk",Q397="Bulk carrier"),S397*Alukset_fx!$B$69,IF(Q397="Tugboat",S397*Alukset_fx!$B$76,IF(OR(Q397="Tanker",Q397="Gas tanker",Q397="Chemical tanker",Q397="Oil tanker"),S397*Alukset_fx!$B$68,IF(OR(Q397="RoRo",Q397="Vehicle carrier"),S397*Alukset_fx!$B$72,IF(Q397="RoPax",S397*Alukset_fx!$B$73,IF(Q397="Container ship",S397*Alukset_fx!$B$70,S397*Alukset_fx!$B$75))))))),"-")</f>
        <v>0</v>
      </c>
      <c r="U397" s="208">
        <f t="shared" si="66"/>
        <v>0</v>
      </c>
      <c r="V397" s="208">
        <f t="shared" si="67"/>
        <v>0</v>
      </c>
      <c r="W397" s="202">
        <f>Alukset_Käynnit!N404</f>
        <v>0</v>
      </c>
      <c r="X397" s="211">
        <f>IF(Q397="Other dry cargo", Alukset_fx!$C$52, IF(OR(Q397="Dry bulk",Q397="Bulk carrier"),Alukset_fx!$C$35,IF(OR(Q397="Tanker",Q397="Gas tanker",Q397="Oil tanker"),Alukset_fx!$C$57,IF(Q397="Chemical tanker",Alukset_fx!$C$56,IF(OR(Q397="Tugboat",Q397="Barge"),0,IF(Q397="Other vessel",Alukset_fx!$C$54,IF(Q397="Container ship",Alukset_fx!$C$37,IF(OR(Q397="RoPax",Q397="RoRo",Q397="Vehicle carrier"),Alukset_fx!$C$55,0))))))))</f>
        <v>0</v>
      </c>
      <c r="Y397" s="211">
        <f>IF(Q397="Other dry cargo", Alukset_fx!$Q$52, IF(OR(Q397="Dry bulk",Q397="Bulk carrier"),Alukset_fx!$Q$35,IF(OR(Q397="Tanker",Q397="Gas tanker",Q397="Oil tanker"),Alukset_fx!$Q$57,IF(Q397="Chemical tanker",Alukset_fx!$Q$56,IF(OR(Q397="Tugboat",Q397="Barge"),0,IF(Q397="Other vessel",Alukset_fx!$Q$54,IF(Q397="Container ship",Alukset_fx!$Q$37,IF(OR(Q397="RoPax",Q397="RoRo",Q397="Vehicle carrier"),Alukset_fx!$Q$55,0))))))))</f>
        <v>0</v>
      </c>
      <c r="Z397" t="str">
        <f t="shared" si="68"/>
        <v>MDO/MGO</v>
      </c>
      <c r="AA397" t="str">
        <f t="shared" si="69"/>
        <v>MSD</v>
      </c>
      <c r="AB397" t="str">
        <f t="shared" si="70"/>
        <v>MDO/MGO</v>
      </c>
      <c r="AC397" t="str">
        <f t="shared" si="71"/>
        <v>MSD</v>
      </c>
      <c r="AD397" t="str">
        <f t="shared" si="72"/>
        <v>MDO/MGO</v>
      </c>
      <c r="AE397" t="str">
        <f t="shared" si="73"/>
        <v>ST</v>
      </c>
      <c r="AG397">
        <f>Alukset_Käynnit!O404</f>
        <v>0</v>
      </c>
      <c r="AH397" s="207">
        <f>IF(AA397="SSD",((U397*Alukset_fx!$B$24)*Alukset_Käynnit_Lask!W397*(Alukset_fx!$K$49)/1000),IF(AA397="MSD",((U397*Alukset_fx!$B$24)*Alukset_Käynnit_Lask!W397*(Alukset_fx!$K$52)/1000),IF(AA397="HSD",((U397*Alukset_fx!$B$24)*Alukset_Käynnit_Lask!W397*(Alukset_fx!$K$55)/1000),0)))</f>
        <v>0</v>
      </c>
      <c r="AI397" s="207">
        <f>IF(AC397="MSD",((V397*Alukset_fx!$B$25)*Alukset_Käynnit_Lask!W397*(Alukset_fx!$L$52)/1000),IF(AC397="HSD",((V397*Alukset_fx!$B$25)*Alukset_Käynnit_Lask!W397*(Alukset_fx!$L$55)/1000),0))</f>
        <v>0</v>
      </c>
      <c r="AJ397" s="207">
        <f>X397*W397*Alukset_fx!$K$61/1000</f>
        <v>0</v>
      </c>
      <c r="AK397">
        <v>0</v>
      </c>
      <c r="AL397" s="207">
        <f>IF(AG397="Käytetty",0,IF(AC397="MSD",((V397*Alukset_fx!$O$25)*Alukset_Käynnit_Lask!O397*(Alukset_fx!$L$52)/1000),IF(AC397="HSD",((V397*Alukset_fx!$O$25)*Alukset_Käynnit_Lask!O397*(Alukset_fx!$L$55)/1000),0)))</f>
        <v>0</v>
      </c>
      <c r="AM397" s="207">
        <f>IF(AG397="Käytetty",0,Y397*O397*Alukset_fx!$K$61/1000)</f>
        <v>0</v>
      </c>
      <c r="AN397" s="213">
        <f t="shared" si="74"/>
        <v>0</v>
      </c>
    </row>
    <row r="398" spans="1:40" x14ac:dyDescent="0.25">
      <c r="A398" s="203">
        <f>Alukset_Käynnit!A405</f>
        <v>0</v>
      </c>
      <c r="B398" s="203">
        <f>Alukset_Käynnit!B405</f>
        <v>0</v>
      </c>
      <c r="C398" s="262">
        <f>Alukset_Käynnit!C405</f>
        <v>0</v>
      </c>
      <c r="D398" s="266">
        <f>Alukset_Käynnit!D405</f>
        <v>0</v>
      </c>
      <c r="E398" s="262">
        <f>Alukset_Käynnit!E405</f>
        <v>0</v>
      </c>
      <c r="F398" s="262">
        <f>Alukset_Käynnit!F405</f>
        <v>0</v>
      </c>
      <c r="G398" s="262">
        <f>Alukset_Käynnit!G405</f>
        <v>0</v>
      </c>
      <c r="H398" s="262">
        <f>Alukset_Käynnit!H405</f>
        <v>0</v>
      </c>
      <c r="I398" s="262">
        <f>Alukset_Käynnit!I405</f>
        <v>0</v>
      </c>
      <c r="J398" s="262">
        <f>Alukset_Käynnit!J405</f>
        <v>0</v>
      </c>
      <c r="K398" s="262">
        <f>Alukset_Käynnit!K405</f>
        <v>0</v>
      </c>
      <c r="L398" s="205">
        <f>Alukset_Käynnit!L405</f>
        <v>0</v>
      </c>
      <c r="N398" s="273">
        <f t="shared" si="75"/>
        <v>0</v>
      </c>
      <c r="O398" s="274">
        <f t="shared" si="76"/>
        <v>0</v>
      </c>
      <c r="Q398" s="204">
        <f t="shared" ref="Q398:Q461" si="77">IF(H398="Muu kuivalasti","Other dry cargo",IF(H398="Muu kuivalastialus","Other dry cargo",IF(H398="Hinaaja","Tugboat",IF(H398="Proomu","Barge",IF(H398="Pusku-Proomu","Barge",IF(H398="Säiliöalus","Tanker",IF(H398="Ro-Ro-Matkustaja-Alus","RoPax",IF(H398="Irtolastialus","Bulk carrier",IF(H398="Kaasusäiliöalus","Gas tanker",IF(H398="Kemikaalisäiliöalus","Chemical tanker",IF(H398="Muu Alus","Other Vessel",IF(H398="Ro-Ro-Lastialus","RoRo",IF(H398="Öljysäiliöalus","Oil tanker",IF(H398="Ajoneuvojenkuljetusalus","Vehicle carrier",IF(H398="Kuiva Bulk","Dry bulk",IF(H398="Konttialus","Container ship",H398))))))))))))))))</f>
        <v>0</v>
      </c>
      <c r="R398" s="202">
        <f>IF(Q398="Other dry cargo",L398*Alukset_fx!$B$71,IF(OR(Q398="Dry bulk",Q398="Bulk carrier"),L398*Alukset_fx!$B$69,IF(Q398="Tugboat",L398*Alukset_fx!$B$76,IF(OR(Q398="Tanker",Q398="Gas tanker",Q398="Chemical tanker",Q398="Oil tanker"),L398*Alukset_fx!$B$68,IF(OR(Q398="RoRo",Q398="Vehicle carrier"),L398*Alukset_fx!$B$72,IF(Q398="RoPax",L398*Alukset_fx!$B$73,IF(Q398="Container ship",L398*Alukset_fx!$B$70,IF(Q398="Barge",0,L398*Alukset_fx!$B$75))))))))</f>
        <v>0</v>
      </c>
      <c r="S398" s="210">
        <f>IF(L398=0,IF(Q398="Other dry cargo",Alukset_fx!$H$73*(Alukset_Käynnit_Lask!K398^Alukset_fx!$I$73),IF(OR(Q398="Dry Bulk",Q398="Bulk carrier"),Alukset_fx!$H$71*(Alukset_Käynnit_Lask!K398^Alukset_fx!$I$71),IF(Q398="Tugboat",Alukset_fx!$H$78*(Alukset_Käynnit_Lask!K398^Alukset_fx!$I$78),IF(OR(Q398="Tanker",Q398="Gas tanker",Q398="Chemical tanker",Q398="Oil tanker"),Alukset_fx!$H$70*(Alukset_Käynnit_Lask!K398^Alukset_fx!$I$70),IF(Q398="Container ship",Alukset_fx!$H$72*(Alukset_Käynnit_Lask!K398^Alukset_fx!$I$72),IF(Q398="Barge",0,IF(Q398="RoPax",Alukset_fx!$H$75*(Alukset_Käynnit_Lask!K398^Alukset_fx!$I$75),IF(OR(Q398="RoRo",Q398="Vehicle carrier"),Alukset_fx!$H$74*(Alukset_Käynnit_Lask!K398^Alukset_fx!$I$74),Alukset_fx!$H$77*(Alukset_Käynnit_Lask!K398^Alukset_fx!$I$77))))))))),"-")</f>
        <v>0</v>
      </c>
      <c r="T398" s="208">
        <f>IF(R398=0,IF(Q398="Other dry cargo",S398*Alukset_fx!$B$71,IF(OR(Q398="Dry bulk",Q398="Bulk carrier"),S398*Alukset_fx!$B$69,IF(Q398="Tugboat",S398*Alukset_fx!$B$76,IF(OR(Q398="Tanker",Q398="Gas tanker",Q398="Chemical tanker",Q398="Oil tanker"),S398*Alukset_fx!$B$68,IF(OR(Q398="RoRo",Q398="Vehicle carrier"),S398*Alukset_fx!$B$72,IF(Q398="RoPax",S398*Alukset_fx!$B$73,IF(Q398="Container ship",S398*Alukset_fx!$B$70,S398*Alukset_fx!$B$75))))))),"-")</f>
        <v>0</v>
      </c>
      <c r="U398" s="208">
        <f t="shared" ref="U398:U461" si="78">IF(L398=0,S398,L398)</f>
        <v>0</v>
      </c>
      <c r="V398" s="208">
        <f t="shared" ref="V398:V461" si="79">IF(R398=0,T398,R398)</f>
        <v>0</v>
      </c>
      <c r="W398" s="202">
        <f>Alukset_Käynnit!N405</f>
        <v>0</v>
      </c>
      <c r="X398" s="211">
        <f>IF(Q398="Other dry cargo", Alukset_fx!$C$52, IF(OR(Q398="Dry bulk",Q398="Bulk carrier"),Alukset_fx!$C$35,IF(OR(Q398="Tanker",Q398="Gas tanker",Q398="Oil tanker"),Alukset_fx!$C$57,IF(Q398="Chemical tanker",Alukset_fx!$C$56,IF(OR(Q398="Tugboat",Q398="Barge"),0,IF(Q398="Other vessel",Alukset_fx!$C$54,IF(Q398="Container ship",Alukset_fx!$C$37,IF(OR(Q398="RoPax",Q398="RoRo",Q398="Vehicle carrier"),Alukset_fx!$C$55,0))))))))</f>
        <v>0</v>
      </c>
      <c r="Y398" s="211">
        <f>IF(Q398="Other dry cargo", Alukset_fx!$Q$52, IF(OR(Q398="Dry bulk",Q398="Bulk carrier"),Alukset_fx!$Q$35,IF(OR(Q398="Tanker",Q398="Gas tanker",Q398="Oil tanker"),Alukset_fx!$Q$57,IF(Q398="Chemical tanker",Alukset_fx!$Q$56,IF(OR(Q398="Tugboat",Q398="Barge"),0,IF(Q398="Other vessel",Alukset_fx!$Q$54,IF(Q398="Container ship",Alukset_fx!$Q$37,IF(OR(Q398="RoPax",Q398="RoRo",Q398="Vehicle carrier"),Alukset_fx!$Q$55,0))))))))</f>
        <v>0</v>
      </c>
      <c r="Z398" t="str">
        <f t="shared" ref="Z398:Z461" si="80">IF(Q398="Barge","-","MDO/MGO")</f>
        <v>MDO/MGO</v>
      </c>
      <c r="AA398" t="str">
        <f t="shared" ref="AA398:AA461" si="81">IF(Q398="Container ship","SSD",IF(Q398="Tugboat","HSD",IF(Q398="Barge","-","MSD")))</f>
        <v>MSD</v>
      </c>
      <c r="AB398" t="str">
        <f t="shared" ref="AB398:AB461" si="82">IF(Q398="Barge","-","MDO/MGO")</f>
        <v>MDO/MGO</v>
      </c>
      <c r="AC398" t="str">
        <f t="shared" ref="AC398:AC461" si="83">IF(Q398="Barge","-","MSD")</f>
        <v>MSD</v>
      </c>
      <c r="AD398" t="str">
        <f t="shared" ref="AD398:AD461" si="84">IF(OR(Q398="Tugboat",Q398="Barge"),"-","MDO/MGO")</f>
        <v>MDO/MGO</v>
      </c>
      <c r="AE398" t="str">
        <f t="shared" ref="AE398:AE461" si="85">IF(OR(Q398="Barge",Q398="Tugboat"),"-","ST")</f>
        <v>ST</v>
      </c>
      <c r="AG398">
        <f>Alukset_Käynnit!O405</f>
        <v>0</v>
      </c>
      <c r="AH398" s="207">
        <f>IF(AA398="SSD",((U398*Alukset_fx!$B$24)*Alukset_Käynnit_Lask!W398*(Alukset_fx!$K$49)/1000),IF(AA398="MSD",((U398*Alukset_fx!$B$24)*Alukset_Käynnit_Lask!W398*(Alukset_fx!$K$52)/1000),IF(AA398="HSD",((U398*Alukset_fx!$B$24)*Alukset_Käynnit_Lask!W398*(Alukset_fx!$K$55)/1000),0)))</f>
        <v>0</v>
      </c>
      <c r="AI398" s="207">
        <f>IF(AC398="MSD",((V398*Alukset_fx!$B$25)*Alukset_Käynnit_Lask!W398*(Alukset_fx!$L$52)/1000),IF(AC398="HSD",((V398*Alukset_fx!$B$25)*Alukset_Käynnit_Lask!W398*(Alukset_fx!$L$55)/1000),0))</f>
        <v>0</v>
      </c>
      <c r="AJ398" s="207">
        <f>X398*W398*Alukset_fx!$K$61/1000</f>
        <v>0</v>
      </c>
      <c r="AK398">
        <v>0</v>
      </c>
      <c r="AL398" s="207">
        <f>IF(AG398="Käytetty",0,IF(AC398="MSD",((V398*Alukset_fx!$O$25)*Alukset_Käynnit_Lask!O398*(Alukset_fx!$L$52)/1000),IF(AC398="HSD",((V398*Alukset_fx!$O$25)*Alukset_Käynnit_Lask!O398*(Alukset_fx!$L$55)/1000),0)))</f>
        <v>0</v>
      </c>
      <c r="AM398" s="207">
        <f>IF(AG398="Käytetty",0,Y398*O398*Alukset_fx!$K$61/1000)</f>
        <v>0</v>
      </c>
      <c r="AN398" s="213">
        <f t="shared" ref="AN398:AN461" si="86">SUM(AH398:AM398)/1000</f>
        <v>0</v>
      </c>
    </row>
    <row r="399" spans="1:40" x14ac:dyDescent="0.25">
      <c r="A399" s="203">
        <f>Alukset_Käynnit!A406</f>
        <v>0</v>
      </c>
      <c r="B399" s="203">
        <f>Alukset_Käynnit!B406</f>
        <v>0</v>
      </c>
      <c r="C399" s="262">
        <f>Alukset_Käynnit!C406</f>
        <v>0</v>
      </c>
      <c r="D399" s="266">
        <f>Alukset_Käynnit!D406</f>
        <v>0</v>
      </c>
      <c r="E399" s="262">
        <f>Alukset_Käynnit!E406</f>
        <v>0</v>
      </c>
      <c r="F399" s="262">
        <f>Alukset_Käynnit!F406</f>
        <v>0</v>
      </c>
      <c r="G399" s="262">
        <f>Alukset_Käynnit!G406</f>
        <v>0</v>
      </c>
      <c r="H399" s="262">
        <f>Alukset_Käynnit!H406</f>
        <v>0</v>
      </c>
      <c r="I399" s="262">
        <f>Alukset_Käynnit!I406</f>
        <v>0</v>
      </c>
      <c r="J399" s="262">
        <f>Alukset_Käynnit!J406</f>
        <v>0</v>
      </c>
      <c r="K399" s="262">
        <f>Alukset_Käynnit!K406</f>
        <v>0</v>
      </c>
      <c r="L399" s="205">
        <f>Alukset_Käynnit!L406</f>
        <v>0</v>
      </c>
      <c r="N399" s="273">
        <f t="shared" si="75"/>
        <v>0</v>
      </c>
      <c r="O399" s="274">
        <f t="shared" si="76"/>
        <v>0</v>
      </c>
      <c r="Q399" s="204">
        <f t="shared" si="77"/>
        <v>0</v>
      </c>
      <c r="R399" s="202">
        <f>IF(Q399="Other dry cargo",L399*Alukset_fx!$B$71,IF(OR(Q399="Dry bulk",Q399="Bulk carrier"),L399*Alukset_fx!$B$69,IF(Q399="Tugboat",L399*Alukset_fx!$B$76,IF(OR(Q399="Tanker",Q399="Gas tanker",Q399="Chemical tanker",Q399="Oil tanker"),L399*Alukset_fx!$B$68,IF(OR(Q399="RoRo",Q399="Vehicle carrier"),L399*Alukset_fx!$B$72,IF(Q399="RoPax",L399*Alukset_fx!$B$73,IF(Q399="Container ship",L399*Alukset_fx!$B$70,IF(Q399="Barge",0,L399*Alukset_fx!$B$75))))))))</f>
        <v>0</v>
      </c>
      <c r="S399" s="210">
        <f>IF(L399=0,IF(Q399="Other dry cargo",Alukset_fx!$H$73*(Alukset_Käynnit_Lask!K399^Alukset_fx!$I$73),IF(OR(Q399="Dry Bulk",Q399="Bulk carrier"),Alukset_fx!$H$71*(Alukset_Käynnit_Lask!K399^Alukset_fx!$I$71),IF(Q399="Tugboat",Alukset_fx!$H$78*(Alukset_Käynnit_Lask!K399^Alukset_fx!$I$78),IF(OR(Q399="Tanker",Q399="Gas tanker",Q399="Chemical tanker",Q399="Oil tanker"),Alukset_fx!$H$70*(Alukset_Käynnit_Lask!K399^Alukset_fx!$I$70),IF(Q399="Container ship",Alukset_fx!$H$72*(Alukset_Käynnit_Lask!K399^Alukset_fx!$I$72),IF(Q399="Barge",0,IF(Q399="RoPax",Alukset_fx!$H$75*(Alukset_Käynnit_Lask!K399^Alukset_fx!$I$75),IF(OR(Q399="RoRo",Q399="Vehicle carrier"),Alukset_fx!$H$74*(Alukset_Käynnit_Lask!K399^Alukset_fx!$I$74),Alukset_fx!$H$77*(Alukset_Käynnit_Lask!K399^Alukset_fx!$I$77))))))))),"-")</f>
        <v>0</v>
      </c>
      <c r="T399" s="208">
        <f>IF(R399=0,IF(Q399="Other dry cargo",S399*Alukset_fx!$B$71,IF(OR(Q399="Dry bulk",Q399="Bulk carrier"),S399*Alukset_fx!$B$69,IF(Q399="Tugboat",S399*Alukset_fx!$B$76,IF(OR(Q399="Tanker",Q399="Gas tanker",Q399="Chemical tanker",Q399="Oil tanker"),S399*Alukset_fx!$B$68,IF(OR(Q399="RoRo",Q399="Vehicle carrier"),S399*Alukset_fx!$B$72,IF(Q399="RoPax",S399*Alukset_fx!$B$73,IF(Q399="Container ship",S399*Alukset_fx!$B$70,S399*Alukset_fx!$B$75))))))),"-")</f>
        <v>0</v>
      </c>
      <c r="U399" s="208">
        <f t="shared" si="78"/>
        <v>0</v>
      </c>
      <c r="V399" s="208">
        <f t="shared" si="79"/>
        <v>0</v>
      </c>
      <c r="W399" s="202">
        <f>Alukset_Käynnit!N406</f>
        <v>0</v>
      </c>
      <c r="X399" s="211">
        <f>IF(Q399="Other dry cargo", Alukset_fx!$C$52, IF(OR(Q399="Dry bulk",Q399="Bulk carrier"),Alukset_fx!$C$35,IF(OR(Q399="Tanker",Q399="Gas tanker",Q399="Oil tanker"),Alukset_fx!$C$57,IF(Q399="Chemical tanker",Alukset_fx!$C$56,IF(OR(Q399="Tugboat",Q399="Barge"),0,IF(Q399="Other vessel",Alukset_fx!$C$54,IF(Q399="Container ship",Alukset_fx!$C$37,IF(OR(Q399="RoPax",Q399="RoRo",Q399="Vehicle carrier"),Alukset_fx!$C$55,0))))))))</f>
        <v>0</v>
      </c>
      <c r="Y399" s="211">
        <f>IF(Q399="Other dry cargo", Alukset_fx!$Q$52, IF(OR(Q399="Dry bulk",Q399="Bulk carrier"),Alukset_fx!$Q$35,IF(OR(Q399="Tanker",Q399="Gas tanker",Q399="Oil tanker"),Alukset_fx!$Q$57,IF(Q399="Chemical tanker",Alukset_fx!$Q$56,IF(OR(Q399="Tugboat",Q399="Barge"),0,IF(Q399="Other vessel",Alukset_fx!$Q$54,IF(Q399="Container ship",Alukset_fx!$Q$37,IF(OR(Q399="RoPax",Q399="RoRo",Q399="Vehicle carrier"),Alukset_fx!$Q$55,0))))))))</f>
        <v>0</v>
      </c>
      <c r="Z399" t="str">
        <f t="shared" si="80"/>
        <v>MDO/MGO</v>
      </c>
      <c r="AA399" t="str">
        <f t="shared" si="81"/>
        <v>MSD</v>
      </c>
      <c r="AB399" t="str">
        <f t="shared" si="82"/>
        <v>MDO/MGO</v>
      </c>
      <c r="AC399" t="str">
        <f t="shared" si="83"/>
        <v>MSD</v>
      </c>
      <c r="AD399" t="str">
        <f t="shared" si="84"/>
        <v>MDO/MGO</v>
      </c>
      <c r="AE399" t="str">
        <f t="shared" si="85"/>
        <v>ST</v>
      </c>
      <c r="AG399">
        <f>Alukset_Käynnit!O406</f>
        <v>0</v>
      </c>
      <c r="AH399" s="207">
        <f>IF(AA399="SSD",((U399*Alukset_fx!$B$24)*Alukset_Käynnit_Lask!W399*(Alukset_fx!$K$49)/1000),IF(AA399="MSD",((U399*Alukset_fx!$B$24)*Alukset_Käynnit_Lask!W399*(Alukset_fx!$K$52)/1000),IF(AA399="HSD",((U399*Alukset_fx!$B$24)*Alukset_Käynnit_Lask!W399*(Alukset_fx!$K$55)/1000),0)))</f>
        <v>0</v>
      </c>
      <c r="AI399" s="207">
        <f>IF(AC399="MSD",((V399*Alukset_fx!$B$25)*Alukset_Käynnit_Lask!W399*(Alukset_fx!$L$52)/1000),IF(AC399="HSD",((V399*Alukset_fx!$B$25)*Alukset_Käynnit_Lask!W399*(Alukset_fx!$L$55)/1000),0))</f>
        <v>0</v>
      </c>
      <c r="AJ399" s="207">
        <f>X399*W399*Alukset_fx!$K$61/1000</f>
        <v>0</v>
      </c>
      <c r="AK399">
        <v>0</v>
      </c>
      <c r="AL399" s="207">
        <f>IF(AG399="Käytetty",0,IF(AC399="MSD",((V399*Alukset_fx!$O$25)*Alukset_Käynnit_Lask!O399*(Alukset_fx!$L$52)/1000),IF(AC399="HSD",((V399*Alukset_fx!$O$25)*Alukset_Käynnit_Lask!O399*(Alukset_fx!$L$55)/1000),0)))</f>
        <v>0</v>
      </c>
      <c r="AM399" s="207">
        <f>IF(AG399="Käytetty",0,Y399*O399*Alukset_fx!$K$61/1000)</f>
        <v>0</v>
      </c>
      <c r="AN399" s="213">
        <f t="shared" si="86"/>
        <v>0</v>
      </c>
    </row>
    <row r="400" spans="1:40" x14ac:dyDescent="0.25">
      <c r="A400" s="203">
        <f>Alukset_Käynnit!A407</f>
        <v>0</v>
      </c>
      <c r="B400" s="203">
        <f>Alukset_Käynnit!B407</f>
        <v>0</v>
      </c>
      <c r="C400" s="262">
        <f>Alukset_Käynnit!C407</f>
        <v>0</v>
      </c>
      <c r="D400" s="266">
        <f>Alukset_Käynnit!D407</f>
        <v>0</v>
      </c>
      <c r="E400" s="262">
        <f>Alukset_Käynnit!E407</f>
        <v>0</v>
      </c>
      <c r="F400" s="262">
        <f>Alukset_Käynnit!F407</f>
        <v>0</v>
      </c>
      <c r="G400" s="262">
        <f>Alukset_Käynnit!G407</f>
        <v>0</v>
      </c>
      <c r="H400" s="262">
        <f>Alukset_Käynnit!H407</f>
        <v>0</v>
      </c>
      <c r="I400" s="262">
        <f>Alukset_Käynnit!I407</f>
        <v>0</v>
      </c>
      <c r="J400" s="262">
        <f>Alukset_Käynnit!J407</f>
        <v>0</v>
      </c>
      <c r="K400" s="262">
        <f>Alukset_Käynnit!K407</f>
        <v>0</v>
      </c>
      <c r="L400" s="205">
        <f>Alukset_Käynnit!L407</f>
        <v>0</v>
      </c>
      <c r="N400" s="273">
        <f t="shared" si="75"/>
        <v>0</v>
      </c>
      <c r="O400" s="274">
        <f t="shared" si="76"/>
        <v>0</v>
      </c>
      <c r="Q400" s="204">
        <f t="shared" si="77"/>
        <v>0</v>
      </c>
      <c r="R400" s="202">
        <f>IF(Q400="Other dry cargo",L400*Alukset_fx!$B$71,IF(OR(Q400="Dry bulk",Q400="Bulk carrier"),L400*Alukset_fx!$B$69,IF(Q400="Tugboat",L400*Alukset_fx!$B$76,IF(OR(Q400="Tanker",Q400="Gas tanker",Q400="Chemical tanker",Q400="Oil tanker"),L400*Alukset_fx!$B$68,IF(OR(Q400="RoRo",Q400="Vehicle carrier"),L400*Alukset_fx!$B$72,IF(Q400="RoPax",L400*Alukset_fx!$B$73,IF(Q400="Container ship",L400*Alukset_fx!$B$70,IF(Q400="Barge",0,L400*Alukset_fx!$B$75))))))))</f>
        <v>0</v>
      </c>
      <c r="S400" s="210">
        <f>IF(L400=0,IF(Q400="Other dry cargo",Alukset_fx!$H$73*(Alukset_Käynnit_Lask!K400^Alukset_fx!$I$73),IF(OR(Q400="Dry Bulk",Q400="Bulk carrier"),Alukset_fx!$H$71*(Alukset_Käynnit_Lask!K400^Alukset_fx!$I$71),IF(Q400="Tugboat",Alukset_fx!$H$78*(Alukset_Käynnit_Lask!K400^Alukset_fx!$I$78),IF(OR(Q400="Tanker",Q400="Gas tanker",Q400="Chemical tanker",Q400="Oil tanker"),Alukset_fx!$H$70*(Alukset_Käynnit_Lask!K400^Alukset_fx!$I$70),IF(Q400="Container ship",Alukset_fx!$H$72*(Alukset_Käynnit_Lask!K400^Alukset_fx!$I$72),IF(Q400="Barge",0,IF(Q400="RoPax",Alukset_fx!$H$75*(Alukset_Käynnit_Lask!K400^Alukset_fx!$I$75),IF(OR(Q400="RoRo",Q400="Vehicle carrier"),Alukset_fx!$H$74*(Alukset_Käynnit_Lask!K400^Alukset_fx!$I$74),Alukset_fx!$H$77*(Alukset_Käynnit_Lask!K400^Alukset_fx!$I$77))))))))),"-")</f>
        <v>0</v>
      </c>
      <c r="T400" s="208">
        <f>IF(R400=0,IF(Q400="Other dry cargo",S400*Alukset_fx!$B$71,IF(OR(Q400="Dry bulk",Q400="Bulk carrier"),S400*Alukset_fx!$B$69,IF(Q400="Tugboat",S400*Alukset_fx!$B$76,IF(OR(Q400="Tanker",Q400="Gas tanker",Q400="Chemical tanker",Q400="Oil tanker"),S400*Alukset_fx!$B$68,IF(OR(Q400="RoRo",Q400="Vehicle carrier"),S400*Alukset_fx!$B$72,IF(Q400="RoPax",S400*Alukset_fx!$B$73,IF(Q400="Container ship",S400*Alukset_fx!$B$70,S400*Alukset_fx!$B$75))))))),"-")</f>
        <v>0</v>
      </c>
      <c r="U400" s="208">
        <f t="shared" si="78"/>
        <v>0</v>
      </c>
      <c r="V400" s="208">
        <f t="shared" si="79"/>
        <v>0</v>
      </c>
      <c r="W400" s="202">
        <f>Alukset_Käynnit!N407</f>
        <v>0</v>
      </c>
      <c r="X400" s="211">
        <f>IF(Q400="Other dry cargo", Alukset_fx!$C$52, IF(OR(Q400="Dry bulk",Q400="Bulk carrier"),Alukset_fx!$C$35,IF(OR(Q400="Tanker",Q400="Gas tanker",Q400="Oil tanker"),Alukset_fx!$C$57,IF(Q400="Chemical tanker",Alukset_fx!$C$56,IF(OR(Q400="Tugboat",Q400="Barge"),0,IF(Q400="Other vessel",Alukset_fx!$C$54,IF(Q400="Container ship",Alukset_fx!$C$37,IF(OR(Q400="RoPax",Q400="RoRo",Q400="Vehicle carrier"),Alukset_fx!$C$55,0))))))))</f>
        <v>0</v>
      </c>
      <c r="Y400" s="211">
        <f>IF(Q400="Other dry cargo", Alukset_fx!$Q$52, IF(OR(Q400="Dry bulk",Q400="Bulk carrier"),Alukset_fx!$Q$35,IF(OR(Q400="Tanker",Q400="Gas tanker",Q400="Oil tanker"),Alukset_fx!$Q$57,IF(Q400="Chemical tanker",Alukset_fx!$Q$56,IF(OR(Q400="Tugboat",Q400="Barge"),0,IF(Q400="Other vessel",Alukset_fx!$Q$54,IF(Q400="Container ship",Alukset_fx!$Q$37,IF(OR(Q400="RoPax",Q400="RoRo",Q400="Vehicle carrier"),Alukset_fx!$Q$55,0))))))))</f>
        <v>0</v>
      </c>
      <c r="Z400" t="str">
        <f t="shared" si="80"/>
        <v>MDO/MGO</v>
      </c>
      <c r="AA400" t="str">
        <f t="shared" si="81"/>
        <v>MSD</v>
      </c>
      <c r="AB400" t="str">
        <f t="shared" si="82"/>
        <v>MDO/MGO</v>
      </c>
      <c r="AC400" t="str">
        <f t="shared" si="83"/>
        <v>MSD</v>
      </c>
      <c r="AD400" t="str">
        <f t="shared" si="84"/>
        <v>MDO/MGO</v>
      </c>
      <c r="AE400" t="str">
        <f t="shared" si="85"/>
        <v>ST</v>
      </c>
      <c r="AG400">
        <f>Alukset_Käynnit!O407</f>
        <v>0</v>
      </c>
      <c r="AH400" s="207">
        <f>IF(AA400="SSD",((U400*Alukset_fx!$B$24)*Alukset_Käynnit_Lask!W400*(Alukset_fx!$K$49)/1000),IF(AA400="MSD",((U400*Alukset_fx!$B$24)*Alukset_Käynnit_Lask!W400*(Alukset_fx!$K$52)/1000),IF(AA400="HSD",((U400*Alukset_fx!$B$24)*Alukset_Käynnit_Lask!W400*(Alukset_fx!$K$55)/1000),0)))</f>
        <v>0</v>
      </c>
      <c r="AI400" s="207">
        <f>IF(AC400="MSD",((V400*Alukset_fx!$B$25)*Alukset_Käynnit_Lask!W400*(Alukset_fx!$L$52)/1000),IF(AC400="HSD",((V400*Alukset_fx!$B$25)*Alukset_Käynnit_Lask!W400*(Alukset_fx!$L$55)/1000),0))</f>
        <v>0</v>
      </c>
      <c r="AJ400" s="207">
        <f>X400*W400*Alukset_fx!$K$61/1000</f>
        <v>0</v>
      </c>
      <c r="AK400">
        <v>0</v>
      </c>
      <c r="AL400" s="207">
        <f>IF(AG400="Käytetty",0,IF(AC400="MSD",((V400*Alukset_fx!$O$25)*Alukset_Käynnit_Lask!O400*(Alukset_fx!$L$52)/1000),IF(AC400="HSD",((V400*Alukset_fx!$O$25)*Alukset_Käynnit_Lask!O400*(Alukset_fx!$L$55)/1000),0)))</f>
        <v>0</v>
      </c>
      <c r="AM400" s="207">
        <f>IF(AG400="Käytetty",0,Y400*O400*Alukset_fx!$K$61/1000)</f>
        <v>0</v>
      </c>
      <c r="AN400" s="213">
        <f t="shared" si="86"/>
        <v>0</v>
      </c>
    </row>
    <row r="401" spans="1:40" x14ac:dyDescent="0.25">
      <c r="A401" s="203">
        <f>Alukset_Käynnit!A408</f>
        <v>0</v>
      </c>
      <c r="B401" s="203">
        <f>Alukset_Käynnit!B408</f>
        <v>0</v>
      </c>
      <c r="C401" s="262">
        <f>Alukset_Käynnit!C408</f>
        <v>0</v>
      </c>
      <c r="D401" s="266">
        <f>Alukset_Käynnit!D408</f>
        <v>0</v>
      </c>
      <c r="E401" s="262">
        <f>Alukset_Käynnit!E408</f>
        <v>0</v>
      </c>
      <c r="F401" s="262">
        <f>Alukset_Käynnit!F408</f>
        <v>0</v>
      </c>
      <c r="G401" s="262">
        <f>Alukset_Käynnit!G408</f>
        <v>0</v>
      </c>
      <c r="H401" s="262">
        <f>Alukset_Käynnit!H408</f>
        <v>0</v>
      </c>
      <c r="I401" s="262">
        <f>Alukset_Käynnit!I408</f>
        <v>0</v>
      </c>
      <c r="J401" s="262">
        <f>Alukset_Käynnit!J408</f>
        <v>0</v>
      </c>
      <c r="K401" s="262">
        <f>Alukset_Käynnit!K408</f>
        <v>0</v>
      </c>
      <c r="L401" s="205">
        <f>Alukset_Käynnit!L408</f>
        <v>0</v>
      </c>
      <c r="N401" s="273">
        <f t="shared" si="75"/>
        <v>0</v>
      </c>
      <c r="O401" s="274">
        <f t="shared" si="76"/>
        <v>0</v>
      </c>
      <c r="Q401" s="204">
        <f t="shared" si="77"/>
        <v>0</v>
      </c>
      <c r="R401" s="202">
        <f>IF(Q401="Other dry cargo",L401*Alukset_fx!$B$71,IF(OR(Q401="Dry bulk",Q401="Bulk carrier"),L401*Alukset_fx!$B$69,IF(Q401="Tugboat",L401*Alukset_fx!$B$76,IF(OR(Q401="Tanker",Q401="Gas tanker",Q401="Chemical tanker",Q401="Oil tanker"),L401*Alukset_fx!$B$68,IF(OR(Q401="RoRo",Q401="Vehicle carrier"),L401*Alukset_fx!$B$72,IF(Q401="RoPax",L401*Alukset_fx!$B$73,IF(Q401="Container ship",L401*Alukset_fx!$B$70,IF(Q401="Barge",0,L401*Alukset_fx!$B$75))))))))</f>
        <v>0</v>
      </c>
      <c r="S401" s="210">
        <f>IF(L401=0,IF(Q401="Other dry cargo",Alukset_fx!$H$73*(Alukset_Käynnit_Lask!K401^Alukset_fx!$I$73),IF(OR(Q401="Dry Bulk",Q401="Bulk carrier"),Alukset_fx!$H$71*(Alukset_Käynnit_Lask!K401^Alukset_fx!$I$71),IF(Q401="Tugboat",Alukset_fx!$H$78*(Alukset_Käynnit_Lask!K401^Alukset_fx!$I$78),IF(OR(Q401="Tanker",Q401="Gas tanker",Q401="Chemical tanker",Q401="Oil tanker"),Alukset_fx!$H$70*(Alukset_Käynnit_Lask!K401^Alukset_fx!$I$70),IF(Q401="Container ship",Alukset_fx!$H$72*(Alukset_Käynnit_Lask!K401^Alukset_fx!$I$72),IF(Q401="Barge",0,IF(Q401="RoPax",Alukset_fx!$H$75*(Alukset_Käynnit_Lask!K401^Alukset_fx!$I$75),IF(OR(Q401="RoRo",Q401="Vehicle carrier"),Alukset_fx!$H$74*(Alukset_Käynnit_Lask!K401^Alukset_fx!$I$74),Alukset_fx!$H$77*(Alukset_Käynnit_Lask!K401^Alukset_fx!$I$77))))))))),"-")</f>
        <v>0</v>
      </c>
      <c r="T401" s="208">
        <f>IF(R401=0,IF(Q401="Other dry cargo",S401*Alukset_fx!$B$71,IF(OR(Q401="Dry bulk",Q401="Bulk carrier"),S401*Alukset_fx!$B$69,IF(Q401="Tugboat",S401*Alukset_fx!$B$76,IF(OR(Q401="Tanker",Q401="Gas tanker",Q401="Chemical tanker",Q401="Oil tanker"),S401*Alukset_fx!$B$68,IF(OR(Q401="RoRo",Q401="Vehicle carrier"),S401*Alukset_fx!$B$72,IF(Q401="RoPax",S401*Alukset_fx!$B$73,IF(Q401="Container ship",S401*Alukset_fx!$B$70,S401*Alukset_fx!$B$75))))))),"-")</f>
        <v>0</v>
      </c>
      <c r="U401" s="208">
        <f t="shared" si="78"/>
        <v>0</v>
      </c>
      <c r="V401" s="208">
        <f t="shared" si="79"/>
        <v>0</v>
      </c>
      <c r="W401" s="202">
        <f>Alukset_Käynnit!N408</f>
        <v>0</v>
      </c>
      <c r="X401" s="211">
        <f>IF(Q401="Other dry cargo", Alukset_fx!$C$52, IF(OR(Q401="Dry bulk",Q401="Bulk carrier"),Alukset_fx!$C$35,IF(OR(Q401="Tanker",Q401="Gas tanker",Q401="Oil tanker"),Alukset_fx!$C$57,IF(Q401="Chemical tanker",Alukset_fx!$C$56,IF(OR(Q401="Tugboat",Q401="Barge"),0,IF(Q401="Other vessel",Alukset_fx!$C$54,IF(Q401="Container ship",Alukset_fx!$C$37,IF(OR(Q401="RoPax",Q401="RoRo",Q401="Vehicle carrier"),Alukset_fx!$C$55,0))))))))</f>
        <v>0</v>
      </c>
      <c r="Y401" s="211">
        <f>IF(Q401="Other dry cargo", Alukset_fx!$Q$52, IF(OR(Q401="Dry bulk",Q401="Bulk carrier"),Alukset_fx!$Q$35,IF(OR(Q401="Tanker",Q401="Gas tanker",Q401="Oil tanker"),Alukset_fx!$Q$57,IF(Q401="Chemical tanker",Alukset_fx!$Q$56,IF(OR(Q401="Tugboat",Q401="Barge"),0,IF(Q401="Other vessel",Alukset_fx!$Q$54,IF(Q401="Container ship",Alukset_fx!$Q$37,IF(OR(Q401="RoPax",Q401="RoRo",Q401="Vehicle carrier"),Alukset_fx!$Q$55,0))))))))</f>
        <v>0</v>
      </c>
      <c r="Z401" t="str">
        <f t="shared" si="80"/>
        <v>MDO/MGO</v>
      </c>
      <c r="AA401" t="str">
        <f t="shared" si="81"/>
        <v>MSD</v>
      </c>
      <c r="AB401" t="str">
        <f t="shared" si="82"/>
        <v>MDO/MGO</v>
      </c>
      <c r="AC401" t="str">
        <f t="shared" si="83"/>
        <v>MSD</v>
      </c>
      <c r="AD401" t="str">
        <f t="shared" si="84"/>
        <v>MDO/MGO</v>
      </c>
      <c r="AE401" t="str">
        <f t="shared" si="85"/>
        <v>ST</v>
      </c>
      <c r="AG401">
        <f>Alukset_Käynnit!O408</f>
        <v>0</v>
      </c>
      <c r="AH401" s="207">
        <f>IF(AA401="SSD",((U401*Alukset_fx!$B$24)*Alukset_Käynnit_Lask!W401*(Alukset_fx!$K$49)/1000),IF(AA401="MSD",((U401*Alukset_fx!$B$24)*Alukset_Käynnit_Lask!W401*(Alukset_fx!$K$52)/1000),IF(AA401="HSD",((U401*Alukset_fx!$B$24)*Alukset_Käynnit_Lask!W401*(Alukset_fx!$K$55)/1000),0)))</f>
        <v>0</v>
      </c>
      <c r="AI401" s="207">
        <f>IF(AC401="MSD",((V401*Alukset_fx!$B$25)*Alukset_Käynnit_Lask!W401*(Alukset_fx!$L$52)/1000),IF(AC401="HSD",((V401*Alukset_fx!$B$25)*Alukset_Käynnit_Lask!W401*(Alukset_fx!$L$55)/1000),0))</f>
        <v>0</v>
      </c>
      <c r="AJ401" s="207">
        <f>X401*W401*Alukset_fx!$K$61/1000</f>
        <v>0</v>
      </c>
      <c r="AK401">
        <v>0</v>
      </c>
      <c r="AL401" s="207">
        <f>IF(AG401="Käytetty",0,IF(AC401="MSD",((V401*Alukset_fx!$O$25)*Alukset_Käynnit_Lask!O401*(Alukset_fx!$L$52)/1000),IF(AC401="HSD",((V401*Alukset_fx!$O$25)*Alukset_Käynnit_Lask!O401*(Alukset_fx!$L$55)/1000),0)))</f>
        <v>0</v>
      </c>
      <c r="AM401" s="207">
        <f>IF(AG401="Käytetty",0,Y401*O401*Alukset_fx!$K$61/1000)</f>
        <v>0</v>
      </c>
      <c r="AN401" s="213">
        <f t="shared" si="86"/>
        <v>0</v>
      </c>
    </row>
    <row r="402" spans="1:40" x14ac:dyDescent="0.25">
      <c r="A402" s="203">
        <f>Alukset_Käynnit!A409</f>
        <v>0</v>
      </c>
      <c r="B402" s="203">
        <f>Alukset_Käynnit!B409</f>
        <v>0</v>
      </c>
      <c r="C402" s="262">
        <f>Alukset_Käynnit!C409</f>
        <v>0</v>
      </c>
      <c r="D402" s="266">
        <f>Alukset_Käynnit!D409</f>
        <v>0</v>
      </c>
      <c r="E402" s="262">
        <f>Alukset_Käynnit!E409</f>
        <v>0</v>
      </c>
      <c r="F402" s="262">
        <f>Alukset_Käynnit!F409</f>
        <v>0</v>
      </c>
      <c r="G402" s="262">
        <f>Alukset_Käynnit!G409</f>
        <v>0</v>
      </c>
      <c r="H402" s="262">
        <f>Alukset_Käynnit!H409</f>
        <v>0</v>
      </c>
      <c r="I402" s="262">
        <f>Alukset_Käynnit!I409</f>
        <v>0</v>
      </c>
      <c r="J402" s="262">
        <f>Alukset_Käynnit!J409</f>
        <v>0</v>
      </c>
      <c r="K402" s="262">
        <f>Alukset_Käynnit!K409</f>
        <v>0</v>
      </c>
      <c r="L402" s="205">
        <f>Alukset_Käynnit!L409</f>
        <v>0</v>
      </c>
      <c r="N402" s="273">
        <f t="shared" si="75"/>
        <v>0</v>
      </c>
      <c r="O402" s="274">
        <f t="shared" si="76"/>
        <v>0</v>
      </c>
      <c r="Q402" s="204">
        <f t="shared" si="77"/>
        <v>0</v>
      </c>
      <c r="R402" s="202">
        <f>IF(Q402="Other dry cargo",L402*Alukset_fx!$B$71,IF(OR(Q402="Dry bulk",Q402="Bulk carrier"),L402*Alukset_fx!$B$69,IF(Q402="Tugboat",L402*Alukset_fx!$B$76,IF(OR(Q402="Tanker",Q402="Gas tanker",Q402="Chemical tanker",Q402="Oil tanker"),L402*Alukset_fx!$B$68,IF(OR(Q402="RoRo",Q402="Vehicle carrier"),L402*Alukset_fx!$B$72,IF(Q402="RoPax",L402*Alukset_fx!$B$73,IF(Q402="Container ship",L402*Alukset_fx!$B$70,IF(Q402="Barge",0,L402*Alukset_fx!$B$75))))))))</f>
        <v>0</v>
      </c>
      <c r="S402" s="210">
        <f>IF(L402=0,IF(Q402="Other dry cargo",Alukset_fx!$H$73*(Alukset_Käynnit_Lask!K402^Alukset_fx!$I$73),IF(OR(Q402="Dry Bulk",Q402="Bulk carrier"),Alukset_fx!$H$71*(Alukset_Käynnit_Lask!K402^Alukset_fx!$I$71),IF(Q402="Tugboat",Alukset_fx!$H$78*(Alukset_Käynnit_Lask!K402^Alukset_fx!$I$78),IF(OR(Q402="Tanker",Q402="Gas tanker",Q402="Chemical tanker",Q402="Oil tanker"),Alukset_fx!$H$70*(Alukset_Käynnit_Lask!K402^Alukset_fx!$I$70),IF(Q402="Container ship",Alukset_fx!$H$72*(Alukset_Käynnit_Lask!K402^Alukset_fx!$I$72),IF(Q402="Barge",0,IF(Q402="RoPax",Alukset_fx!$H$75*(Alukset_Käynnit_Lask!K402^Alukset_fx!$I$75),IF(OR(Q402="RoRo",Q402="Vehicle carrier"),Alukset_fx!$H$74*(Alukset_Käynnit_Lask!K402^Alukset_fx!$I$74),Alukset_fx!$H$77*(Alukset_Käynnit_Lask!K402^Alukset_fx!$I$77))))))))),"-")</f>
        <v>0</v>
      </c>
      <c r="T402" s="208">
        <f>IF(R402=0,IF(Q402="Other dry cargo",S402*Alukset_fx!$B$71,IF(OR(Q402="Dry bulk",Q402="Bulk carrier"),S402*Alukset_fx!$B$69,IF(Q402="Tugboat",S402*Alukset_fx!$B$76,IF(OR(Q402="Tanker",Q402="Gas tanker",Q402="Chemical tanker",Q402="Oil tanker"),S402*Alukset_fx!$B$68,IF(OR(Q402="RoRo",Q402="Vehicle carrier"),S402*Alukset_fx!$B$72,IF(Q402="RoPax",S402*Alukset_fx!$B$73,IF(Q402="Container ship",S402*Alukset_fx!$B$70,S402*Alukset_fx!$B$75))))))),"-")</f>
        <v>0</v>
      </c>
      <c r="U402" s="208">
        <f t="shared" si="78"/>
        <v>0</v>
      </c>
      <c r="V402" s="208">
        <f t="shared" si="79"/>
        <v>0</v>
      </c>
      <c r="W402" s="202">
        <f>Alukset_Käynnit!N409</f>
        <v>0</v>
      </c>
      <c r="X402" s="211">
        <f>IF(Q402="Other dry cargo", Alukset_fx!$C$52, IF(OR(Q402="Dry bulk",Q402="Bulk carrier"),Alukset_fx!$C$35,IF(OR(Q402="Tanker",Q402="Gas tanker",Q402="Oil tanker"),Alukset_fx!$C$57,IF(Q402="Chemical tanker",Alukset_fx!$C$56,IF(OR(Q402="Tugboat",Q402="Barge"),0,IF(Q402="Other vessel",Alukset_fx!$C$54,IF(Q402="Container ship",Alukset_fx!$C$37,IF(OR(Q402="RoPax",Q402="RoRo",Q402="Vehicle carrier"),Alukset_fx!$C$55,0))))))))</f>
        <v>0</v>
      </c>
      <c r="Y402" s="211">
        <f>IF(Q402="Other dry cargo", Alukset_fx!$Q$52, IF(OR(Q402="Dry bulk",Q402="Bulk carrier"),Alukset_fx!$Q$35,IF(OR(Q402="Tanker",Q402="Gas tanker",Q402="Oil tanker"),Alukset_fx!$Q$57,IF(Q402="Chemical tanker",Alukset_fx!$Q$56,IF(OR(Q402="Tugboat",Q402="Barge"),0,IF(Q402="Other vessel",Alukset_fx!$Q$54,IF(Q402="Container ship",Alukset_fx!$Q$37,IF(OR(Q402="RoPax",Q402="RoRo",Q402="Vehicle carrier"),Alukset_fx!$Q$55,0))))))))</f>
        <v>0</v>
      </c>
      <c r="Z402" t="str">
        <f t="shared" si="80"/>
        <v>MDO/MGO</v>
      </c>
      <c r="AA402" t="str">
        <f t="shared" si="81"/>
        <v>MSD</v>
      </c>
      <c r="AB402" t="str">
        <f t="shared" si="82"/>
        <v>MDO/MGO</v>
      </c>
      <c r="AC402" t="str">
        <f t="shared" si="83"/>
        <v>MSD</v>
      </c>
      <c r="AD402" t="str">
        <f t="shared" si="84"/>
        <v>MDO/MGO</v>
      </c>
      <c r="AE402" t="str">
        <f t="shared" si="85"/>
        <v>ST</v>
      </c>
      <c r="AG402">
        <f>Alukset_Käynnit!O409</f>
        <v>0</v>
      </c>
      <c r="AH402" s="207">
        <f>IF(AA402="SSD",((U402*Alukset_fx!$B$24)*Alukset_Käynnit_Lask!W402*(Alukset_fx!$K$49)/1000),IF(AA402="MSD",((U402*Alukset_fx!$B$24)*Alukset_Käynnit_Lask!W402*(Alukset_fx!$K$52)/1000),IF(AA402="HSD",((U402*Alukset_fx!$B$24)*Alukset_Käynnit_Lask!W402*(Alukset_fx!$K$55)/1000),0)))</f>
        <v>0</v>
      </c>
      <c r="AI402" s="207">
        <f>IF(AC402="MSD",((V402*Alukset_fx!$B$25)*Alukset_Käynnit_Lask!W402*(Alukset_fx!$L$52)/1000),IF(AC402="HSD",((V402*Alukset_fx!$B$25)*Alukset_Käynnit_Lask!W402*(Alukset_fx!$L$55)/1000),0))</f>
        <v>0</v>
      </c>
      <c r="AJ402" s="207">
        <f>X402*W402*Alukset_fx!$K$61/1000</f>
        <v>0</v>
      </c>
      <c r="AK402">
        <v>0</v>
      </c>
      <c r="AL402" s="207">
        <f>IF(AG402="Käytetty",0,IF(AC402="MSD",((V402*Alukset_fx!$O$25)*Alukset_Käynnit_Lask!O402*(Alukset_fx!$L$52)/1000),IF(AC402="HSD",((V402*Alukset_fx!$O$25)*Alukset_Käynnit_Lask!O402*(Alukset_fx!$L$55)/1000),0)))</f>
        <v>0</v>
      </c>
      <c r="AM402" s="207">
        <f>IF(AG402="Käytetty",0,Y402*O402*Alukset_fx!$K$61/1000)</f>
        <v>0</v>
      </c>
      <c r="AN402" s="213">
        <f t="shared" si="86"/>
        <v>0</v>
      </c>
    </row>
    <row r="403" spans="1:40" x14ac:dyDescent="0.25">
      <c r="A403" s="203">
        <f>Alukset_Käynnit!A410</f>
        <v>0</v>
      </c>
      <c r="B403" s="203">
        <f>Alukset_Käynnit!B410</f>
        <v>0</v>
      </c>
      <c r="C403" s="262">
        <f>Alukset_Käynnit!C410</f>
        <v>0</v>
      </c>
      <c r="D403" s="266">
        <f>Alukset_Käynnit!D410</f>
        <v>0</v>
      </c>
      <c r="E403" s="262">
        <f>Alukset_Käynnit!E410</f>
        <v>0</v>
      </c>
      <c r="F403" s="262">
        <f>Alukset_Käynnit!F410</f>
        <v>0</v>
      </c>
      <c r="G403" s="262">
        <f>Alukset_Käynnit!G410</f>
        <v>0</v>
      </c>
      <c r="H403" s="262">
        <f>Alukset_Käynnit!H410</f>
        <v>0</v>
      </c>
      <c r="I403" s="262">
        <f>Alukset_Käynnit!I410</f>
        <v>0</v>
      </c>
      <c r="J403" s="262">
        <f>Alukset_Käynnit!J410</f>
        <v>0</v>
      </c>
      <c r="K403" s="262">
        <f>Alukset_Käynnit!K410</f>
        <v>0</v>
      </c>
      <c r="L403" s="205">
        <f>Alukset_Käynnit!L410</f>
        <v>0</v>
      </c>
      <c r="N403" s="273">
        <f t="shared" si="75"/>
        <v>0</v>
      </c>
      <c r="O403" s="274">
        <f t="shared" si="76"/>
        <v>0</v>
      </c>
      <c r="Q403" s="204">
        <f t="shared" si="77"/>
        <v>0</v>
      </c>
      <c r="R403" s="202">
        <f>IF(Q403="Other dry cargo",L403*Alukset_fx!$B$71,IF(OR(Q403="Dry bulk",Q403="Bulk carrier"),L403*Alukset_fx!$B$69,IF(Q403="Tugboat",L403*Alukset_fx!$B$76,IF(OR(Q403="Tanker",Q403="Gas tanker",Q403="Chemical tanker",Q403="Oil tanker"),L403*Alukset_fx!$B$68,IF(OR(Q403="RoRo",Q403="Vehicle carrier"),L403*Alukset_fx!$B$72,IF(Q403="RoPax",L403*Alukset_fx!$B$73,IF(Q403="Container ship",L403*Alukset_fx!$B$70,IF(Q403="Barge",0,L403*Alukset_fx!$B$75))))))))</f>
        <v>0</v>
      </c>
      <c r="S403" s="210">
        <f>IF(L403=0,IF(Q403="Other dry cargo",Alukset_fx!$H$73*(Alukset_Käynnit_Lask!K403^Alukset_fx!$I$73),IF(OR(Q403="Dry Bulk",Q403="Bulk carrier"),Alukset_fx!$H$71*(Alukset_Käynnit_Lask!K403^Alukset_fx!$I$71),IF(Q403="Tugboat",Alukset_fx!$H$78*(Alukset_Käynnit_Lask!K403^Alukset_fx!$I$78),IF(OR(Q403="Tanker",Q403="Gas tanker",Q403="Chemical tanker",Q403="Oil tanker"),Alukset_fx!$H$70*(Alukset_Käynnit_Lask!K403^Alukset_fx!$I$70),IF(Q403="Container ship",Alukset_fx!$H$72*(Alukset_Käynnit_Lask!K403^Alukset_fx!$I$72),IF(Q403="Barge",0,IF(Q403="RoPax",Alukset_fx!$H$75*(Alukset_Käynnit_Lask!K403^Alukset_fx!$I$75),IF(OR(Q403="RoRo",Q403="Vehicle carrier"),Alukset_fx!$H$74*(Alukset_Käynnit_Lask!K403^Alukset_fx!$I$74),Alukset_fx!$H$77*(Alukset_Käynnit_Lask!K403^Alukset_fx!$I$77))))))))),"-")</f>
        <v>0</v>
      </c>
      <c r="T403" s="208">
        <f>IF(R403=0,IF(Q403="Other dry cargo",S403*Alukset_fx!$B$71,IF(OR(Q403="Dry bulk",Q403="Bulk carrier"),S403*Alukset_fx!$B$69,IF(Q403="Tugboat",S403*Alukset_fx!$B$76,IF(OR(Q403="Tanker",Q403="Gas tanker",Q403="Chemical tanker",Q403="Oil tanker"),S403*Alukset_fx!$B$68,IF(OR(Q403="RoRo",Q403="Vehicle carrier"),S403*Alukset_fx!$B$72,IF(Q403="RoPax",S403*Alukset_fx!$B$73,IF(Q403="Container ship",S403*Alukset_fx!$B$70,S403*Alukset_fx!$B$75))))))),"-")</f>
        <v>0</v>
      </c>
      <c r="U403" s="208">
        <f t="shared" si="78"/>
        <v>0</v>
      </c>
      <c r="V403" s="208">
        <f t="shared" si="79"/>
        <v>0</v>
      </c>
      <c r="W403" s="202">
        <f>Alukset_Käynnit!N410</f>
        <v>0</v>
      </c>
      <c r="X403" s="211">
        <f>IF(Q403="Other dry cargo", Alukset_fx!$C$52, IF(OR(Q403="Dry bulk",Q403="Bulk carrier"),Alukset_fx!$C$35,IF(OR(Q403="Tanker",Q403="Gas tanker",Q403="Oil tanker"),Alukset_fx!$C$57,IF(Q403="Chemical tanker",Alukset_fx!$C$56,IF(OR(Q403="Tugboat",Q403="Barge"),0,IF(Q403="Other vessel",Alukset_fx!$C$54,IF(Q403="Container ship",Alukset_fx!$C$37,IF(OR(Q403="RoPax",Q403="RoRo",Q403="Vehicle carrier"),Alukset_fx!$C$55,0))))))))</f>
        <v>0</v>
      </c>
      <c r="Y403" s="211">
        <f>IF(Q403="Other dry cargo", Alukset_fx!$Q$52, IF(OR(Q403="Dry bulk",Q403="Bulk carrier"),Alukset_fx!$Q$35,IF(OR(Q403="Tanker",Q403="Gas tanker",Q403="Oil tanker"),Alukset_fx!$Q$57,IF(Q403="Chemical tanker",Alukset_fx!$Q$56,IF(OR(Q403="Tugboat",Q403="Barge"),0,IF(Q403="Other vessel",Alukset_fx!$Q$54,IF(Q403="Container ship",Alukset_fx!$Q$37,IF(OR(Q403="RoPax",Q403="RoRo",Q403="Vehicle carrier"),Alukset_fx!$Q$55,0))))))))</f>
        <v>0</v>
      </c>
      <c r="Z403" t="str">
        <f t="shared" si="80"/>
        <v>MDO/MGO</v>
      </c>
      <c r="AA403" t="str">
        <f t="shared" si="81"/>
        <v>MSD</v>
      </c>
      <c r="AB403" t="str">
        <f t="shared" si="82"/>
        <v>MDO/MGO</v>
      </c>
      <c r="AC403" t="str">
        <f t="shared" si="83"/>
        <v>MSD</v>
      </c>
      <c r="AD403" t="str">
        <f t="shared" si="84"/>
        <v>MDO/MGO</v>
      </c>
      <c r="AE403" t="str">
        <f t="shared" si="85"/>
        <v>ST</v>
      </c>
      <c r="AG403">
        <f>Alukset_Käynnit!O410</f>
        <v>0</v>
      </c>
      <c r="AH403" s="207">
        <f>IF(AA403="SSD",((U403*Alukset_fx!$B$24)*Alukset_Käynnit_Lask!W403*(Alukset_fx!$K$49)/1000),IF(AA403="MSD",((U403*Alukset_fx!$B$24)*Alukset_Käynnit_Lask!W403*(Alukset_fx!$K$52)/1000),IF(AA403="HSD",((U403*Alukset_fx!$B$24)*Alukset_Käynnit_Lask!W403*(Alukset_fx!$K$55)/1000),0)))</f>
        <v>0</v>
      </c>
      <c r="AI403" s="207">
        <f>IF(AC403="MSD",((V403*Alukset_fx!$B$25)*Alukset_Käynnit_Lask!W403*(Alukset_fx!$L$52)/1000),IF(AC403="HSD",((V403*Alukset_fx!$B$25)*Alukset_Käynnit_Lask!W403*(Alukset_fx!$L$55)/1000),0))</f>
        <v>0</v>
      </c>
      <c r="AJ403" s="207">
        <f>X403*W403*Alukset_fx!$K$61/1000</f>
        <v>0</v>
      </c>
      <c r="AK403">
        <v>0</v>
      </c>
      <c r="AL403" s="207">
        <f>IF(AG403="Käytetty",0,IF(AC403="MSD",((V403*Alukset_fx!$O$25)*Alukset_Käynnit_Lask!O403*(Alukset_fx!$L$52)/1000),IF(AC403="HSD",((V403*Alukset_fx!$O$25)*Alukset_Käynnit_Lask!O403*(Alukset_fx!$L$55)/1000),0)))</f>
        <v>0</v>
      </c>
      <c r="AM403" s="207">
        <f>IF(AG403="Käytetty",0,Y403*O403*Alukset_fx!$K$61/1000)</f>
        <v>0</v>
      </c>
      <c r="AN403" s="213">
        <f t="shared" si="86"/>
        <v>0</v>
      </c>
    </row>
    <row r="404" spans="1:40" x14ac:dyDescent="0.25">
      <c r="A404" s="203">
        <f>Alukset_Käynnit!A411</f>
        <v>0</v>
      </c>
      <c r="B404" s="203">
        <f>Alukset_Käynnit!B411</f>
        <v>0</v>
      </c>
      <c r="C404" s="262">
        <f>Alukset_Käynnit!C411</f>
        <v>0</v>
      </c>
      <c r="D404" s="266">
        <f>Alukset_Käynnit!D411</f>
        <v>0</v>
      </c>
      <c r="E404" s="262">
        <f>Alukset_Käynnit!E411</f>
        <v>0</v>
      </c>
      <c r="F404" s="262">
        <f>Alukset_Käynnit!F411</f>
        <v>0</v>
      </c>
      <c r="G404" s="262">
        <f>Alukset_Käynnit!G411</f>
        <v>0</v>
      </c>
      <c r="H404" s="262">
        <f>Alukset_Käynnit!H411</f>
        <v>0</v>
      </c>
      <c r="I404" s="262">
        <f>Alukset_Käynnit!I411</f>
        <v>0</v>
      </c>
      <c r="J404" s="262">
        <f>Alukset_Käynnit!J411</f>
        <v>0</v>
      </c>
      <c r="K404" s="262">
        <f>Alukset_Käynnit!K411</f>
        <v>0</v>
      </c>
      <c r="L404" s="205">
        <f>Alukset_Käynnit!L411</f>
        <v>0</v>
      </c>
      <c r="N404" s="273">
        <f t="shared" si="75"/>
        <v>0</v>
      </c>
      <c r="O404" s="274">
        <f t="shared" si="76"/>
        <v>0</v>
      </c>
      <c r="Q404" s="204">
        <f t="shared" si="77"/>
        <v>0</v>
      </c>
      <c r="R404" s="202">
        <f>IF(Q404="Other dry cargo",L404*Alukset_fx!$B$71,IF(OR(Q404="Dry bulk",Q404="Bulk carrier"),L404*Alukset_fx!$B$69,IF(Q404="Tugboat",L404*Alukset_fx!$B$76,IF(OR(Q404="Tanker",Q404="Gas tanker",Q404="Chemical tanker",Q404="Oil tanker"),L404*Alukset_fx!$B$68,IF(OR(Q404="RoRo",Q404="Vehicle carrier"),L404*Alukset_fx!$B$72,IF(Q404="RoPax",L404*Alukset_fx!$B$73,IF(Q404="Container ship",L404*Alukset_fx!$B$70,IF(Q404="Barge",0,L404*Alukset_fx!$B$75))))))))</f>
        <v>0</v>
      </c>
      <c r="S404" s="210">
        <f>IF(L404=0,IF(Q404="Other dry cargo",Alukset_fx!$H$73*(Alukset_Käynnit_Lask!K404^Alukset_fx!$I$73),IF(OR(Q404="Dry Bulk",Q404="Bulk carrier"),Alukset_fx!$H$71*(Alukset_Käynnit_Lask!K404^Alukset_fx!$I$71),IF(Q404="Tugboat",Alukset_fx!$H$78*(Alukset_Käynnit_Lask!K404^Alukset_fx!$I$78),IF(OR(Q404="Tanker",Q404="Gas tanker",Q404="Chemical tanker",Q404="Oil tanker"),Alukset_fx!$H$70*(Alukset_Käynnit_Lask!K404^Alukset_fx!$I$70),IF(Q404="Container ship",Alukset_fx!$H$72*(Alukset_Käynnit_Lask!K404^Alukset_fx!$I$72),IF(Q404="Barge",0,IF(Q404="RoPax",Alukset_fx!$H$75*(Alukset_Käynnit_Lask!K404^Alukset_fx!$I$75),IF(OR(Q404="RoRo",Q404="Vehicle carrier"),Alukset_fx!$H$74*(Alukset_Käynnit_Lask!K404^Alukset_fx!$I$74),Alukset_fx!$H$77*(Alukset_Käynnit_Lask!K404^Alukset_fx!$I$77))))))))),"-")</f>
        <v>0</v>
      </c>
      <c r="T404" s="208">
        <f>IF(R404=0,IF(Q404="Other dry cargo",S404*Alukset_fx!$B$71,IF(OR(Q404="Dry bulk",Q404="Bulk carrier"),S404*Alukset_fx!$B$69,IF(Q404="Tugboat",S404*Alukset_fx!$B$76,IF(OR(Q404="Tanker",Q404="Gas tanker",Q404="Chemical tanker",Q404="Oil tanker"),S404*Alukset_fx!$B$68,IF(OR(Q404="RoRo",Q404="Vehicle carrier"),S404*Alukset_fx!$B$72,IF(Q404="RoPax",S404*Alukset_fx!$B$73,IF(Q404="Container ship",S404*Alukset_fx!$B$70,S404*Alukset_fx!$B$75))))))),"-")</f>
        <v>0</v>
      </c>
      <c r="U404" s="208">
        <f t="shared" si="78"/>
        <v>0</v>
      </c>
      <c r="V404" s="208">
        <f t="shared" si="79"/>
        <v>0</v>
      </c>
      <c r="W404" s="202">
        <f>Alukset_Käynnit!N411</f>
        <v>0</v>
      </c>
      <c r="X404" s="211">
        <f>IF(Q404="Other dry cargo", Alukset_fx!$C$52, IF(OR(Q404="Dry bulk",Q404="Bulk carrier"),Alukset_fx!$C$35,IF(OR(Q404="Tanker",Q404="Gas tanker",Q404="Oil tanker"),Alukset_fx!$C$57,IF(Q404="Chemical tanker",Alukset_fx!$C$56,IF(OR(Q404="Tugboat",Q404="Barge"),0,IF(Q404="Other vessel",Alukset_fx!$C$54,IF(Q404="Container ship",Alukset_fx!$C$37,IF(OR(Q404="RoPax",Q404="RoRo",Q404="Vehicle carrier"),Alukset_fx!$C$55,0))))))))</f>
        <v>0</v>
      </c>
      <c r="Y404" s="211">
        <f>IF(Q404="Other dry cargo", Alukset_fx!$Q$52, IF(OR(Q404="Dry bulk",Q404="Bulk carrier"),Alukset_fx!$Q$35,IF(OR(Q404="Tanker",Q404="Gas tanker",Q404="Oil tanker"),Alukset_fx!$Q$57,IF(Q404="Chemical tanker",Alukset_fx!$Q$56,IF(OR(Q404="Tugboat",Q404="Barge"),0,IF(Q404="Other vessel",Alukset_fx!$Q$54,IF(Q404="Container ship",Alukset_fx!$Q$37,IF(OR(Q404="RoPax",Q404="RoRo",Q404="Vehicle carrier"),Alukset_fx!$Q$55,0))))))))</f>
        <v>0</v>
      </c>
      <c r="Z404" t="str">
        <f t="shared" si="80"/>
        <v>MDO/MGO</v>
      </c>
      <c r="AA404" t="str">
        <f t="shared" si="81"/>
        <v>MSD</v>
      </c>
      <c r="AB404" t="str">
        <f t="shared" si="82"/>
        <v>MDO/MGO</v>
      </c>
      <c r="AC404" t="str">
        <f t="shared" si="83"/>
        <v>MSD</v>
      </c>
      <c r="AD404" t="str">
        <f t="shared" si="84"/>
        <v>MDO/MGO</v>
      </c>
      <c r="AE404" t="str">
        <f t="shared" si="85"/>
        <v>ST</v>
      </c>
      <c r="AG404">
        <f>Alukset_Käynnit!O411</f>
        <v>0</v>
      </c>
      <c r="AH404" s="207">
        <f>IF(AA404="SSD",((U404*Alukset_fx!$B$24)*Alukset_Käynnit_Lask!W404*(Alukset_fx!$K$49)/1000),IF(AA404="MSD",((U404*Alukset_fx!$B$24)*Alukset_Käynnit_Lask!W404*(Alukset_fx!$K$52)/1000),IF(AA404="HSD",((U404*Alukset_fx!$B$24)*Alukset_Käynnit_Lask!W404*(Alukset_fx!$K$55)/1000),0)))</f>
        <v>0</v>
      </c>
      <c r="AI404" s="207">
        <f>IF(AC404="MSD",((V404*Alukset_fx!$B$25)*Alukset_Käynnit_Lask!W404*(Alukset_fx!$L$52)/1000),IF(AC404="HSD",((V404*Alukset_fx!$B$25)*Alukset_Käynnit_Lask!W404*(Alukset_fx!$L$55)/1000),0))</f>
        <v>0</v>
      </c>
      <c r="AJ404" s="207">
        <f>X404*W404*Alukset_fx!$K$61/1000</f>
        <v>0</v>
      </c>
      <c r="AK404">
        <v>0</v>
      </c>
      <c r="AL404" s="207">
        <f>IF(AG404="Käytetty",0,IF(AC404="MSD",((V404*Alukset_fx!$O$25)*Alukset_Käynnit_Lask!O404*(Alukset_fx!$L$52)/1000),IF(AC404="HSD",((V404*Alukset_fx!$O$25)*Alukset_Käynnit_Lask!O404*(Alukset_fx!$L$55)/1000),0)))</f>
        <v>0</v>
      </c>
      <c r="AM404" s="207">
        <f>IF(AG404="Käytetty",0,Y404*O404*Alukset_fx!$K$61/1000)</f>
        <v>0</v>
      </c>
      <c r="AN404" s="213">
        <f t="shared" si="86"/>
        <v>0</v>
      </c>
    </row>
    <row r="405" spans="1:40" x14ac:dyDescent="0.25">
      <c r="A405" s="203">
        <f>Alukset_Käynnit!A412</f>
        <v>0</v>
      </c>
      <c r="B405" s="203">
        <f>Alukset_Käynnit!B412</f>
        <v>0</v>
      </c>
      <c r="C405" s="262">
        <f>Alukset_Käynnit!C412</f>
        <v>0</v>
      </c>
      <c r="D405" s="266">
        <f>Alukset_Käynnit!D412</f>
        <v>0</v>
      </c>
      <c r="E405" s="262">
        <f>Alukset_Käynnit!E412</f>
        <v>0</v>
      </c>
      <c r="F405" s="262">
        <f>Alukset_Käynnit!F412</f>
        <v>0</v>
      </c>
      <c r="G405" s="262">
        <f>Alukset_Käynnit!G412</f>
        <v>0</v>
      </c>
      <c r="H405" s="262">
        <f>Alukset_Käynnit!H412</f>
        <v>0</v>
      </c>
      <c r="I405" s="262">
        <f>Alukset_Käynnit!I412</f>
        <v>0</v>
      </c>
      <c r="J405" s="262">
        <f>Alukset_Käynnit!J412</f>
        <v>0</v>
      </c>
      <c r="K405" s="262">
        <f>Alukset_Käynnit!K412</f>
        <v>0</v>
      </c>
      <c r="L405" s="205">
        <f>Alukset_Käynnit!L412</f>
        <v>0</v>
      </c>
      <c r="N405" s="273">
        <f t="shared" ref="N405:N468" si="87">(B405-A405)*1440</f>
        <v>0</v>
      </c>
      <c r="O405" s="274">
        <f t="shared" ref="O405:O468" si="88">N405/60</f>
        <v>0</v>
      </c>
      <c r="Q405" s="204">
        <f t="shared" si="77"/>
        <v>0</v>
      </c>
      <c r="R405" s="202">
        <f>IF(Q405="Other dry cargo",L405*Alukset_fx!$B$71,IF(OR(Q405="Dry bulk",Q405="Bulk carrier"),L405*Alukset_fx!$B$69,IF(Q405="Tugboat",L405*Alukset_fx!$B$76,IF(OR(Q405="Tanker",Q405="Gas tanker",Q405="Chemical tanker",Q405="Oil tanker"),L405*Alukset_fx!$B$68,IF(OR(Q405="RoRo",Q405="Vehicle carrier"),L405*Alukset_fx!$B$72,IF(Q405="RoPax",L405*Alukset_fx!$B$73,IF(Q405="Container ship",L405*Alukset_fx!$B$70,IF(Q405="Barge",0,L405*Alukset_fx!$B$75))))))))</f>
        <v>0</v>
      </c>
      <c r="S405" s="210">
        <f>IF(L405=0,IF(Q405="Other dry cargo",Alukset_fx!$H$73*(Alukset_Käynnit_Lask!K405^Alukset_fx!$I$73),IF(OR(Q405="Dry Bulk",Q405="Bulk carrier"),Alukset_fx!$H$71*(Alukset_Käynnit_Lask!K405^Alukset_fx!$I$71),IF(Q405="Tugboat",Alukset_fx!$H$78*(Alukset_Käynnit_Lask!K405^Alukset_fx!$I$78),IF(OR(Q405="Tanker",Q405="Gas tanker",Q405="Chemical tanker",Q405="Oil tanker"),Alukset_fx!$H$70*(Alukset_Käynnit_Lask!K405^Alukset_fx!$I$70),IF(Q405="Container ship",Alukset_fx!$H$72*(Alukset_Käynnit_Lask!K405^Alukset_fx!$I$72),IF(Q405="Barge",0,IF(Q405="RoPax",Alukset_fx!$H$75*(Alukset_Käynnit_Lask!K405^Alukset_fx!$I$75),IF(OR(Q405="RoRo",Q405="Vehicle carrier"),Alukset_fx!$H$74*(Alukset_Käynnit_Lask!K405^Alukset_fx!$I$74),Alukset_fx!$H$77*(Alukset_Käynnit_Lask!K405^Alukset_fx!$I$77))))))))),"-")</f>
        <v>0</v>
      </c>
      <c r="T405" s="208">
        <f>IF(R405=0,IF(Q405="Other dry cargo",S405*Alukset_fx!$B$71,IF(OR(Q405="Dry bulk",Q405="Bulk carrier"),S405*Alukset_fx!$B$69,IF(Q405="Tugboat",S405*Alukset_fx!$B$76,IF(OR(Q405="Tanker",Q405="Gas tanker",Q405="Chemical tanker",Q405="Oil tanker"),S405*Alukset_fx!$B$68,IF(OR(Q405="RoRo",Q405="Vehicle carrier"),S405*Alukset_fx!$B$72,IF(Q405="RoPax",S405*Alukset_fx!$B$73,IF(Q405="Container ship",S405*Alukset_fx!$B$70,S405*Alukset_fx!$B$75))))))),"-")</f>
        <v>0</v>
      </c>
      <c r="U405" s="208">
        <f t="shared" si="78"/>
        <v>0</v>
      </c>
      <c r="V405" s="208">
        <f t="shared" si="79"/>
        <v>0</v>
      </c>
      <c r="W405" s="202">
        <f>Alukset_Käynnit!N412</f>
        <v>0</v>
      </c>
      <c r="X405" s="211">
        <f>IF(Q405="Other dry cargo", Alukset_fx!$C$52, IF(OR(Q405="Dry bulk",Q405="Bulk carrier"),Alukset_fx!$C$35,IF(OR(Q405="Tanker",Q405="Gas tanker",Q405="Oil tanker"),Alukset_fx!$C$57,IF(Q405="Chemical tanker",Alukset_fx!$C$56,IF(OR(Q405="Tugboat",Q405="Barge"),0,IF(Q405="Other vessel",Alukset_fx!$C$54,IF(Q405="Container ship",Alukset_fx!$C$37,IF(OR(Q405="RoPax",Q405="RoRo",Q405="Vehicle carrier"),Alukset_fx!$C$55,0))))))))</f>
        <v>0</v>
      </c>
      <c r="Y405" s="211">
        <f>IF(Q405="Other dry cargo", Alukset_fx!$Q$52, IF(OR(Q405="Dry bulk",Q405="Bulk carrier"),Alukset_fx!$Q$35,IF(OR(Q405="Tanker",Q405="Gas tanker",Q405="Oil tanker"),Alukset_fx!$Q$57,IF(Q405="Chemical tanker",Alukset_fx!$Q$56,IF(OR(Q405="Tugboat",Q405="Barge"),0,IF(Q405="Other vessel",Alukset_fx!$Q$54,IF(Q405="Container ship",Alukset_fx!$Q$37,IF(OR(Q405="RoPax",Q405="RoRo",Q405="Vehicle carrier"),Alukset_fx!$Q$55,0))))))))</f>
        <v>0</v>
      </c>
      <c r="Z405" t="str">
        <f t="shared" si="80"/>
        <v>MDO/MGO</v>
      </c>
      <c r="AA405" t="str">
        <f t="shared" si="81"/>
        <v>MSD</v>
      </c>
      <c r="AB405" t="str">
        <f t="shared" si="82"/>
        <v>MDO/MGO</v>
      </c>
      <c r="AC405" t="str">
        <f t="shared" si="83"/>
        <v>MSD</v>
      </c>
      <c r="AD405" t="str">
        <f t="shared" si="84"/>
        <v>MDO/MGO</v>
      </c>
      <c r="AE405" t="str">
        <f t="shared" si="85"/>
        <v>ST</v>
      </c>
      <c r="AG405">
        <f>Alukset_Käynnit!O412</f>
        <v>0</v>
      </c>
      <c r="AH405" s="207">
        <f>IF(AA405="SSD",((U405*Alukset_fx!$B$24)*Alukset_Käynnit_Lask!W405*(Alukset_fx!$K$49)/1000),IF(AA405="MSD",((U405*Alukset_fx!$B$24)*Alukset_Käynnit_Lask!W405*(Alukset_fx!$K$52)/1000),IF(AA405="HSD",((U405*Alukset_fx!$B$24)*Alukset_Käynnit_Lask!W405*(Alukset_fx!$K$55)/1000),0)))</f>
        <v>0</v>
      </c>
      <c r="AI405" s="207">
        <f>IF(AC405="MSD",((V405*Alukset_fx!$B$25)*Alukset_Käynnit_Lask!W405*(Alukset_fx!$L$52)/1000),IF(AC405="HSD",((V405*Alukset_fx!$B$25)*Alukset_Käynnit_Lask!W405*(Alukset_fx!$L$55)/1000),0))</f>
        <v>0</v>
      </c>
      <c r="AJ405" s="207">
        <f>X405*W405*Alukset_fx!$K$61/1000</f>
        <v>0</v>
      </c>
      <c r="AK405">
        <v>0</v>
      </c>
      <c r="AL405" s="207">
        <f>IF(AG405="Käytetty",0,IF(AC405="MSD",((V405*Alukset_fx!$O$25)*Alukset_Käynnit_Lask!O405*(Alukset_fx!$L$52)/1000),IF(AC405="HSD",((V405*Alukset_fx!$O$25)*Alukset_Käynnit_Lask!O405*(Alukset_fx!$L$55)/1000),0)))</f>
        <v>0</v>
      </c>
      <c r="AM405" s="207">
        <f>IF(AG405="Käytetty",0,Y405*O405*Alukset_fx!$K$61/1000)</f>
        <v>0</v>
      </c>
      <c r="AN405" s="213">
        <f t="shared" si="86"/>
        <v>0</v>
      </c>
    </row>
    <row r="406" spans="1:40" x14ac:dyDescent="0.25">
      <c r="A406" s="203">
        <f>Alukset_Käynnit!A413</f>
        <v>0</v>
      </c>
      <c r="B406" s="203">
        <f>Alukset_Käynnit!B413</f>
        <v>0</v>
      </c>
      <c r="C406" s="262">
        <f>Alukset_Käynnit!C413</f>
        <v>0</v>
      </c>
      <c r="D406" s="266">
        <f>Alukset_Käynnit!D413</f>
        <v>0</v>
      </c>
      <c r="E406" s="262">
        <f>Alukset_Käynnit!E413</f>
        <v>0</v>
      </c>
      <c r="F406" s="262">
        <f>Alukset_Käynnit!F413</f>
        <v>0</v>
      </c>
      <c r="G406" s="262">
        <f>Alukset_Käynnit!G413</f>
        <v>0</v>
      </c>
      <c r="H406" s="262">
        <f>Alukset_Käynnit!H413</f>
        <v>0</v>
      </c>
      <c r="I406" s="262">
        <f>Alukset_Käynnit!I413</f>
        <v>0</v>
      </c>
      <c r="J406" s="262">
        <f>Alukset_Käynnit!J413</f>
        <v>0</v>
      </c>
      <c r="K406" s="262">
        <f>Alukset_Käynnit!K413</f>
        <v>0</v>
      </c>
      <c r="L406" s="205">
        <f>Alukset_Käynnit!L413</f>
        <v>0</v>
      </c>
      <c r="N406" s="273">
        <f t="shared" si="87"/>
        <v>0</v>
      </c>
      <c r="O406" s="274">
        <f t="shared" si="88"/>
        <v>0</v>
      </c>
      <c r="Q406" s="204">
        <f t="shared" si="77"/>
        <v>0</v>
      </c>
      <c r="R406" s="202">
        <f>IF(Q406="Other dry cargo",L406*Alukset_fx!$B$71,IF(OR(Q406="Dry bulk",Q406="Bulk carrier"),L406*Alukset_fx!$B$69,IF(Q406="Tugboat",L406*Alukset_fx!$B$76,IF(OR(Q406="Tanker",Q406="Gas tanker",Q406="Chemical tanker",Q406="Oil tanker"),L406*Alukset_fx!$B$68,IF(OR(Q406="RoRo",Q406="Vehicle carrier"),L406*Alukset_fx!$B$72,IF(Q406="RoPax",L406*Alukset_fx!$B$73,IF(Q406="Container ship",L406*Alukset_fx!$B$70,IF(Q406="Barge",0,L406*Alukset_fx!$B$75))))))))</f>
        <v>0</v>
      </c>
      <c r="S406" s="210">
        <f>IF(L406=0,IF(Q406="Other dry cargo",Alukset_fx!$H$73*(Alukset_Käynnit_Lask!K406^Alukset_fx!$I$73),IF(OR(Q406="Dry Bulk",Q406="Bulk carrier"),Alukset_fx!$H$71*(Alukset_Käynnit_Lask!K406^Alukset_fx!$I$71),IF(Q406="Tugboat",Alukset_fx!$H$78*(Alukset_Käynnit_Lask!K406^Alukset_fx!$I$78),IF(OR(Q406="Tanker",Q406="Gas tanker",Q406="Chemical tanker",Q406="Oil tanker"),Alukset_fx!$H$70*(Alukset_Käynnit_Lask!K406^Alukset_fx!$I$70),IF(Q406="Container ship",Alukset_fx!$H$72*(Alukset_Käynnit_Lask!K406^Alukset_fx!$I$72),IF(Q406="Barge",0,IF(Q406="RoPax",Alukset_fx!$H$75*(Alukset_Käynnit_Lask!K406^Alukset_fx!$I$75),IF(OR(Q406="RoRo",Q406="Vehicle carrier"),Alukset_fx!$H$74*(Alukset_Käynnit_Lask!K406^Alukset_fx!$I$74),Alukset_fx!$H$77*(Alukset_Käynnit_Lask!K406^Alukset_fx!$I$77))))))))),"-")</f>
        <v>0</v>
      </c>
      <c r="T406" s="208">
        <f>IF(R406=0,IF(Q406="Other dry cargo",S406*Alukset_fx!$B$71,IF(OR(Q406="Dry bulk",Q406="Bulk carrier"),S406*Alukset_fx!$B$69,IF(Q406="Tugboat",S406*Alukset_fx!$B$76,IF(OR(Q406="Tanker",Q406="Gas tanker",Q406="Chemical tanker",Q406="Oil tanker"),S406*Alukset_fx!$B$68,IF(OR(Q406="RoRo",Q406="Vehicle carrier"),S406*Alukset_fx!$B$72,IF(Q406="RoPax",S406*Alukset_fx!$B$73,IF(Q406="Container ship",S406*Alukset_fx!$B$70,S406*Alukset_fx!$B$75))))))),"-")</f>
        <v>0</v>
      </c>
      <c r="U406" s="208">
        <f t="shared" si="78"/>
        <v>0</v>
      </c>
      <c r="V406" s="208">
        <f t="shared" si="79"/>
        <v>0</v>
      </c>
      <c r="W406" s="202">
        <f>Alukset_Käynnit!N413</f>
        <v>0</v>
      </c>
      <c r="X406" s="211">
        <f>IF(Q406="Other dry cargo", Alukset_fx!$C$52, IF(OR(Q406="Dry bulk",Q406="Bulk carrier"),Alukset_fx!$C$35,IF(OR(Q406="Tanker",Q406="Gas tanker",Q406="Oil tanker"),Alukset_fx!$C$57,IF(Q406="Chemical tanker",Alukset_fx!$C$56,IF(OR(Q406="Tugboat",Q406="Barge"),0,IF(Q406="Other vessel",Alukset_fx!$C$54,IF(Q406="Container ship",Alukset_fx!$C$37,IF(OR(Q406="RoPax",Q406="RoRo",Q406="Vehicle carrier"),Alukset_fx!$C$55,0))))))))</f>
        <v>0</v>
      </c>
      <c r="Y406" s="211">
        <f>IF(Q406="Other dry cargo", Alukset_fx!$Q$52, IF(OR(Q406="Dry bulk",Q406="Bulk carrier"),Alukset_fx!$Q$35,IF(OR(Q406="Tanker",Q406="Gas tanker",Q406="Oil tanker"),Alukset_fx!$Q$57,IF(Q406="Chemical tanker",Alukset_fx!$Q$56,IF(OR(Q406="Tugboat",Q406="Barge"),0,IF(Q406="Other vessel",Alukset_fx!$Q$54,IF(Q406="Container ship",Alukset_fx!$Q$37,IF(OR(Q406="RoPax",Q406="RoRo",Q406="Vehicle carrier"),Alukset_fx!$Q$55,0))))))))</f>
        <v>0</v>
      </c>
      <c r="Z406" t="str">
        <f t="shared" si="80"/>
        <v>MDO/MGO</v>
      </c>
      <c r="AA406" t="str">
        <f t="shared" si="81"/>
        <v>MSD</v>
      </c>
      <c r="AB406" t="str">
        <f t="shared" si="82"/>
        <v>MDO/MGO</v>
      </c>
      <c r="AC406" t="str">
        <f t="shared" si="83"/>
        <v>MSD</v>
      </c>
      <c r="AD406" t="str">
        <f t="shared" si="84"/>
        <v>MDO/MGO</v>
      </c>
      <c r="AE406" t="str">
        <f t="shared" si="85"/>
        <v>ST</v>
      </c>
      <c r="AG406">
        <f>Alukset_Käynnit!O413</f>
        <v>0</v>
      </c>
      <c r="AH406" s="207">
        <f>IF(AA406="SSD",((U406*Alukset_fx!$B$24)*Alukset_Käynnit_Lask!W406*(Alukset_fx!$K$49)/1000),IF(AA406="MSD",((U406*Alukset_fx!$B$24)*Alukset_Käynnit_Lask!W406*(Alukset_fx!$K$52)/1000),IF(AA406="HSD",((U406*Alukset_fx!$B$24)*Alukset_Käynnit_Lask!W406*(Alukset_fx!$K$55)/1000),0)))</f>
        <v>0</v>
      </c>
      <c r="AI406" s="207">
        <f>IF(AC406="MSD",((V406*Alukset_fx!$B$25)*Alukset_Käynnit_Lask!W406*(Alukset_fx!$L$52)/1000),IF(AC406="HSD",((V406*Alukset_fx!$B$25)*Alukset_Käynnit_Lask!W406*(Alukset_fx!$L$55)/1000),0))</f>
        <v>0</v>
      </c>
      <c r="AJ406" s="207">
        <f>X406*W406*Alukset_fx!$K$61/1000</f>
        <v>0</v>
      </c>
      <c r="AK406">
        <v>0</v>
      </c>
      <c r="AL406" s="207">
        <f>IF(AG406="Käytetty",0,IF(AC406="MSD",((V406*Alukset_fx!$O$25)*Alukset_Käynnit_Lask!O406*(Alukset_fx!$L$52)/1000),IF(AC406="HSD",((V406*Alukset_fx!$O$25)*Alukset_Käynnit_Lask!O406*(Alukset_fx!$L$55)/1000),0)))</f>
        <v>0</v>
      </c>
      <c r="AM406" s="207">
        <f>IF(AG406="Käytetty",0,Y406*O406*Alukset_fx!$K$61/1000)</f>
        <v>0</v>
      </c>
      <c r="AN406" s="213">
        <f t="shared" si="86"/>
        <v>0</v>
      </c>
    </row>
    <row r="407" spans="1:40" x14ac:dyDescent="0.25">
      <c r="A407" s="203">
        <f>Alukset_Käynnit!A414</f>
        <v>0</v>
      </c>
      <c r="B407" s="203">
        <f>Alukset_Käynnit!B414</f>
        <v>0</v>
      </c>
      <c r="C407" s="262">
        <f>Alukset_Käynnit!C414</f>
        <v>0</v>
      </c>
      <c r="D407" s="266">
        <f>Alukset_Käynnit!D414</f>
        <v>0</v>
      </c>
      <c r="E407" s="262">
        <f>Alukset_Käynnit!E414</f>
        <v>0</v>
      </c>
      <c r="F407" s="262">
        <f>Alukset_Käynnit!F414</f>
        <v>0</v>
      </c>
      <c r="G407" s="262">
        <f>Alukset_Käynnit!G414</f>
        <v>0</v>
      </c>
      <c r="H407" s="262">
        <f>Alukset_Käynnit!H414</f>
        <v>0</v>
      </c>
      <c r="I407" s="262">
        <f>Alukset_Käynnit!I414</f>
        <v>0</v>
      </c>
      <c r="J407" s="262">
        <f>Alukset_Käynnit!J414</f>
        <v>0</v>
      </c>
      <c r="K407" s="262">
        <f>Alukset_Käynnit!K414</f>
        <v>0</v>
      </c>
      <c r="L407" s="205">
        <f>Alukset_Käynnit!L414</f>
        <v>0</v>
      </c>
      <c r="N407" s="273">
        <f t="shared" si="87"/>
        <v>0</v>
      </c>
      <c r="O407" s="274">
        <f t="shared" si="88"/>
        <v>0</v>
      </c>
      <c r="Q407" s="204">
        <f t="shared" si="77"/>
        <v>0</v>
      </c>
      <c r="R407" s="202">
        <f>IF(Q407="Other dry cargo",L407*Alukset_fx!$B$71,IF(OR(Q407="Dry bulk",Q407="Bulk carrier"),L407*Alukset_fx!$B$69,IF(Q407="Tugboat",L407*Alukset_fx!$B$76,IF(OR(Q407="Tanker",Q407="Gas tanker",Q407="Chemical tanker",Q407="Oil tanker"),L407*Alukset_fx!$B$68,IF(OR(Q407="RoRo",Q407="Vehicle carrier"),L407*Alukset_fx!$B$72,IF(Q407="RoPax",L407*Alukset_fx!$B$73,IF(Q407="Container ship",L407*Alukset_fx!$B$70,IF(Q407="Barge",0,L407*Alukset_fx!$B$75))))))))</f>
        <v>0</v>
      </c>
      <c r="S407" s="210">
        <f>IF(L407=0,IF(Q407="Other dry cargo",Alukset_fx!$H$73*(Alukset_Käynnit_Lask!K407^Alukset_fx!$I$73),IF(OR(Q407="Dry Bulk",Q407="Bulk carrier"),Alukset_fx!$H$71*(Alukset_Käynnit_Lask!K407^Alukset_fx!$I$71),IF(Q407="Tugboat",Alukset_fx!$H$78*(Alukset_Käynnit_Lask!K407^Alukset_fx!$I$78),IF(OR(Q407="Tanker",Q407="Gas tanker",Q407="Chemical tanker",Q407="Oil tanker"),Alukset_fx!$H$70*(Alukset_Käynnit_Lask!K407^Alukset_fx!$I$70),IF(Q407="Container ship",Alukset_fx!$H$72*(Alukset_Käynnit_Lask!K407^Alukset_fx!$I$72),IF(Q407="Barge",0,IF(Q407="RoPax",Alukset_fx!$H$75*(Alukset_Käynnit_Lask!K407^Alukset_fx!$I$75),IF(OR(Q407="RoRo",Q407="Vehicle carrier"),Alukset_fx!$H$74*(Alukset_Käynnit_Lask!K407^Alukset_fx!$I$74),Alukset_fx!$H$77*(Alukset_Käynnit_Lask!K407^Alukset_fx!$I$77))))))))),"-")</f>
        <v>0</v>
      </c>
      <c r="T407" s="208">
        <f>IF(R407=0,IF(Q407="Other dry cargo",S407*Alukset_fx!$B$71,IF(OR(Q407="Dry bulk",Q407="Bulk carrier"),S407*Alukset_fx!$B$69,IF(Q407="Tugboat",S407*Alukset_fx!$B$76,IF(OR(Q407="Tanker",Q407="Gas tanker",Q407="Chemical tanker",Q407="Oil tanker"),S407*Alukset_fx!$B$68,IF(OR(Q407="RoRo",Q407="Vehicle carrier"),S407*Alukset_fx!$B$72,IF(Q407="RoPax",S407*Alukset_fx!$B$73,IF(Q407="Container ship",S407*Alukset_fx!$B$70,S407*Alukset_fx!$B$75))))))),"-")</f>
        <v>0</v>
      </c>
      <c r="U407" s="208">
        <f t="shared" si="78"/>
        <v>0</v>
      </c>
      <c r="V407" s="208">
        <f t="shared" si="79"/>
        <v>0</v>
      </c>
      <c r="W407" s="202">
        <f>Alukset_Käynnit!N414</f>
        <v>0</v>
      </c>
      <c r="X407" s="211">
        <f>IF(Q407="Other dry cargo", Alukset_fx!$C$52, IF(OR(Q407="Dry bulk",Q407="Bulk carrier"),Alukset_fx!$C$35,IF(OR(Q407="Tanker",Q407="Gas tanker",Q407="Oil tanker"),Alukset_fx!$C$57,IF(Q407="Chemical tanker",Alukset_fx!$C$56,IF(OR(Q407="Tugboat",Q407="Barge"),0,IF(Q407="Other vessel",Alukset_fx!$C$54,IF(Q407="Container ship",Alukset_fx!$C$37,IF(OR(Q407="RoPax",Q407="RoRo",Q407="Vehicle carrier"),Alukset_fx!$C$55,0))))))))</f>
        <v>0</v>
      </c>
      <c r="Y407" s="211">
        <f>IF(Q407="Other dry cargo", Alukset_fx!$Q$52, IF(OR(Q407="Dry bulk",Q407="Bulk carrier"),Alukset_fx!$Q$35,IF(OR(Q407="Tanker",Q407="Gas tanker",Q407="Oil tanker"),Alukset_fx!$Q$57,IF(Q407="Chemical tanker",Alukset_fx!$Q$56,IF(OR(Q407="Tugboat",Q407="Barge"),0,IF(Q407="Other vessel",Alukset_fx!$Q$54,IF(Q407="Container ship",Alukset_fx!$Q$37,IF(OR(Q407="RoPax",Q407="RoRo",Q407="Vehicle carrier"),Alukset_fx!$Q$55,0))))))))</f>
        <v>0</v>
      </c>
      <c r="Z407" t="str">
        <f t="shared" si="80"/>
        <v>MDO/MGO</v>
      </c>
      <c r="AA407" t="str">
        <f t="shared" si="81"/>
        <v>MSD</v>
      </c>
      <c r="AB407" t="str">
        <f t="shared" si="82"/>
        <v>MDO/MGO</v>
      </c>
      <c r="AC407" t="str">
        <f t="shared" si="83"/>
        <v>MSD</v>
      </c>
      <c r="AD407" t="str">
        <f t="shared" si="84"/>
        <v>MDO/MGO</v>
      </c>
      <c r="AE407" t="str">
        <f t="shared" si="85"/>
        <v>ST</v>
      </c>
      <c r="AG407">
        <f>Alukset_Käynnit!O414</f>
        <v>0</v>
      </c>
      <c r="AH407" s="207">
        <f>IF(AA407="SSD",((U407*Alukset_fx!$B$24)*Alukset_Käynnit_Lask!W407*(Alukset_fx!$K$49)/1000),IF(AA407="MSD",((U407*Alukset_fx!$B$24)*Alukset_Käynnit_Lask!W407*(Alukset_fx!$K$52)/1000),IF(AA407="HSD",((U407*Alukset_fx!$B$24)*Alukset_Käynnit_Lask!W407*(Alukset_fx!$K$55)/1000),0)))</f>
        <v>0</v>
      </c>
      <c r="AI407" s="207">
        <f>IF(AC407="MSD",((V407*Alukset_fx!$B$25)*Alukset_Käynnit_Lask!W407*(Alukset_fx!$L$52)/1000),IF(AC407="HSD",((V407*Alukset_fx!$B$25)*Alukset_Käynnit_Lask!W407*(Alukset_fx!$L$55)/1000),0))</f>
        <v>0</v>
      </c>
      <c r="AJ407" s="207">
        <f>X407*W407*Alukset_fx!$K$61/1000</f>
        <v>0</v>
      </c>
      <c r="AK407">
        <v>0</v>
      </c>
      <c r="AL407" s="207">
        <f>IF(AG407="Käytetty",0,IF(AC407="MSD",((V407*Alukset_fx!$O$25)*Alukset_Käynnit_Lask!O407*(Alukset_fx!$L$52)/1000),IF(AC407="HSD",((V407*Alukset_fx!$O$25)*Alukset_Käynnit_Lask!O407*(Alukset_fx!$L$55)/1000),0)))</f>
        <v>0</v>
      </c>
      <c r="AM407" s="207">
        <f>IF(AG407="Käytetty",0,Y407*O407*Alukset_fx!$K$61/1000)</f>
        <v>0</v>
      </c>
      <c r="AN407" s="213">
        <f t="shared" si="86"/>
        <v>0</v>
      </c>
    </row>
    <row r="408" spans="1:40" x14ac:dyDescent="0.25">
      <c r="A408" s="203">
        <f>Alukset_Käynnit!A415</f>
        <v>0</v>
      </c>
      <c r="B408" s="203">
        <f>Alukset_Käynnit!B415</f>
        <v>0</v>
      </c>
      <c r="C408" s="262">
        <f>Alukset_Käynnit!C415</f>
        <v>0</v>
      </c>
      <c r="D408" s="266">
        <f>Alukset_Käynnit!D415</f>
        <v>0</v>
      </c>
      <c r="E408" s="262">
        <f>Alukset_Käynnit!E415</f>
        <v>0</v>
      </c>
      <c r="F408" s="262">
        <f>Alukset_Käynnit!F415</f>
        <v>0</v>
      </c>
      <c r="G408" s="262">
        <f>Alukset_Käynnit!G415</f>
        <v>0</v>
      </c>
      <c r="H408" s="262">
        <f>Alukset_Käynnit!H415</f>
        <v>0</v>
      </c>
      <c r="I408" s="262">
        <f>Alukset_Käynnit!I415</f>
        <v>0</v>
      </c>
      <c r="J408" s="262">
        <f>Alukset_Käynnit!J415</f>
        <v>0</v>
      </c>
      <c r="K408" s="262">
        <f>Alukset_Käynnit!K415</f>
        <v>0</v>
      </c>
      <c r="L408" s="205">
        <f>Alukset_Käynnit!L415</f>
        <v>0</v>
      </c>
      <c r="N408" s="273">
        <f t="shared" si="87"/>
        <v>0</v>
      </c>
      <c r="O408" s="274">
        <f t="shared" si="88"/>
        <v>0</v>
      </c>
      <c r="Q408" s="204">
        <f t="shared" si="77"/>
        <v>0</v>
      </c>
      <c r="R408" s="202">
        <f>IF(Q408="Other dry cargo",L408*Alukset_fx!$B$71,IF(OR(Q408="Dry bulk",Q408="Bulk carrier"),L408*Alukset_fx!$B$69,IF(Q408="Tugboat",L408*Alukset_fx!$B$76,IF(OR(Q408="Tanker",Q408="Gas tanker",Q408="Chemical tanker",Q408="Oil tanker"),L408*Alukset_fx!$B$68,IF(OR(Q408="RoRo",Q408="Vehicle carrier"),L408*Alukset_fx!$B$72,IF(Q408="RoPax",L408*Alukset_fx!$B$73,IF(Q408="Container ship",L408*Alukset_fx!$B$70,IF(Q408="Barge",0,L408*Alukset_fx!$B$75))))))))</f>
        <v>0</v>
      </c>
      <c r="S408" s="210">
        <f>IF(L408=0,IF(Q408="Other dry cargo",Alukset_fx!$H$73*(Alukset_Käynnit_Lask!K408^Alukset_fx!$I$73),IF(OR(Q408="Dry Bulk",Q408="Bulk carrier"),Alukset_fx!$H$71*(Alukset_Käynnit_Lask!K408^Alukset_fx!$I$71),IF(Q408="Tugboat",Alukset_fx!$H$78*(Alukset_Käynnit_Lask!K408^Alukset_fx!$I$78),IF(OR(Q408="Tanker",Q408="Gas tanker",Q408="Chemical tanker",Q408="Oil tanker"),Alukset_fx!$H$70*(Alukset_Käynnit_Lask!K408^Alukset_fx!$I$70),IF(Q408="Container ship",Alukset_fx!$H$72*(Alukset_Käynnit_Lask!K408^Alukset_fx!$I$72),IF(Q408="Barge",0,IF(Q408="RoPax",Alukset_fx!$H$75*(Alukset_Käynnit_Lask!K408^Alukset_fx!$I$75),IF(OR(Q408="RoRo",Q408="Vehicle carrier"),Alukset_fx!$H$74*(Alukset_Käynnit_Lask!K408^Alukset_fx!$I$74),Alukset_fx!$H$77*(Alukset_Käynnit_Lask!K408^Alukset_fx!$I$77))))))))),"-")</f>
        <v>0</v>
      </c>
      <c r="T408" s="208">
        <f>IF(R408=0,IF(Q408="Other dry cargo",S408*Alukset_fx!$B$71,IF(OR(Q408="Dry bulk",Q408="Bulk carrier"),S408*Alukset_fx!$B$69,IF(Q408="Tugboat",S408*Alukset_fx!$B$76,IF(OR(Q408="Tanker",Q408="Gas tanker",Q408="Chemical tanker",Q408="Oil tanker"),S408*Alukset_fx!$B$68,IF(OR(Q408="RoRo",Q408="Vehicle carrier"),S408*Alukset_fx!$B$72,IF(Q408="RoPax",S408*Alukset_fx!$B$73,IF(Q408="Container ship",S408*Alukset_fx!$B$70,S408*Alukset_fx!$B$75))))))),"-")</f>
        <v>0</v>
      </c>
      <c r="U408" s="208">
        <f t="shared" si="78"/>
        <v>0</v>
      </c>
      <c r="V408" s="208">
        <f t="shared" si="79"/>
        <v>0</v>
      </c>
      <c r="W408" s="202">
        <f>Alukset_Käynnit!N415</f>
        <v>0</v>
      </c>
      <c r="X408" s="211">
        <f>IF(Q408="Other dry cargo", Alukset_fx!$C$52, IF(OR(Q408="Dry bulk",Q408="Bulk carrier"),Alukset_fx!$C$35,IF(OR(Q408="Tanker",Q408="Gas tanker",Q408="Oil tanker"),Alukset_fx!$C$57,IF(Q408="Chemical tanker",Alukset_fx!$C$56,IF(OR(Q408="Tugboat",Q408="Barge"),0,IF(Q408="Other vessel",Alukset_fx!$C$54,IF(Q408="Container ship",Alukset_fx!$C$37,IF(OR(Q408="RoPax",Q408="RoRo",Q408="Vehicle carrier"),Alukset_fx!$C$55,0))))))))</f>
        <v>0</v>
      </c>
      <c r="Y408" s="211">
        <f>IF(Q408="Other dry cargo", Alukset_fx!$Q$52, IF(OR(Q408="Dry bulk",Q408="Bulk carrier"),Alukset_fx!$Q$35,IF(OR(Q408="Tanker",Q408="Gas tanker",Q408="Oil tanker"),Alukset_fx!$Q$57,IF(Q408="Chemical tanker",Alukset_fx!$Q$56,IF(OR(Q408="Tugboat",Q408="Barge"),0,IF(Q408="Other vessel",Alukset_fx!$Q$54,IF(Q408="Container ship",Alukset_fx!$Q$37,IF(OR(Q408="RoPax",Q408="RoRo",Q408="Vehicle carrier"),Alukset_fx!$Q$55,0))))))))</f>
        <v>0</v>
      </c>
      <c r="Z408" t="str">
        <f t="shared" si="80"/>
        <v>MDO/MGO</v>
      </c>
      <c r="AA408" t="str">
        <f t="shared" si="81"/>
        <v>MSD</v>
      </c>
      <c r="AB408" t="str">
        <f t="shared" si="82"/>
        <v>MDO/MGO</v>
      </c>
      <c r="AC408" t="str">
        <f t="shared" si="83"/>
        <v>MSD</v>
      </c>
      <c r="AD408" t="str">
        <f t="shared" si="84"/>
        <v>MDO/MGO</v>
      </c>
      <c r="AE408" t="str">
        <f t="shared" si="85"/>
        <v>ST</v>
      </c>
      <c r="AG408">
        <f>Alukset_Käynnit!O415</f>
        <v>0</v>
      </c>
      <c r="AH408" s="207">
        <f>IF(AA408="SSD",((U408*Alukset_fx!$B$24)*Alukset_Käynnit_Lask!W408*(Alukset_fx!$K$49)/1000),IF(AA408="MSD",((U408*Alukset_fx!$B$24)*Alukset_Käynnit_Lask!W408*(Alukset_fx!$K$52)/1000),IF(AA408="HSD",((U408*Alukset_fx!$B$24)*Alukset_Käynnit_Lask!W408*(Alukset_fx!$K$55)/1000),0)))</f>
        <v>0</v>
      </c>
      <c r="AI408" s="207">
        <f>IF(AC408="MSD",((V408*Alukset_fx!$B$25)*Alukset_Käynnit_Lask!W408*(Alukset_fx!$L$52)/1000),IF(AC408="HSD",((V408*Alukset_fx!$B$25)*Alukset_Käynnit_Lask!W408*(Alukset_fx!$L$55)/1000),0))</f>
        <v>0</v>
      </c>
      <c r="AJ408" s="207">
        <f>X408*W408*Alukset_fx!$K$61/1000</f>
        <v>0</v>
      </c>
      <c r="AK408">
        <v>0</v>
      </c>
      <c r="AL408" s="207">
        <f>IF(AG408="Käytetty",0,IF(AC408="MSD",((V408*Alukset_fx!$O$25)*Alukset_Käynnit_Lask!O408*(Alukset_fx!$L$52)/1000),IF(AC408="HSD",((V408*Alukset_fx!$O$25)*Alukset_Käynnit_Lask!O408*(Alukset_fx!$L$55)/1000),0)))</f>
        <v>0</v>
      </c>
      <c r="AM408" s="207">
        <f>IF(AG408="Käytetty",0,Y408*O408*Alukset_fx!$K$61/1000)</f>
        <v>0</v>
      </c>
      <c r="AN408" s="213">
        <f t="shared" si="86"/>
        <v>0</v>
      </c>
    </row>
    <row r="409" spans="1:40" x14ac:dyDescent="0.25">
      <c r="A409" s="203">
        <f>Alukset_Käynnit!A416</f>
        <v>0</v>
      </c>
      <c r="B409" s="203">
        <f>Alukset_Käynnit!B416</f>
        <v>0</v>
      </c>
      <c r="C409" s="262">
        <f>Alukset_Käynnit!C416</f>
        <v>0</v>
      </c>
      <c r="D409" s="266">
        <f>Alukset_Käynnit!D416</f>
        <v>0</v>
      </c>
      <c r="E409" s="262">
        <f>Alukset_Käynnit!E416</f>
        <v>0</v>
      </c>
      <c r="F409" s="262">
        <f>Alukset_Käynnit!F416</f>
        <v>0</v>
      </c>
      <c r="G409" s="262">
        <f>Alukset_Käynnit!G416</f>
        <v>0</v>
      </c>
      <c r="H409" s="262">
        <f>Alukset_Käynnit!H416</f>
        <v>0</v>
      </c>
      <c r="I409" s="262">
        <f>Alukset_Käynnit!I416</f>
        <v>0</v>
      </c>
      <c r="J409" s="262">
        <f>Alukset_Käynnit!J416</f>
        <v>0</v>
      </c>
      <c r="K409" s="262">
        <f>Alukset_Käynnit!K416</f>
        <v>0</v>
      </c>
      <c r="L409" s="205">
        <f>Alukset_Käynnit!L416</f>
        <v>0</v>
      </c>
      <c r="N409" s="273">
        <f t="shared" si="87"/>
        <v>0</v>
      </c>
      <c r="O409" s="274">
        <f t="shared" si="88"/>
        <v>0</v>
      </c>
      <c r="Q409" s="204">
        <f t="shared" si="77"/>
        <v>0</v>
      </c>
      <c r="R409" s="202">
        <f>IF(Q409="Other dry cargo",L409*Alukset_fx!$B$71,IF(OR(Q409="Dry bulk",Q409="Bulk carrier"),L409*Alukset_fx!$B$69,IF(Q409="Tugboat",L409*Alukset_fx!$B$76,IF(OR(Q409="Tanker",Q409="Gas tanker",Q409="Chemical tanker",Q409="Oil tanker"),L409*Alukset_fx!$B$68,IF(OR(Q409="RoRo",Q409="Vehicle carrier"),L409*Alukset_fx!$B$72,IF(Q409="RoPax",L409*Alukset_fx!$B$73,IF(Q409="Container ship",L409*Alukset_fx!$B$70,IF(Q409="Barge",0,L409*Alukset_fx!$B$75))))))))</f>
        <v>0</v>
      </c>
      <c r="S409" s="210">
        <f>IF(L409=0,IF(Q409="Other dry cargo",Alukset_fx!$H$73*(Alukset_Käynnit_Lask!K409^Alukset_fx!$I$73),IF(OR(Q409="Dry Bulk",Q409="Bulk carrier"),Alukset_fx!$H$71*(Alukset_Käynnit_Lask!K409^Alukset_fx!$I$71),IF(Q409="Tugboat",Alukset_fx!$H$78*(Alukset_Käynnit_Lask!K409^Alukset_fx!$I$78),IF(OR(Q409="Tanker",Q409="Gas tanker",Q409="Chemical tanker",Q409="Oil tanker"),Alukset_fx!$H$70*(Alukset_Käynnit_Lask!K409^Alukset_fx!$I$70),IF(Q409="Container ship",Alukset_fx!$H$72*(Alukset_Käynnit_Lask!K409^Alukset_fx!$I$72),IF(Q409="Barge",0,IF(Q409="RoPax",Alukset_fx!$H$75*(Alukset_Käynnit_Lask!K409^Alukset_fx!$I$75),IF(OR(Q409="RoRo",Q409="Vehicle carrier"),Alukset_fx!$H$74*(Alukset_Käynnit_Lask!K409^Alukset_fx!$I$74),Alukset_fx!$H$77*(Alukset_Käynnit_Lask!K409^Alukset_fx!$I$77))))))))),"-")</f>
        <v>0</v>
      </c>
      <c r="T409" s="208">
        <f>IF(R409=0,IF(Q409="Other dry cargo",S409*Alukset_fx!$B$71,IF(OR(Q409="Dry bulk",Q409="Bulk carrier"),S409*Alukset_fx!$B$69,IF(Q409="Tugboat",S409*Alukset_fx!$B$76,IF(OR(Q409="Tanker",Q409="Gas tanker",Q409="Chemical tanker",Q409="Oil tanker"),S409*Alukset_fx!$B$68,IF(OR(Q409="RoRo",Q409="Vehicle carrier"),S409*Alukset_fx!$B$72,IF(Q409="RoPax",S409*Alukset_fx!$B$73,IF(Q409="Container ship",S409*Alukset_fx!$B$70,S409*Alukset_fx!$B$75))))))),"-")</f>
        <v>0</v>
      </c>
      <c r="U409" s="208">
        <f t="shared" si="78"/>
        <v>0</v>
      </c>
      <c r="V409" s="208">
        <f t="shared" si="79"/>
        <v>0</v>
      </c>
      <c r="W409" s="202">
        <f>Alukset_Käynnit!N416</f>
        <v>0</v>
      </c>
      <c r="X409" s="211">
        <f>IF(Q409="Other dry cargo", Alukset_fx!$C$52, IF(OR(Q409="Dry bulk",Q409="Bulk carrier"),Alukset_fx!$C$35,IF(OR(Q409="Tanker",Q409="Gas tanker",Q409="Oil tanker"),Alukset_fx!$C$57,IF(Q409="Chemical tanker",Alukset_fx!$C$56,IF(OR(Q409="Tugboat",Q409="Barge"),0,IF(Q409="Other vessel",Alukset_fx!$C$54,IF(Q409="Container ship",Alukset_fx!$C$37,IF(OR(Q409="RoPax",Q409="RoRo",Q409="Vehicle carrier"),Alukset_fx!$C$55,0))))))))</f>
        <v>0</v>
      </c>
      <c r="Y409" s="211">
        <f>IF(Q409="Other dry cargo", Alukset_fx!$Q$52, IF(OR(Q409="Dry bulk",Q409="Bulk carrier"),Alukset_fx!$Q$35,IF(OR(Q409="Tanker",Q409="Gas tanker",Q409="Oil tanker"),Alukset_fx!$Q$57,IF(Q409="Chemical tanker",Alukset_fx!$Q$56,IF(OR(Q409="Tugboat",Q409="Barge"),0,IF(Q409="Other vessel",Alukset_fx!$Q$54,IF(Q409="Container ship",Alukset_fx!$Q$37,IF(OR(Q409="RoPax",Q409="RoRo",Q409="Vehicle carrier"),Alukset_fx!$Q$55,0))))))))</f>
        <v>0</v>
      </c>
      <c r="Z409" t="str">
        <f t="shared" si="80"/>
        <v>MDO/MGO</v>
      </c>
      <c r="AA409" t="str">
        <f t="shared" si="81"/>
        <v>MSD</v>
      </c>
      <c r="AB409" t="str">
        <f t="shared" si="82"/>
        <v>MDO/MGO</v>
      </c>
      <c r="AC409" t="str">
        <f t="shared" si="83"/>
        <v>MSD</v>
      </c>
      <c r="AD409" t="str">
        <f t="shared" si="84"/>
        <v>MDO/MGO</v>
      </c>
      <c r="AE409" t="str">
        <f t="shared" si="85"/>
        <v>ST</v>
      </c>
      <c r="AG409">
        <f>Alukset_Käynnit!O416</f>
        <v>0</v>
      </c>
      <c r="AH409" s="207">
        <f>IF(AA409="SSD",((U409*Alukset_fx!$B$24)*Alukset_Käynnit_Lask!W409*(Alukset_fx!$K$49)/1000),IF(AA409="MSD",((U409*Alukset_fx!$B$24)*Alukset_Käynnit_Lask!W409*(Alukset_fx!$K$52)/1000),IF(AA409="HSD",((U409*Alukset_fx!$B$24)*Alukset_Käynnit_Lask!W409*(Alukset_fx!$K$55)/1000),0)))</f>
        <v>0</v>
      </c>
      <c r="AI409" s="207">
        <f>IF(AC409="MSD",((V409*Alukset_fx!$B$25)*Alukset_Käynnit_Lask!W409*(Alukset_fx!$L$52)/1000),IF(AC409="HSD",((V409*Alukset_fx!$B$25)*Alukset_Käynnit_Lask!W409*(Alukset_fx!$L$55)/1000),0))</f>
        <v>0</v>
      </c>
      <c r="AJ409" s="207">
        <f>X409*W409*Alukset_fx!$K$61/1000</f>
        <v>0</v>
      </c>
      <c r="AK409">
        <v>0</v>
      </c>
      <c r="AL409" s="207">
        <f>IF(AG409="Käytetty",0,IF(AC409="MSD",((V409*Alukset_fx!$O$25)*Alukset_Käynnit_Lask!O409*(Alukset_fx!$L$52)/1000),IF(AC409="HSD",((V409*Alukset_fx!$O$25)*Alukset_Käynnit_Lask!O409*(Alukset_fx!$L$55)/1000),0)))</f>
        <v>0</v>
      </c>
      <c r="AM409" s="207">
        <f>IF(AG409="Käytetty",0,Y409*O409*Alukset_fx!$K$61/1000)</f>
        <v>0</v>
      </c>
      <c r="AN409" s="213">
        <f t="shared" si="86"/>
        <v>0</v>
      </c>
    </row>
    <row r="410" spans="1:40" x14ac:dyDescent="0.25">
      <c r="A410" s="203">
        <f>Alukset_Käynnit!A417</f>
        <v>0</v>
      </c>
      <c r="B410" s="203">
        <f>Alukset_Käynnit!B417</f>
        <v>0</v>
      </c>
      <c r="C410" s="262">
        <f>Alukset_Käynnit!C417</f>
        <v>0</v>
      </c>
      <c r="D410" s="266">
        <f>Alukset_Käynnit!D417</f>
        <v>0</v>
      </c>
      <c r="E410" s="262">
        <f>Alukset_Käynnit!E417</f>
        <v>0</v>
      </c>
      <c r="F410" s="262">
        <f>Alukset_Käynnit!F417</f>
        <v>0</v>
      </c>
      <c r="G410" s="262">
        <f>Alukset_Käynnit!G417</f>
        <v>0</v>
      </c>
      <c r="H410" s="262">
        <f>Alukset_Käynnit!H417</f>
        <v>0</v>
      </c>
      <c r="I410" s="262">
        <f>Alukset_Käynnit!I417</f>
        <v>0</v>
      </c>
      <c r="J410" s="262">
        <f>Alukset_Käynnit!J417</f>
        <v>0</v>
      </c>
      <c r="K410" s="262">
        <f>Alukset_Käynnit!K417</f>
        <v>0</v>
      </c>
      <c r="L410" s="205">
        <f>Alukset_Käynnit!L417</f>
        <v>0</v>
      </c>
      <c r="N410" s="273">
        <f t="shared" si="87"/>
        <v>0</v>
      </c>
      <c r="O410" s="274">
        <f t="shared" si="88"/>
        <v>0</v>
      </c>
      <c r="Q410" s="204">
        <f t="shared" si="77"/>
        <v>0</v>
      </c>
      <c r="R410" s="202">
        <f>IF(Q410="Other dry cargo",L410*Alukset_fx!$B$71,IF(OR(Q410="Dry bulk",Q410="Bulk carrier"),L410*Alukset_fx!$B$69,IF(Q410="Tugboat",L410*Alukset_fx!$B$76,IF(OR(Q410="Tanker",Q410="Gas tanker",Q410="Chemical tanker",Q410="Oil tanker"),L410*Alukset_fx!$B$68,IF(OR(Q410="RoRo",Q410="Vehicle carrier"),L410*Alukset_fx!$B$72,IF(Q410="RoPax",L410*Alukset_fx!$B$73,IF(Q410="Container ship",L410*Alukset_fx!$B$70,IF(Q410="Barge",0,L410*Alukset_fx!$B$75))))))))</f>
        <v>0</v>
      </c>
      <c r="S410" s="210">
        <f>IF(L410=0,IF(Q410="Other dry cargo",Alukset_fx!$H$73*(Alukset_Käynnit_Lask!K410^Alukset_fx!$I$73),IF(OR(Q410="Dry Bulk",Q410="Bulk carrier"),Alukset_fx!$H$71*(Alukset_Käynnit_Lask!K410^Alukset_fx!$I$71),IF(Q410="Tugboat",Alukset_fx!$H$78*(Alukset_Käynnit_Lask!K410^Alukset_fx!$I$78),IF(OR(Q410="Tanker",Q410="Gas tanker",Q410="Chemical tanker",Q410="Oil tanker"),Alukset_fx!$H$70*(Alukset_Käynnit_Lask!K410^Alukset_fx!$I$70),IF(Q410="Container ship",Alukset_fx!$H$72*(Alukset_Käynnit_Lask!K410^Alukset_fx!$I$72),IF(Q410="Barge",0,IF(Q410="RoPax",Alukset_fx!$H$75*(Alukset_Käynnit_Lask!K410^Alukset_fx!$I$75),IF(OR(Q410="RoRo",Q410="Vehicle carrier"),Alukset_fx!$H$74*(Alukset_Käynnit_Lask!K410^Alukset_fx!$I$74),Alukset_fx!$H$77*(Alukset_Käynnit_Lask!K410^Alukset_fx!$I$77))))))))),"-")</f>
        <v>0</v>
      </c>
      <c r="T410" s="208">
        <f>IF(R410=0,IF(Q410="Other dry cargo",S410*Alukset_fx!$B$71,IF(OR(Q410="Dry bulk",Q410="Bulk carrier"),S410*Alukset_fx!$B$69,IF(Q410="Tugboat",S410*Alukset_fx!$B$76,IF(OR(Q410="Tanker",Q410="Gas tanker",Q410="Chemical tanker",Q410="Oil tanker"),S410*Alukset_fx!$B$68,IF(OR(Q410="RoRo",Q410="Vehicle carrier"),S410*Alukset_fx!$B$72,IF(Q410="RoPax",S410*Alukset_fx!$B$73,IF(Q410="Container ship",S410*Alukset_fx!$B$70,S410*Alukset_fx!$B$75))))))),"-")</f>
        <v>0</v>
      </c>
      <c r="U410" s="208">
        <f t="shared" si="78"/>
        <v>0</v>
      </c>
      <c r="V410" s="208">
        <f t="shared" si="79"/>
        <v>0</v>
      </c>
      <c r="W410" s="202">
        <f>Alukset_Käynnit!N417</f>
        <v>0</v>
      </c>
      <c r="X410" s="211">
        <f>IF(Q410="Other dry cargo", Alukset_fx!$C$52, IF(OR(Q410="Dry bulk",Q410="Bulk carrier"),Alukset_fx!$C$35,IF(OR(Q410="Tanker",Q410="Gas tanker",Q410="Oil tanker"),Alukset_fx!$C$57,IF(Q410="Chemical tanker",Alukset_fx!$C$56,IF(OR(Q410="Tugboat",Q410="Barge"),0,IF(Q410="Other vessel",Alukset_fx!$C$54,IF(Q410="Container ship",Alukset_fx!$C$37,IF(OR(Q410="RoPax",Q410="RoRo",Q410="Vehicle carrier"),Alukset_fx!$C$55,0))))))))</f>
        <v>0</v>
      </c>
      <c r="Y410" s="211">
        <f>IF(Q410="Other dry cargo", Alukset_fx!$Q$52, IF(OR(Q410="Dry bulk",Q410="Bulk carrier"),Alukset_fx!$Q$35,IF(OR(Q410="Tanker",Q410="Gas tanker",Q410="Oil tanker"),Alukset_fx!$Q$57,IF(Q410="Chemical tanker",Alukset_fx!$Q$56,IF(OR(Q410="Tugboat",Q410="Barge"),0,IF(Q410="Other vessel",Alukset_fx!$Q$54,IF(Q410="Container ship",Alukset_fx!$Q$37,IF(OR(Q410="RoPax",Q410="RoRo",Q410="Vehicle carrier"),Alukset_fx!$Q$55,0))))))))</f>
        <v>0</v>
      </c>
      <c r="Z410" t="str">
        <f t="shared" si="80"/>
        <v>MDO/MGO</v>
      </c>
      <c r="AA410" t="str">
        <f t="shared" si="81"/>
        <v>MSD</v>
      </c>
      <c r="AB410" t="str">
        <f t="shared" si="82"/>
        <v>MDO/MGO</v>
      </c>
      <c r="AC410" t="str">
        <f t="shared" si="83"/>
        <v>MSD</v>
      </c>
      <c r="AD410" t="str">
        <f t="shared" si="84"/>
        <v>MDO/MGO</v>
      </c>
      <c r="AE410" t="str">
        <f t="shared" si="85"/>
        <v>ST</v>
      </c>
      <c r="AG410">
        <f>Alukset_Käynnit!O417</f>
        <v>0</v>
      </c>
      <c r="AH410" s="207">
        <f>IF(AA410="SSD",((U410*Alukset_fx!$B$24)*Alukset_Käynnit_Lask!W410*(Alukset_fx!$K$49)/1000),IF(AA410="MSD",((U410*Alukset_fx!$B$24)*Alukset_Käynnit_Lask!W410*(Alukset_fx!$K$52)/1000),IF(AA410="HSD",((U410*Alukset_fx!$B$24)*Alukset_Käynnit_Lask!W410*(Alukset_fx!$K$55)/1000),0)))</f>
        <v>0</v>
      </c>
      <c r="AI410" s="207">
        <f>IF(AC410="MSD",((V410*Alukset_fx!$B$25)*Alukset_Käynnit_Lask!W410*(Alukset_fx!$L$52)/1000),IF(AC410="HSD",((V410*Alukset_fx!$B$25)*Alukset_Käynnit_Lask!W410*(Alukset_fx!$L$55)/1000),0))</f>
        <v>0</v>
      </c>
      <c r="AJ410" s="207">
        <f>X410*W410*Alukset_fx!$K$61/1000</f>
        <v>0</v>
      </c>
      <c r="AK410">
        <v>0</v>
      </c>
      <c r="AL410" s="207">
        <f>IF(AG410="Käytetty",0,IF(AC410="MSD",((V410*Alukset_fx!$O$25)*Alukset_Käynnit_Lask!O410*(Alukset_fx!$L$52)/1000),IF(AC410="HSD",((V410*Alukset_fx!$O$25)*Alukset_Käynnit_Lask!O410*(Alukset_fx!$L$55)/1000),0)))</f>
        <v>0</v>
      </c>
      <c r="AM410" s="207">
        <f>IF(AG410="Käytetty",0,Y410*O410*Alukset_fx!$K$61/1000)</f>
        <v>0</v>
      </c>
      <c r="AN410" s="213">
        <f t="shared" si="86"/>
        <v>0</v>
      </c>
    </row>
    <row r="411" spans="1:40" x14ac:dyDescent="0.25">
      <c r="A411" s="203">
        <f>Alukset_Käynnit!A418</f>
        <v>0</v>
      </c>
      <c r="B411" s="203">
        <f>Alukset_Käynnit!B418</f>
        <v>0</v>
      </c>
      <c r="C411" s="262">
        <f>Alukset_Käynnit!C418</f>
        <v>0</v>
      </c>
      <c r="D411" s="266">
        <f>Alukset_Käynnit!D418</f>
        <v>0</v>
      </c>
      <c r="E411" s="262">
        <f>Alukset_Käynnit!E418</f>
        <v>0</v>
      </c>
      <c r="F411" s="262">
        <f>Alukset_Käynnit!F418</f>
        <v>0</v>
      </c>
      <c r="G411" s="262">
        <f>Alukset_Käynnit!G418</f>
        <v>0</v>
      </c>
      <c r="H411" s="262">
        <f>Alukset_Käynnit!H418</f>
        <v>0</v>
      </c>
      <c r="I411" s="262">
        <f>Alukset_Käynnit!I418</f>
        <v>0</v>
      </c>
      <c r="J411" s="262">
        <f>Alukset_Käynnit!J418</f>
        <v>0</v>
      </c>
      <c r="K411" s="262">
        <f>Alukset_Käynnit!K418</f>
        <v>0</v>
      </c>
      <c r="L411" s="205">
        <f>Alukset_Käynnit!L418</f>
        <v>0</v>
      </c>
      <c r="N411" s="273">
        <f t="shared" si="87"/>
        <v>0</v>
      </c>
      <c r="O411" s="274">
        <f t="shared" si="88"/>
        <v>0</v>
      </c>
      <c r="Q411" s="204">
        <f t="shared" si="77"/>
        <v>0</v>
      </c>
      <c r="R411" s="202">
        <f>IF(Q411="Other dry cargo",L411*Alukset_fx!$B$71,IF(OR(Q411="Dry bulk",Q411="Bulk carrier"),L411*Alukset_fx!$B$69,IF(Q411="Tugboat",L411*Alukset_fx!$B$76,IF(OR(Q411="Tanker",Q411="Gas tanker",Q411="Chemical tanker",Q411="Oil tanker"),L411*Alukset_fx!$B$68,IF(OR(Q411="RoRo",Q411="Vehicle carrier"),L411*Alukset_fx!$B$72,IF(Q411="RoPax",L411*Alukset_fx!$B$73,IF(Q411="Container ship",L411*Alukset_fx!$B$70,IF(Q411="Barge",0,L411*Alukset_fx!$B$75))))))))</f>
        <v>0</v>
      </c>
      <c r="S411" s="210">
        <f>IF(L411=0,IF(Q411="Other dry cargo",Alukset_fx!$H$73*(Alukset_Käynnit_Lask!K411^Alukset_fx!$I$73),IF(OR(Q411="Dry Bulk",Q411="Bulk carrier"),Alukset_fx!$H$71*(Alukset_Käynnit_Lask!K411^Alukset_fx!$I$71),IF(Q411="Tugboat",Alukset_fx!$H$78*(Alukset_Käynnit_Lask!K411^Alukset_fx!$I$78),IF(OR(Q411="Tanker",Q411="Gas tanker",Q411="Chemical tanker",Q411="Oil tanker"),Alukset_fx!$H$70*(Alukset_Käynnit_Lask!K411^Alukset_fx!$I$70),IF(Q411="Container ship",Alukset_fx!$H$72*(Alukset_Käynnit_Lask!K411^Alukset_fx!$I$72),IF(Q411="Barge",0,IF(Q411="RoPax",Alukset_fx!$H$75*(Alukset_Käynnit_Lask!K411^Alukset_fx!$I$75),IF(OR(Q411="RoRo",Q411="Vehicle carrier"),Alukset_fx!$H$74*(Alukset_Käynnit_Lask!K411^Alukset_fx!$I$74),Alukset_fx!$H$77*(Alukset_Käynnit_Lask!K411^Alukset_fx!$I$77))))))))),"-")</f>
        <v>0</v>
      </c>
      <c r="T411" s="208">
        <f>IF(R411=0,IF(Q411="Other dry cargo",S411*Alukset_fx!$B$71,IF(OR(Q411="Dry bulk",Q411="Bulk carrier"),S411*Alukset_fx!$B$69,IF(Q411="Tugboat",S411*Alukset_fx!$B$76,IF(OR(Q411="Tanker",Q411="Gas tanker",Q411="Chemical tanker",Q411="Oil tanker"),S411*Alukset_fx!$B$68,IF(OR(Q411="RoRo",Q411="Vehicle carrier"),S411*Alukset_fx!$B$72,IF(Q411="RoPax",S411*Alukset_fx!$B$73,IF(Q411="Container ship",S411*Alukset_fx!$B$70,S411*Alukset_fx!$B$75))))))),"-")</f>
        <v>0</v>
      </c>
      <c r="U411" s="208">
        <f t="shared" si="78"/>
        <v>0</v>
      </c>
      <c r="V411" s="208">
        <f t="shared" si="79"/>
        <v>0</v>
      </c>
      <c r="W411" s="202">
        <f>Alukset_Käynnit!N418</f>
        <v>0</v>
      </c>
      <c r="X411" s="211">
        <f>IF(Q411="Other dry cargo", Alukset_fx!$C$52, IF(OR(Q411="Dry bulk",Q411="Bulk carrier"),Alukset_fx!$C$35,IF(OR(Q411="Tanker",Q411="Gas tanker",Q411="Oil tanker"),Alukset_fx!$C$57,IF(Q411="Chemical tanker",Alukset_fx!$C$56,IF(OR(Q411="Tugboat",Q411="Barge"),0,IF(Q411="Other vessel",Alukset_fx!$C$54,IF(Q411="Container ship",Alukset_fx!$C$37,IF(OR(Q411="RoPax",Q411="RoRo",Q411="Vehicle carrier"),Alukset_fx!$C$55,0))))))))</f>
        <v>0</v>
      </c>
      <c r="Y411" s="211">
        <f>IF(Q411="Other dry cargo", Alukset_fx!$Q$52, IF(OR(Q411="Dry bulk",Q411="Bulk carrier"),Alukset_fx!$Q$35,IF(OR(Q411="Tanker",Q411="Gas tanker",Q411="Oil tanker"),Alukset_fx!$Q$57,IF(Q411="Chemical tanker",Alukset_fx!$Q$56,IF(OR(Q411="Tugboat",Q411="Barge"),0,IF(Q411="Other vessel",Alukset_fx!$Q$54,IF(Q411="Container ship",Alukset_fx!$Q$37,IF(OR(Q411="RoPax",Q411="RoRo",Q411="Vehicle carrier"),Alukset_fx!$Q$55,0))))))))</f>
        <v>0</v>
      </c>
      <c r="Z411" t="str">
        <f t="shared" si="80"/>
        <v>MDO/MGO</v>
      </c>
      <c r="AA411" t="str">
        <f t="shared" si="81"/>
        <v>MSD</v>
      </c>
      <c r="AB411" t="str">
        <f t="shared" si="82"/>
        <v>MDO/MGO</v>
      </c>
      <c r="AC411" t="str">
        <f t="shared" si="83"/>
        <v>MSD</v>
      </c>
      <c r="AD411" t="str">
        <f t="shared" si="84"/>
        <v>MDO/MGO</v>
      </c>
      <c r="AE411" t="str">
        <f t="shared" si="85"/>
        <v>ST</v>
      </c>
      <c r="AG411">
        <f>Alukset_Käynnit!O418</f>
        <v>0</v>
      </c>
      <c r="AH411" s="207">
        <f>IF(AA411="SSD",((U411*Alukset_fx!$B$24)*Alukset_Käynnit_Lask!W411*(Alukset_fx!$K$49)/1000),IF(AA411="MSD",((U411*Alukset_fx!$B$24)*Alukset_Käynnit_Lask!W411*(Alukset_fx!$K$52)/1000),IF(AA411="HSD",((U411*Alukset_fx!$B$24)*Alukset_Käynnit_Lask!W411*(Alukset_fx!$K$55)/1000),0)))</f>
        <v>0</v>
      </c>
      <c r="AI411" s="207">
        <f>IF(AC411="MSD",((V411*Alukset_fx!$B$25)*Alukset_Käynnit_Lask!W411*(Alukset_fx!$L$52)/1000),IF(AC411="HSD",((V411*Alukset_fx!$B$25)*Alukset_Käynnit_Lask!W411*(Alukset_fx!$L$55)/1000),0))</f>
        <v>0</v>
      </c>
      <c r="AJ411" s="207">
        <f>X411*W411*Alukset_fx!$K$61/1000</f>
        <v>0</v>
      </c>
      <c r="AK411">
        <v>0</v>
      </c>
      <c r="AL411" s="207">
        <f>IF(AG411="Käytetty",0,IF(AC411="MSD",((V411*Alukset_fx!$O$25)*Alukset_Käynnit_Lask!O411*(Alukset_fx!$L$52)/1000),IF(AC411="HSD",((V411*Alukset_fx!$O$25)*Alukset_Käynnit_Lask!O411*(Alukset_fx!$L$55)/1000),0)))</f>
        <v>0</v>
      </c>
      <c r="AM411" s="207">
        <f>IF(AG411="Käytetty",0,Y411*O411*Alukset_fx!$K$61/1000)</f>
        <v>0</v>
      </c>
      <c r="AN411" s="213">
        <f t="shared" si="86"/>
        <v>0</v>
      </c>
    </row>
    <row r="412" spans="1:40" x14ac:dyDescent="0.25">
      <c r="A412" s="203">
        <f>Alukset_Käynnit!A419</f>
        <v>0</v>
      </c>
      <c r="B412" s="203">
        <f>Alukset_Käynnit!B419</f>
        <v>0</v>
      </c>
      <c r="C412" s="262">
        <f>Alukset_Käynnit!C419</f>
        <v>0</v>
      </c>
      <c r="D412" s="266">
        <f>Alukset_Käynnit!D419</f>
        <v>0</v>
      </c>
      <c r="E412" s="262">
        <f>Alukset_Käynnit!E419</f>
        <v>0</v>
      </c>
      <c r="F412" s="262">
        <f>Alukset_Käynnit!F419</f>
        <v>0</v>
      </c>
      <c r="G412" s="262">
        <f>Alukset_Käynnit!G419</f>
        <v>0</v>
      </c>
      <c r="H412" s="262">
        <f>Alukset_Käynnit!H419</f>
        <v>0</v>
      </c>
      <c r="I412" s="262">
        <f>Alukset_Käynnit!I419</f>
        <v>0</v>
      </c>
      <c r="J412" s="262">
        <f>Alukset_Käynnit!J419</f>
        <v>0</v>
      </c>
      <c r="K412" s="262">
        <f>Alukset_Käynnit!K419</f>
        <v>0</v>
      </c>
      <c r="L412" s="205">
        <f>Alukset_Käynnit!L419</f>
        <v>0</v>
      </c>
      <c r="N412" s="273">
        <f t="shared" si="87"/>
        <v>0</v>
      </c>
      <c r="O412" s="274">
        <f t="shared" si="88"/>
        <v>0</v>
      </c>
      <c r="Q412" s="204">
        <f t="shared" si="77"/>
        <v>0</v>
      </c>
      <c r="R412" s="202">
        <f>IF(Q412="Other dry cargo",L412*Alukset_fx!$B$71,IF(OR(Q412="Dry bulk",Q412="Bulk carrier"),L412*Alukset_fx!$B$69,IF(Q412="Tugboat",L412*Alukset_fx!$B$76,IF(OR(Q412="Tanker",Q412="Gas tanker",Q412="Chemical tanker",Q412="Oil tanker"),L412*Alukset_fx!$B$68,IF(OR(Q412="RoRo",Q412="Vehicle carrier"),L412*Alukset_fx!$B$72,IF(Q412="RoPax",L412*Alukset_fx!$B$73,IF(Q412="Container ship",L412*Alukset_fx!$B$70,IF(Q412="Barge",0,L412*Alukset_fx!$B$75))))))))</f>
        <v>0</v>
      </c>
      <c r="S412" s="210">
        <f>IF(L412=0,IF(Q412="Other dry cargo",Alukset_fx!$H$73*(Alukset_Käynnit_Lask!K412^Alukset_fx!$I$73),IF(OR(Q412="Dry Bulk",Q412="Bulk carrier"),Alukset_fx!$H$71*(Alukset_Käynnit_Lask!K412^Alukset_fx!$I$71),IF(Q412="Tugboat",Alukset_fx!$H$78*(Alukset_Käynnit_Lask!K412^Alukset_fx!$I$78),IF(OR(Q412="Tanker",Q412="Gas tanker",Q412="Chemical tanker",Q412="Oil tanker"),Alukset_fx!$H$70*(Alukset_Käynnit_Lask!K412^Alukset_fx!$I$70),IF(Q412="Container ship",Alukset_fx!$H$72*(Alukset_Käynnit_Lask!K412^Alukset_fx!$I$72),IF(Q412="Barge",0,IF(Q412="RoPax",Alukset_fx!$H$75*(Alukset_Käynnit_Lask!K412^Alukset_fx!$I$75),IF(OR(Q412="RoRo",Q412="Vehicle carrier"),Alukset_fx!$H$74*(Alukset_Käynnit_Lask!K412^Alukset_fx!$I$74),Alukset_fx!$H$77*(Alukset_Käynnit_Lask!K412^Alukset_fx!$I$77))))))))),"-")</f>
        <v>0</v>
      </c>
      <c r="T412" s="208">
        <f>IF(R412=0,IF(Q412="Other dry cargo",S412*Alukset_fx!$B$71,IF(OR(Q412="Dry bulk",Q412="Bulk carrier"),S412*Alukset_fx!$B$69,IF(Q412="Tugboat",S412*Alukset_fx!$B$76,IF(OR(Q412="Tanker",Q412="Gas tanker",Q412="Chemical tanker",Q412="Oil tanker"),S412*Alukset_fx!$B$68,IF(OR(Q412="RoRo",Q412="Vehicle carrier"),S412*Alukset_fx!$B$72,IF(Q412="RoPax",S412*Alukset_fx!$B$73,IF(Q412="Container ship",S412*Alukset_fx!$B$70,S412*Alukset_fx!$B$75))))))),"-")</f>
        <v>0</v>
      </c>
      <c r="U412" s="208">
        <f t="shared" si="78"/>
        <v>0</v>
      </c>
      <c r="V412" s="208">
        <f t="shared" si="79"/>
        <v>0</v>
      </c>
      <c r="W412" s="202">
        <f>Alukset_Käynnit!N419</f>
        <v>0</v>
      </c>
      <c r="X412" s="211">
        <f>IF(Q412="Other dry cargo", Alukset_fx!$C$52, IF(OR(Q412="Dry bulk",Q412="Bulk carrier"),Alukset_fx!$C$35,IF(OR(Q412="Tanker",Q412="Gas tanker",Q412="Oil tanker"),Alukset_fx!$C$57,IF(Q412="Chemical tanker",Alukset_fx!$C$56,IF(OR(Q412="Tugboat",Q412="Barge"),0,IF(Q412="Other vessel",Alukset_fx!$C$54,IF(Q412="Container ship",Alukset_fx!$C$37,IF(OR(Q412="RoPax",Q412="RoRo",Q412="Vehicle carrier"),Alukset_fx!$C$55,0))))))))</f>
        <v>0</v>
      </c>
      <c r="Y412" s="211">
        <f>IF(Q412="Other dry cargo", Alukset_fx!$Q$52, IF(OR(Q412="Dry bulk",Q412="Bulk carrier"),Alukset_fx!$Q$35,IF(OR(Q412="Tanker",Q412="Gas tanker",Q412="Oil tanker"),Alukset_fx!$Q$57,IF(Q412="Chemical tanker",Alukset_fx!$Q$56,IF(OR(Q412="Tugboat",Q412="Barge"),0,IF(Q412="Other vessel",Alukset_fx!$Q$54,IF(Q412="Container ship",Alukset_fx!$Q$37,IF(OR(Q412="RoPax",Q412="RoRo",Q412="Vehicle carrier"),Alukset_fx!$Q$55,0))))))))</f>
        <v>0</v>
      </c>
      <c r="Z412" t="str">
        <f t="shared" si="80"/>
        <v>MDO/MGO</v>
      </c>
      <c r="AA412" t="str">
        <f t="shared" si="81"/>
        <v>MSD</v>
      </c>
      <c r="AB412" t="str">
        <f t="shared" si="82"/>
        <v>MDO/MGO</v>
      </c>
      <c r="AC412" t="str">
        <f t="shared" si="83"/>
        <v>MSD</v>
      </c>
      <c r="AD412" t="str">
        <f t="shared" si="84"/>
        <v>MDO/MGO</v>
      </c>
      <c r="AE412" t="str">
        <f t="shared" si="85"/>
        <v>ST</v>
      </c>
      <c r="AG412">
        <f>Alukset_Käynnit!O419</f>
        <v>0</v>
      </c>
      <c r="AH412" s="207">
        <f>IF(AA412="SSD",((U412*Alukset_fx!$B$24)*Alukset_Käynnit_Lask!W412*(Alukset_fx!$K$49)/1000),IF(AA412="MSD",((U412*Alukset_fx!$B$24)*Alukset_Käynnit_Lask!W412*(Alukset_fx!$K$52)/1000),IF(AA412="HSD",((U412*Alukset_fx!$B$24)*Alukset_Käynnit_Lask!W412*(Alukset_fx!$K$55)/1000),0)))</f>
        <v>0</v>
      </c>
      <c r="AI412" s="207">
        <f>IF(AC412="MSD",((V412*Alukset_fx!$B$25)*Alukset_Käynnit_Lask!W412*(Alukset_fx!$L$52)/1000),IF(AC412="HSD",((V412*Alukset_fx!$B$25)*Alukset_Käynnit_Lask!W412*(Alukset_fx!$L$55)/1000),0))</f>
        <v>0</v>
      </c>
      <c r="AJ412" s="207">
        <f>X412*W412*Alukset_fx!$K$61/1000</f>
        <v>0</v>
      </c>
      <c r="AK412">
        <v>0</v>
      </c>
      <c r="AL412" s="207">
        <f>IF(AG412="Käytetty",0,IF(AC412="MSD",((V412*Alukset_fx!$O$25)*Alukset_Käynnit_Lask!O412*(Alukset_fx!$L$52)/1000),IF(AC412="HSD",((V412*Alukset_fx!$O$25)*Alukset_Käynnit_Lask!O412*(Alukset_fx!$L$55)/1000),0)))</f>
        <v>0</v>
      </c>
      <c r="AM412" s="207">
        <f>IF(AG412="Käytetty",0,Y412*O412*Alukset_fx!$K$61/1000)</f>
        <v>0</v>
      </c>
      <c r="AN412" s="213">
        <f t="shared" si="86"/>
        <v>0</v>
      </c>
    </row>
    <row r="413" spans="1:40" x14ac:dyDescent="0.25">
      <c r="A413" s="203">
        <f>Alukset_Käynnit!A420</f>
        <v>0</v>
      </c>
      <c r="B413" s="203">
        <f>Alukset_Käynnit!B420</f>
        <v>0</v>
      </c>
      <c r="C413" s="262">
        <f>Alukset_Käynnit!C420</f>
        <v>0</v>
      </c>
      <c r="D413" s="266">
        <f>Alukset_Käynnit!D420</f>
        <v>0</v>
      </c>
      <c r="E413" s="262">
        <f>Alukset_Käynnit!E420</f>
        <v>0</v>
      </c>
      <c r="F413" s="262">
        <f>Alukset_Käynnit!F420</f>
        <v>0</v>
      </c>
      <c r="G413" s="262">
        <f>Alukset_Käynnit!G420</f>
        <v>0</v>
      </c>
      <c r="H413" s="262">
        <f>Alukset_Käynnit!H420</f>
        <v>0</v>
      </c>
      <c r="I413" s="262">
        <f>Alukset_Käynnit!I420</f>
        <v>0</v>
      </c>
      <c r="J413" s="262">
        <f>Alukset_Käynnit!J420</f>
        <v>0</v>
      </c>
      <c r="K413" s="262">
        <f>Alukset_Käynnit!K420</f>
        <v>0</v>
      </c>
      <c r="L413" s="205">
        <f>Alukset_Käynnit!L420</f>
        <v>0</v>
      </c>
      <c r="N413" s="273">
        <f t="shared" si="87"/>
        <v>0</v>
      </c>
      <c r="O413" s="274">
        <f t="shared" si="88"/>
        <v>0</v>
      </c>
      <c r="Q413" s="204">
        <f t="shared" si="77"/>
        <v>0</v>
      </c>
      <c r="R413" s="202">
        <f>IF(Q413="Other dry cargo",L413*Alukset_fx!$B$71,IF(OR(Q413="Dry bulk",Q413="Bulk carrier"),L413*Alukset_fx!$B$69,IF(Q413="Tugboat",L413*Alukset_fx!$B$76,IF(OR(Q413="Tanker",Q413="Gas tanker",Q413="Chemical tanker",Q413="Oil tanker"),L413*Alukset_fx!$B$68,IF(OR(Q413="RoRo",Q413="Vehicle carrier"),L413*Alukset_fx!$B$72,IF(Q413="RoPax",L413*Alukset_fx!$B$73,IF(Q413="Container ship",L413*Alukset_fx!$B$70,IF(Q413="Barge",0,L413*Alukset_fx!$B$75))))))))</f>
        <v>0</v>
      </c>
      <c r="S413" s="210">
        <f>IF(L413=0,IF(Q413="Other dry cargo",Alukset_fx!$H$73*(Alukset_Käynnit_Lask!K413^Alukset_fx!$I$73),IF(OR(Q413="Dry Bulk",Q413="Bulk carrier"),Alukset_fx!$H$71*(Alukset_Käynnit_Lask!K413^Alukset_fx!$I$71),IF(Q413="Tugboat",Alukset_fx!$H$78*(Alukset_Käynnit_Lask!K413^Alukset_fx!$I$78),IF(OR(Q413="Tanker",Q413="Gas tanker",Q413="Chemical tanker",Q413="Oil tanker"),Alukset_fx!$H$70*(Alukset_Käynnit_Lask!K413^Alukset_fx!$I$70),IF(Q413="Container ship",Alukset_fx!$H$72*(Alukset_Käynnit_Lask!K413^Alukset_fx!$I$72),IF(Q413="Barge",0,IF(Q413="RoPax",Alukset_fx!$H$75*(Alukset_Käynnit_Lask!K413^Alukset_fx!$I$75),IF(OR(Q413="RoRo",Q413="Vehicle carrier"),Alukset_fx!$H$74*(Alukset_Käynnit_Lask!K413^Alukset_fx!$I$74),Alukset_fx!$H$77*(Alukset_Käynnit_Lask!K413^Alukset_fx!$I$77))))))))),"-")</f>
        <v>0</v>
      </c>
      <c r="T413" s="208">
        <f>IF(R413=0,IF(Q413="Other dry cargo",S413*Alukset_fx!$B$71,IF(OR(Q413="Dry bulk",Q413="Bulk carrier"),S413*Alukset_fx!$B$69,IF(Q413="Tugboat",S413*Alukset_fx!$B$76,IF(OR(Q413="Tanker",Q413="Gas tanker",Q413="Chemical tanker",Q413="Oil tanker"),S413*Alukset_fx!$B$68,IF(OR(Q413="RoRo",Q413="Vehicle carrier"),S413*Alukset_fx!$B$72,IF(Q413="RoPax",S413*Alukset_fx!$B$73,IF(Q413="Container ship",S413*Alukset_fx!$B$70,S413*Alukset_fx!$B$75))))))),"-")</f>
        <v>0</v>
      </c>
      <c r="U413" s="208">
        <f t="shared" si="78"/>
        <v>0</v>
      </c>
      <c r="V413" s="208">
        <f t="shared" si="79"/>
        <v>0</v>
      </c>
      <c r="W413" s="202">
        <f>Alukset_Käynnit!N420</f>
        <v>0</v>
      </c>
      <c r="X413" s="211">
        <f>IF(Q413="Other dry cargo", Alukset_fx!$C$52, IF(OR(Q413="Dry bulk",Q413="Bulk carrier"),Alukset_fx!$C$35,IF(OR(Q413="Tanker",Q413="Gas tanker",Q413="Oil tanker"),Alukset_fx!$C$57,IF(Q413="Chemical tanker",Alukset_fx!$C$56,IF(OR(Q413="Tugboat",Q413="Barge"),0,IF(Q413="Other vessel",Alukset_fx!$C$54,IF(Q413="Container ship",Alukset_fx!$C$37,IF(OR(Q413="RoPax",Q413="RoRo",Q413="Vehicle carrier"),Alukset_fx!$C$55,0))))))))</f>
        <v>0</v>
      </c>
      <c r="Y413" s="211">
        <f>IF(Q413="Other dry cargo", Alukset_fx!$Q$52, IF(OR(Q413="Dry bulk",Q413="Bulk carrier"),Alukset_fx!$Q$35,IF(OR(Q413="Tanker",Q413="Gas tanker",Q413="Oil tanker"),Alukset_fx!$Q$57,IF(Q413="Chemical tanker",Alukset_fx!$Q$56,IF(OR(Q413="Tugboat",Q413="Barge"),0,IF(Q413="Other vessel",Alukset_fx!$Q$54,IF(Q413="Container ship",Alukset_fx!$Q$37,IF(OR(Q413="RoPax",Q413="RoRo",Q413="Vehicle carrier"),Alukset_fx!$Q$55,0))))))))</f>
        <v>0</v>
      </c>
      <c r="Z413" t="str">
        <f t="shared" si="80"/>
        <v>MDO/MGO</v>
      </c>
      <c r="AA413" t="str">
        <f t="shared" si="81"/>
        <v>MSD</v>
      </c>
      <c r="AB413" t="str">
        <f t="shared" si="82"/>
        <v>MDO/MGO</v>
      </c>
      <c r="AC413" t="str">
        <f t="shared" si="83"/>
        <v>MSD</v>
      </c>
      <c r="AD413" t="str">
        <f t="shared" si="84"/>
        <v>MDO/MGO</v>
      </c>
      <c r="AE413" t="str">
        <f t="shared" si="85"/>
        <v>ST</v>
      </c>
      <c r="AG413">
        <f>Alukset_Käynnit!O420</f>
        <v>0</v>
      </c>
      <c r="AH413" s="207">
        <f>IF(AA413="SSD",((U413*Alukset_fx!$B$24)*Alukset_Käynnit_Lask!W413*(Alukset_fx!$K$49)/1000),IF(AA413="MSD",((U413*Alukset_fx!$B$24)*Alukset_Käynnit_Lask!W413*(Alukset_fx!$K$52)/1000),IF(AA413="HSD",((U413*Alukset_fx!$B$24)*Alukset_Käynnit_Lask!W413*(Alukset_fx!$K$55)/1000),0)))</f>
        <v>0</v>
      </c>
      <c r="AI413" s="207">
        <f>IF(AC413="MSD",((V413*Alukset_fx!$B$25)*Alukset_Käynnit_Lask!W413*(Alukset_fx!$L$52)/1000),IF(AC413="HSD",((V413*Alukset_fx!$B$25)*Alukset_Käynnit_Lask!W413*(Alukset_fx!$L$55)/1000),0))</f>
        <v>0</v>
      </c>
      <c r="AJ413" s="207">
        <f>X413*W413*Alukset_fx!$K$61/1000</f>
        <v>0</v>
      </c>
      <c r="AK413">
        <v>0</v>
      </c>
      <c r="AL413" s="207">
        <f>IF(AG413="Käytetty",0,IF(AC413="MSD",((V413*Alukset_fx!$O$25)*Alukset_Käynnit_Lask!O413*(Alukset_fx!$L$52)/1000),IF(AC413="HSD",((V413*Alukset_fx!$O$25)*Alukset_Käynnit_Lask!O413*(Alukset_fx!$L$55)/1000),0)))</f>
        <v>0</v>
      </c>
      <c r="AM413" s="207">
        <f>IF(AG413="Käytetty",0,Y413*O413*Alukset_fx!$K$61/1000)</f>
        <v>0</v>
      </c>
      <c r="AN413" s="213">
        <f t="shared" si="86"/>
        <v>0</v>
      </c>
    </row>
    <row r="414" spans="1:40" x14ac:dyDescent="0.25">
      <c r="A414" s="203">
        <f>Alukset_Käynnit!A421</f>
        <v>0</v>
      </c>
      <c r="B414" s="203">
        <f>Alukset_Käynnit!B421</f>
        <v>0</v>
      </c>
      <c r="C414" s="262">
        <f>Alukset_Käynnit!C421</f>
        <v>0</v>
      </c>
      <c r="D414" s="266">
        <f>Alukset_Käynnit!D421</f>
        <v>0</v>
      </c>
      <c r="E414" s="262">
        <f>Alukset_Käynnit!E421</f>
        <v>0</v>
      </c>
      <c r="F414" s="262">
        <f>Alukset_Käynnit!F421</f>
        <v>0</v>
      </c>
      <c r="G414" s="262">
        <f>Alukset_Käynnit!G421</f>
        <v>0</v>
      </c>
      <c r="H414" s="262">
        <f>Alukset_Käynnit!H421</f>
        <v>0</v>
      </c>
      <c r="I414" s="262">
        <f>Alukset_Käynnit!I421</f>
        <v>0</v>
      </c>
      <c r="J414" s="262">
        <f>Alukset_Käynnit!J421</f>
        <v>0</v>
      </c>
      <c r="K414" s="262">
        <f>Alukset_Käynnit!K421</f>
        <v>0</v>
      </c>
      <c r="L414" s="205">
        <f>Alukset_Käynnit!L421</f>
        <v>0</v>
      </c>
      <c r="N414" s="273">
        <f t="shared" si="87"/>
        <v>0</v>
      </c>
      <c r="O414" s="274">
        <f t="shared" si="88"/>
        <v>0</v>
      </c>
      <c r="Q414" s="204">
        <f t="shared" si="77"/>
        <v>0</v>
      </c>
      <c r="R414" s="202">
        <f>IF(Q414="Other dry cargo",L414*Alukset_fx!$B$71,IF(OR(Q414="Dry bulk",Q414="Bulk carrier"),L414*Alukset_fx!$B$69,IF(Q414="Tugboat",L414*Alukset_fx!$B$76,IF(OR(Q414="Tanker",Q414="Gas tanker",Q414="Chemical tanker",Q414="Oil tanker"),L414*Alukset_fx!$B$68,IF(OR(Q414="RoRo",Q414="Vehicle carrier"),L414*Alukset_fx!$B$72,IF(Q414="RoPax",L414*Alukset_fx!$B$73,IF(Q414="Container ship",L414*Alukset_fx!$B$70,IF(Q414="Barge",0,L414*Alukset_fx!$B$75))))))))</f>
        <v>0</v>
      </c>
      <c r="S414" s="210">
        <f>IF(L414=0,IF(Q414="Other dry cargo",Alukset_fx!$H$73*(Alukset_Käynnit_Lask!K414^Alukset_fx!$I$73),IF(OR(Q414="Dry Bulk",Q414="Bulk carrier"),Alukset_fx!$H$71*(Alukset_Käynnit_Lask!K414^Alukset_fx!$I$71),IF(Q414="Tugboat",Alukset_fx!$H$78*(Alukset_Käynnit_Lask!K414^Alukset_fx!$I$78),IF(OR(Q414="Tanker",Q414="Gas tanker",Q414="Chemical tanker",Q414="Oil tanker"),Alukset_fx!$H$70*(Alukset_Käynnit_Lask!K414^Alukset_fx!$I$70),IF(Q414="Container ship",Alukset_fx!$H$72*(Alukset_Käynnit_Lask!K414^Alukset_fx!$I$72),IF(Q414="Barge",0,IF(Q414="RoPax",Alukset_fx!$H$75*(Alukset_Käynnit_Lask!K414^Alukset_fx!$I$75),IF(OR(Q414="RoRo",Q414="Vehicle carrier"),Alukset_fx!$H$74*(Alukset_Käynnit_Lask!K414^Alukset_fx!$I$74),Alukset_fx!$H$77*(Alukset_Käynnit_Lask!K414^Alukset_fx!$I$77))))))))),"-")</f>
        <v>0</v>
      </c>
      <c r="T414" s="208">
        <f>IF(R414=0,IF(Q414="Other dry cargo",S414*Alukset_fx!$B$71,IF(OR(Q414="Dry bulk",Q414="Bulk carrier"),S414*Alukset_fx!$B$69,IF(Q414="Tugboat",S414*Alukset_fx!$B$76,IF(OR(Q414="Tanker",Q414="Gas tanker",Q414="Chemical tanker",Q414="Oil tanker"),S414*Alukset_fx!$B$68,IF(OR(Q414="RoRo",Q414="Vehicle carrier"),S414*Alukset_fx!$B$72,IF(Q414="RoPax",S414*Alukset_fx!$B$73,IF(Q414="Container ship",S414*Alukset_fx!$B$70,S414*Alukset_fx!$B$75))))))),"-")</f>
        <v>0</v>
      </c>
      <c r="U414" s="208">
        <f t="shared" si="78"/>
        <v>0</v>
      </c>
      <c r="V414" s="208">
        <f t="shared" si="79"/>
        <v>0</v>
      </c>
      <c r="W414" s="202">
        <f>Alukset_Käynnit!N421</f>
        <v>0</v>
      </c>
      <c r="X414" s="211">
        <f>IF(Q414="Other dry cargo", Alukset_fx!$C$52, IF(OR(Q414="Dry bulk",Q414="Bulk carrier"),Alukset_fx!$C$35,IF(OR(Q414="Tanker",Q414="Gas tanker",Q414="Oil tanker"),Alukset_fx!$C$57,IF(Q414="Chemical tanker",Alukset_fx!$C$56,IF(OR(Q414="Tugboat",Q414="Barge"),0,IF(Q414="Other vessel",Alukset_fx!$C$54,IF(Q414="Container ship",Alukset_fx!$C$37,IF(OR(Q414="RoPax",Q414="RoRo",Q414="Vehicle carrier"),Alukset_fx!$C$55,0))))))))</f>
        <v>0</v>
      </c>
      <c r="Y414" s="211">
        <f>IF(Q414="Other dry cargo", Alukset_fx!$Q$52, IF(OR(Q414="Dry bulk",Q414="Bulk carrier"),Alukset_fx!$Q$35,IF(OR(Q414="Tanker",Q414="Gas tanker",Q414="Oil tanker"),Alukset_fx!$Q$57,IF(Q414="Chemical tanker",Alukset_fx!$Q$56,IF(OR(Q414="Tugboat",Q414="Barge"),0,IF(Q414="Other vessel",Alukset_fx!$Q$54,IF(Q414="Container ship",Alukset_fx!$Q$37,IF(OR(Q414="RoPax",Q414="RoRo",Q414="Vehicle carrier"),Alukset_fx!$Q$55,0))))))))</f>
        <v>0</v>
      </c>
      <c r="Z414" t="str">
        <f t="shared" si="80"/>
        <v>MDO/MGO</v>
      </c>
      <c r="AA414" t="str">
        <f t="shared" si="81"/>
        <v>MSD</v>
      </c>
      <c r="AB414" t="str">
        <f t="shared" si="82"/>
        <v>MDO/MGO</v>
      </c>
      <c r="AC414" t="str">
        <f t="shared" si="83"/>
        <v>MSD</v>
      </c>
      <c r="AD414" t="str">
        <f t="shared" si="84"/>
        <v>MDO/MGO</v>
      </c>
      <c r="AE414" t="str">
        <f t="shared" si="85"/>
        <v>ST</v>
      </c>
      <c r="AG414">
        <f>Alukset_Käynnit!O421</f>
        <v>0</v>
      </c>
      <c r="AH414" s="207">
        <f>IF(AA414="SSD",((U414*Alukset_fx!$B$24)*Alukset_Käynnit_Lask!W414*(Alukset_fx!$K$49)/1000),IF(AA414="MSD",((U414*Alukset_fx!$B$24)*Alukset_Käynnit_Lask!W414*(Alukset_fx!$K$52)/1000),IF(AA414="HSD",((U414*Alukset_fx!$B$24)*Alukset_Käynnit_Lask!W414*(Alukset_fx!$K$55)/1000),0)))</f>
        <v>0</v>
      </c>
      <c r="AI414" s="207">
        <f>IF(AC414="MSD",((V414*Alukset_fx!$B$25)*Alukset_Käynnit_Lask!W414*(Alukset_fx!$L$52)/1000),IF(AC414="HSD",((V414*Alukset_fx!$B$25)*Alukset_Käynnit_Lask!W414*(Alukset_fx!$L$55)/1000),0))</f>
        <v>0</v>
      </c>
      <c r="AJ414" s="207">
        <f>X414*W414*Alukset_fx!$K$61/1000</f>
        <v>0</v>
      </c>
      <c r="AK414">
        <v>0</v>
      </c>
      <c r="AL414" s="207">
        <f>IF(AG414="Käytetty",0,IF(AC414="MSD",((V414*Alukset_fx!$O$25)*Alukset_Käynnit_Lask!O414*(Alukset_fx!$L$52)/1000),IF(AC414="HSD",((V414*Alukset_fx!$O$25)*Alukset_Käynnit_Lask!O414*(Alukset_fx!$L$55)/1000),0)))</f>
        <v>0</v>
      </c>
      <c r="AM414" s="207">
        <f>IF(AG414="Käytetty",0,Y414*O414*Alukset_fx!$K$61/1000)</f>
        <v>0</v>
      </c>
      <c r="AN414" s="213">
        <f t="shared" si="86"/>
        <v>0</v>
      </c>
    </row>
    <row r="415" spans="1:40" x14ac:dyDescent="0.25">
      <c r="A415" s="203">
        <f>Alukset_Käynnit!A422</f>
        <v>0</v>
      </c>
      <c r="B415" s="203">
        <f>Alukset_Käynnit!B422</f>
        <v>0</v>
      </c>
      <c r="C415" s="262">
        <f>Alukset_Käynnit!C422</f>
        <v>0</v>
      </c>
      <c r="D415" s="266">
        <f>Alukset_Käynnit!D422</f>
        <v>0</v>
      </c>
      <c r="E415" s="262">
        <f>Alukset_Käynnit!E422</f>
        <v>0</v>
      </c>
      <c r="F415" s="262">
        <f>Alukset_Käynnit!F422</f>
        <v>0</v>
      </c>
      <c r="G415" s="262">
        <f>Alukset_Käynnit!G422</f>
        <v>0</v>
      </c>
      <c r="H415" s="262">
        <f>Alukset_Käynnit!H422</f>
        <v>0</v>
      </c>
      <c r="I415" s="262">
        <f>Alukset_Käynnit!I422</f>
        <v>0</v>
      </c>
      <c r="J415" s="262">
        <f>Alukset_Käynnit!J422</f>
        <v>0</v>
      </c>
      <c r="K415" s="262">
        <f>Alukset_Käynnit!K422</f>
        <v>0</v>
      </c>
      <c r="L415" s="205">
        <f>Alukset_Käynnit!L422</f>
        <v>0</v>
      </c>
      <c r="N415" s="273">
        <f t="shared" si="87"/>
        <v>0</v>
      </c>
      <c r="O415" s="274">
        <f t="shared" si="88"/>
        <v>0</v>
      </c>
      <c r="Q415" s="204">
        <f t="shared" si="77"/>
        <v>0</v>
      </c>
      <c r="R415" s="202">
        <f>IF(Q415="Other dry cargo",L415*Alukset_fx!$B$71,IF(OR(Q415="Dry bulk",Q415="Bulk carrier"),L415*Alukset_fx!$B$69,IF(Q415="Tugboat",L415*Alukset_fx!$B$76,IF(OR(Q415="Tanker",Q415="Gas tanker",Q415="Chemical tanker",Q415="Oil tanker"),L415*Alukset_fx!$B$68,IF(OR(Q415="RoRo",Q415="Vehicle carrier"),L415*Alukset_fx!$B$72,IF(Q415="RoPax",L415*Alukset_fx!$B$73,IF(Q415="Container ship",L415*Alukset_fx!$B$70,IF(Q415="Barge",0,L415*Alukset_fx!$B$75))))))))</f>
        <v>0</v>
      </c>
      <c r="S415" s="210">
        <f>IF(L415=0,IF(Q415="Other dry cargo",Alukset_fx!$H$73*(Alukset_Käynnit_Lask!K415^Alukset_fx!$I$73),IF(OR(Q415="Dry Bulk",Q415="Bulk carrier"),Alukset_fx!$H$71*(Alukset_Käynnit_Lask!K415^Alukset_fx!$I$71),IF(Q415="Tugboat",Alukset_fx!$H$78*(Alukset_Käynnit_Lask!K415^Alukset_fx!$I$78),IF(OR(Q415="Tanker",Q415="Gas tanker",Q415="Chemical tanker",Q415="Oil tanker"),Alukset_fx!$H$70*(Alukset_Käynnit_Lask!K415^Alukset_fx!$I$70),IF(Q415="Container ship",Alukset_fx!$H$72*(Alukset_Käynnit_Lask!K415^Alukset_fx!$I$72),IF(Q415="Barge",0,IF(Q415="RoPax",Alukset_fx!$H$75*(Alukset_Käynnit_Lask!K415^Alukset_fx!$I$75),IF(OR(Q415="RoRo",Q415="Vehicle carrier"),Alukset_fx!$H$74*(Alukset_Käynnit_Lask!K415^Alukset_fx!$I$74),Alukset_fx!$H$77*(Alukset_Käynnit_Lask!K415^Alukset_fx!$I$77))))))))),"-")</f>
        <v>0</v>
      </c>
      <c r="T415" s="208">
        <f>IF(R415=0,IF(Q415="Other dry cargo",S415*Alukset_fx!$B$71,IF(OR(Q415="Dry bulk",Q415="Bulk carrier"),S415*Alukset_fx!$B$69,IF(Q415="Tugboat",S415*Alukset_fx!$B$76,IF(OR(Q415="Tanker",Q415="Gas tanker",Q415="Chemical tanker",Q415="Oil tanker"),S415*Alukset_fx!$B$68,IF(OR(Q415="RoRo",Q415="Vehicle carrier"),S415*Alukset_fx!$B$72,IF(Q415="RoPax",S415*Alukset_fx!$B$73,IF(Q415="Container ship",S415*Alukset_fx!$B$70,S415*Alukset_fx!$B$75))))))),"-")</f>
        <v>0</v>
      </c>
      <c r="U415" s="208">
        <f t="shared" si="78"/>
        <v>0</v>
      </c>
      <c r="V415" s="208">
        <f t="shared" si="79"/>
        <v>0</v>
      </c>
      <c r="W415" s="202">
        <f>Alukset_Käynnit!N422</f>
        <v>0</v>
      </c>
      <c r="X415" s="211">
        <f>IF(Q415="Other dry cargo", Alukset_fx!$C$52, IF(OR(Q415="Dry bulk",Q415="Bulk carrier"),Alukset_fx!$C$35,IF(OR(Q415="Tanker",Q415="Gas tanker",Q415="Oil tanker"),Alukset_fx!$C$57,IF(Q415="Chemical tanker",Alukset_fx!$C$56,IF(OR(Q415="Tugboat",Q415="Barge"),0,IF(Q415="Other vessel",Alukset_fx!$C$54,IF(Q415="Container ship",Alukset_fx!$C$37,IF(OR(Q415="RoPax",Q415="RoRo",Q415="Vehicle carrier"),Alukset_fx!$C$55,0))))))))</f>
        <v>0</v>
      </c>
      <c r="Y415" s="211">
        <f>IF(Q415="Other dry cargo", Alukset_fx!$Q$52, IF(OR(Q415="Dry bulk",Q415="Bulk carrier"),Alukset_fx!$Q$35,IF(OR(Q415="Tanker",Q415="Gas tanker",Q415="Oil tanker"),Alukset_fx!$Q$57,IF(Q415="Chemical tanker",Alukset_fx!$Q$56,IF(OR(Q415="Tugboat",Q415="Barge"),0,IF(Q415="Other vessel",Alukset_fx!$Q$54,IF(Q415="Container ship",Alukset_fx!$Q$37,IF(OR(Q415="RoPax",Q415="RoRo",Q415="Vehicle carrier"),Alukset_fx!$Q$55,0))))))))</f>
        <v>0</v>
      </c>
      <c r="Z415" t="str">
        <f t="shared" si="80"/>
        <v>MDO/MGO</v>
      </c>
      <c r="AA415" t="str">
        <f t="shared" si="81"/>
        <v>MSD</v>
      </c>
      <c r="AB415" t="str">
        <f t="shared" si="82"/>
        <v>MDO/MGO</v>
      </c>
      <c r="AC415" t="str">
        <f t="shared" si="83"/>
        <v>MSD</v>
      </c>
      <c r="AD415" t="str">
        <f t="shared" si="84"/>
        <v>MDO/MGO</v>
      </c>
      <c r="AE415" t="str">
        <f t="shared" si="85"/>
        <v>ST</v>
      </c>
      <c r="AG415">
        <f>Alukset_Käynnit!O422</f>
        <v>0</v>
      </c>
      <c r="AH415" s="207">
        <f>IF(AA415="SSD",((U415*Alukset_fx!$B$24)*Alukset_Käynnit_Lask!W415*(Alukset_fx!$K$49)/1000),IF(AA415="MSD",((U415*Alukset_fx!$B$24)*Alukset_Käynnit_Lask!W415*(Alukset_fx!$K$52)/1000),IF(AA415="HSD",((U415*Alukset_fx!$B$24)*Alukset_Käynnit_Lask!W415*(Alukset_fx!$K$55)/1000),0)))</f>
        <v>0</v>
      </c>
      <c r="AI415" s="207">
        <f>IF(AC415="MSD",((V415*Alukset_fx!$B$25)*Alukset_Käynnit_Lask!W415*(Alukset_fx!$L$52)/1000),IF(AC415="HSD",((V415*Alukset_fx!$B$25)*Alukset_Käynnit_Lask!W415*(Alukset_fx!$L$55)/1000),0))</f>
        <v>0</v>
      </c>
      <c r="AJ415" s="207">
        <f>X415*W415*Alukset_fx!$K$61/1000</f>
        <v>0</v>
      </c>
      <c r="AK415">
        <v>0</v>
      </c>
      <c r="AL415" s="207">
        <f>IF(AG415="Käytetty",0,IF(AC415="MSD",((V415*Alukset_fx!$O$25)*Alukset_Käynnit_Lask!O415*(Alukset_fx!$L$52)/1000),IF(AC415="HSD",((V415*Alukset_fx!$O$25)*Alukset_Käynnit_Lask!O415*(Alukset_fx!$L$55)/1000),0)))</f>
        <v>0</v>
      </c>
      <c r="AM415" s="207">
        <f>IF(AG415="Käytetty",0,Y415*O415*Alukset_fx!$K$61/1000)</f>
        <v>0</v>
      </c>
      <c r="AN415" s="213">
        <f t="shared" si="86"/>
        <v>0</v>
      </c>
    </row>
    <row r="416" spans="1:40" x14ac:dyDescent="0.25">
      <c r="A416" s="203">
        <f>Alukset_Käynnit!A423</f>
        <v>0</v>
      </c>
      <c r="B416" s="203">
        <f>Alukset_Käynnit!B423</f>
        <v>0</v>
      </c>
      <c r="C416" s="262">
        <f>Alukset_Käynnit!C423</f>
        <v>0</v>
      </c>
      <c r="D416" s="266">
        <f>Alukset_Käynnit!D423</f>
        <v>0</v>
      </c>
      <c r="E416" s="262">
        <f>Alukset_Käynnit!E423</f>
        <v>0</v>
      </c>
      <c r="F416" s="262">
        <f>Alukset_Käynnit!F423</f>
        <v>0</v>
      </c>
      <c r="G416" s="262">
        <f>Alukset_Käynnit!G423</f>
        <v>0</v>
      </c>
      <c r="H416" s="262">
        <f>Alukset_Käynnit!H423</f>
        <v>0</v>
      </c>
      <c r="I416" s="262">
        <f>Alukset_Käynnit!I423</f>
        <v>0</v>
      </c>
      <c r="J416" s="262">
        <f>Alukset_Käynnit!J423</f>
        <v>0</v>
      </c>
      <c r="K416" s="262">
        <f>Alukset_Käynnit!K423</f>
        <v>0</v>
      </c>
      <c r="L416" s="205">
        <f>Alukset_Käynnit!L423</f>
        <v>0</v>
      </c>
      <c r="N416" s="273">
        <f t="shared" si="87"/>
        <v>0</v>
      </c>
      <c r="O416" s="274">
        <f t="shared" si="88"/>
        <v>0</v>
      </c>
      <c r="Q416" s="204">
        <f t="shared" si="77"/>
        <v>0</v>
      </c>
      <c r="R416" s="202">
        <f>IF(Q416="Other dry cargo",L416*Alukset_fx!$B$71,IF(OR(Q416="Dry bulk",Q416="Bulk carrier"),L416*Alukset_fx!$B$69,IF(Q416="Tugboat",L416*Alukset_fx!$B$76,IF(OR(Q416="Tanker",Q416="Gas tanker",Q416="Chemical tanker",Q416="Oil tanker"),L416*Alukset_fx!$B$68,IF(OR(Q416="RoRo",Q416="Vehicle carrier"),L416*Alukset_fx!$B$72,IF(Q416="RoPax",L416*Alukset_fx!$B$73,IF(Q416="Container ship",L416*Alukset_fx!$B$70,IF(Q416="Barge",0,L416*Alukset_fx!$B$75))))))))</f>
        <v>0</v>
      </c>
      <c r="S416" s="210">
        <f>IF(L416=0,IF(Q416="Other dry cargo",Alukset_fx!$H$73*(Alukset_Käynnit_Lask!K416^Alukset_fx!$I$73),IF(OR(Q416="Dry Bulk",Q416="Bulk carrier"),Alukset_fx!$H$71*(Alukset_Käynnit_Lask!K416^Alukset_fx!$I$71),IF(Q416="Tugboat",Alukset_fx!$H$78*(Alukset_Käynnit_Lask!K416^Alukset_fx!$I$78),IF(OR(Q416="Tanker",Q416="Gas tanker",Q416="Chemical tanker",Q416="Oil tanker"),Alukset_fx!$H$70*(Alukset_Käynnit_Lask!K416^Alukset_fx!$I$70),IF(Q416="Container ship",Alukset_fx!$H$72*(Alukset_Käynnit_Lask!K416^Alukset_fx!$I$72),IF(Q416="Barge",0,IF(Q416="RoPax",Alukset_fx!$H$75*(Alukset_Käynnit_Lask!K416^Alukset_fx!$I$75),IF(OR(Q416="RoRo",Q416="Vehicle carrier"),Alukset_fx!$H$74*(Alukset_Käynnit_Lask!K416^Alukset_fx!$I$74),Alukset_fx!$H$77*(Alukset_Käynnit_Lask!K416^Alukset_fx!$I$77))))))))),"-")</f>
        <v>0</v>
      </c>
      <c r="T416" s="208">
        <f>IF(R416=0,IF(Q416="Other dry cargo",S416*Alukset_fx!$B$71,IF(OR(Q416="Dry bulk",Q416="Bulk carrier"),S416*Alukset_fx!$B$69,IF(Q416="Tugboat",S416*Alukset_fx!$B$76,IF(OR(Q416="Tanker",Q416="Gas tanker",Q416="Chemical tanker",Q416="Oil tanker"),S416*Alukset_fx!$B$68,IF(OR(Q416="RoRo",Q416="Vehicle carrier"),S416*Alukset_fx!$B$72,IF(Q416="RoPax",S416*Alukset_fx!$B$73,IF(Q416="Container ship",S416*Alukset_fx!$B$70,S416*Alukset_fx!$B$75))))))),"-")</f>
        <v>0</v>
      </c>
      <c r="U416" s="208">
        <f t="shared" si="78"/>
        <v>0</v>
      </c>
      <c r="V416" s="208">
        <f t="shared" si="79"/>
        <v>0</v>
      </c>
      <c r="W416" s="202">
        <f>Alukset_Käynnit!N423</f>
        <v>0</v>
      </c>
      <c r="X416" s="211">
        <f>IF(Q416="Other dry cargo", Alukset_fx!$C$52, IF(OR(Q416="Dry bulk",Q416="Bulk carrier"),Alukset_fx!$C$35,IF(OR(Q416="Tanker",Q416="Gas tanker",Q416="Oil tanker"),Alukset_fx!$C$57,IF(Q416="Chemical tanker",Alukset_fx!$C$56,IF(OR(Q416="Tugboat",Q416="Barge"),0,IF(Q416="Other vessel",Alukset_fx!$C$54,IF(Q416="Container ship",Alukset_fx!$C$37,IF(OR(Q416="RoPax",Q416="RoRo",Q416="Vehicle carrier"),Alukset_fx!$C$55,0))))))))</f>
        <v>0</v>
      </c>
      <c r="Y416" s="211">
        <f>IF(Q416="Other dry cargo", Alukset_fx!$Q$52, IF(OR(Q416="Dry bulk",Q416="Bulk carrier"),Alukset_fx!$Q$35,IF(OR(Q416="Tanker",Q416="Gas tanker",Q416="Oil tanker"),Alukset_fx!$Q$57,IF(Q416="Chemical tanker",Alukset_fx!$Q$56,IF(OR(Q416="Tugboat",Q416="Barge"),0,IF(Q416="Other vessel",Alukset_fx!$Q$54,IF(Q416="Container ship",Alukset_fx!$Q$37,IF(OR(Q416="RoPax",Q416="RoRo",Q416="Vehicle carrier"),Alukset_fx!$Q$55,0))))))))</f>
        <v>0</v>
      </c>
      <c r="Z416" t="str">
        <f t="shared" si="80"/>
        <v>MDO/MGO</v>
      </c>
      <c r="AA416" t="str">
        <f t="shared" si="81"/>
        <v>MSD</v>
      </c>
      <c r="AB416" t="str">
        <f t="shared" si="82"/>
        <v>MDO/MGO</v>
      </c>
      <c r="AC416" t="str">
        <f t="shared" si="83"/>
        <v>MSD</v>
      </c>
      <c r="AD416" t="str">
        <f t="shared" si="84"/>
        <v>MDO/MGO</v>
      </c>
      <c r="AE416" t="str">
        <f t="shared" si="85"/>
        <v>ST</v>
      </c>
      <c r="AG416">
        <f>Alukset_Käynnit!O423</f>
        <v>0</v>
      </c>
      <c r="AH416" s="207">
        <f>IF(AA416="SSD",((U416*Alukset_fx!$B$24)*Alukset_Käynnit_Lask!W416*(Alukset_fx!$K$49)/1000),IF(AA416="MSD",((U416*Alukset_fx!$B$24)*Alukset_Käynnit_Lask!W416*(Alukset_fx!$K$52)/1000),IF(AA416="HSD",((U416*Alukset_fx!$B$24)*Alukset_Käynnit_Lask!W416*(Alukset_fx!$K$55)/1000),0)))</f>
        <v>0</v>
      </c>
      <c r="AI416" s="207">
        <f>IF(AC416="MSD",((V416*Alukset_fx!$B$25)*Alukset_Käynnit_Lask!W416*(Alukset_fx!$L$52)/1000),IF(AC416="HSD",((V416*Alukset_fx!$B$25)*Alukset_Käynnit_Lask!W416*(Alukset_fx!$L$55)/1000),0))</f>
        <v>0</v>
      </c>
      <c r="AJ416" s="207">
        <f>X416*W416*Alukset_fx!$K$61/1000</f>
        <v>0</v>
      </c>
      <c r="AK416">
        <v>0</v>
      </c>
      <c r="AL416" s="207">
        <f>IF(AG416="Käytetty",0,IF(AC416="MSD",((V416*Alukset_fx!$O$25)*Alukset_Käynnit_Lask!O416*(Alukset_fx!$L$52)/1000),IF(AC416="HSD",((V416*Alukset_fx!$O$25)*Alukset_Käynnit_Lask!O416*(Alukset_fx!$L$55)/1000),0)))</f>
        <v>0</v>
      </c>
      <c r="AM416" s="207">
        <f>IF(AG416="Käytetty",0,Y416*O416*Alukset_fx!$K$61/1000)</f>
        <v>0</v>
      </c>
      <c r="AN416" s="213">
        <f t="shared" si="86"/>
        <v>0</v>
      </c>
    </row>
    <row r="417" spans="1:40" x14ac:dyDescent="0.25">
      <c r="A417" s="203">
        <f>Alukset_Käynnit!A424</f>
        <v>0</v>
      </c>
      <c r="B417" s="203">
        <f>Alukset_Käynnit!B424</f>
        <v>0</v>
      </c>
      <c r="C417" s="262">
        <f>Alukset_Käynnit!C424</f>
        <v>0</v>
      </c>
      <c r="D417" s="266">
        <f>Alukset_Käynnit!D424</f>
        <v>0</v>
      </c>
      <c r="E417" s="262">
        <f>Alukset_Käynnit!E424</f>
        <v>0</v>
      </c>
      <c r="F417" s="262">
        <f>Alukset_Käynnit!F424</f>
        <v>0</v>
      </c>
      <c r="G417" s="262">
        <f>Alukset_Käynnit!G424</f>
        <v>0</v>
      </c>
      <c r="H417" s="262">
        <f>Alukset_Käynnit!H424</f>
        <v>0</v>
      </c>
      <c r="I417" s="262">
        <f>Alukset_Käynnit!I424</f>
        <v>0</v>
      </c>
      <c r="J417" s="262">
        <f>Alukset_Käynnit!J424</f>
        <v>0</v>
      </c>
      <c r="K417" s="262">
        <f>Alukset_Käynnit!K424</f>
        <v>0</v>
      </c>
      <c r="L417" s="205">
        <f>Alukset_Käynnit!L424</f>
        <v>0</v>
      </c>
      <c r="N417" s="273">
        <f t="shared" si="87"/>
        <v>0</v>
      </c>
      <c r="O417" s="274">
        <f t="shared" si="88"/>
        <v>0</v>
      </c>
      <c r="Q417" s="204">
        <f t="shared" si="77"/>
        <v>0</v>
      </c>
      <c r="R417" s="202">
        <f>IF(Q417="Other dry cargo",L417*Alukset_fx!$B$71,IF(OR(Q417="Dry bulk",Q417="Bulk carrier"),L417*Alukset_fx!$B$69,IF(Q417="Tugboat",L417*Alukset_fx!$B$76,IF(OR(Q417="Tanker",Q417="Gas tanker",Q417="Chemical tanker",Q417="Oil tanker"),L417*Alukset_fx!$B$68,IF(OR(Q417="RoRo",Q417="Vehicle carrier"),L417*Alukset_fx!$B$72,IF(Q417="RoPax",L417*Alukset_fx!$B$73,IF(Q417="Container ship",L417*Alukset_fx!$B$70,IF(Q417="Barge",0,L417*Alukset_fx!$B$75))))))))</f>
        <v>0</v>
      </c>
      <c r="S417" s="210">
        <f>IF(L417=0,IF(Q417="Other dry cargo",Alukset_fx!$H$73*(Alukset_Käynnit_Lask!K417^Alukset_fx!$I$73),IF(OR(Q417="Dry Bulk",Q417="Bulk carrier"),Alukset_fx!$H$71*(Alukset_Käynnit_Lask!K417^Alukset_fx!$I$71),IF(Q417="Tugboat",Alukset_fx!$H$78*(Alukset_Käynnit_Lask!K417^Alukset_fx!$I$78),IF(OR(Q417="Tanker",Q417="Gas tanker",Q417="Chemical tanker",Q417="Oil tanker"),Alukset_fx!$H$70*(Alukset_Käynnit_Lask!K417^Alukset_fx!$I$70),IF(Q417="Container ship",Alukset_fx!$H$72*(Alukset_Käynnit_Lask!K417^Alukset_fx!$I$72),IF(Q417="Barge",0,IF(Q417="RoPax",Alukset_fx!$H$75*(Alukset_Käynnit_Lask!K417^Alukset_fx!$I$75),IF(OR(Q417="RoRo",Q417="Vehicle carrier"),Alukset_fx!$H$74*(Alukset_Käynnit_Lask!K417^Alukset_fx!$I$74),Alukset_fx!$H$77*(Alukset_Käynnit_Lask!K417^Alukset_fx!$I$77))))))))),"-")</f>
        <v>0</v>
      </c>
      <c r="T417" s="208">
        <f>IF(R417=0,IF(Q417="Other dry cargo",S417*Alukset_fx!$B$71,IF(OR(Q417="Dry bulk",Q417="Bulk carrier"),S417*Alukset_fx!$B$69,IF(Q417="Tugboat",S417*Alukset_fx!$B$76,IF(OR(Q417="Tanker",Q417="Gas tanker",Q417="Chemical tanker",Q417="Oil tanker"),S417*Alukset_fx!$B$68,IF(OR(Q417="RoRo",Q417="Vehicle carrier"),S417*Alukset_fx!$B$72,IF(Q417="RoPax",S417*Alukset_fx!$B$73,IF(Q417="Container ship",S417*Alukset_fx!$B$70,S417*Alukset_fx!$B$75))))))),"-")</f>
        <v>0</v>
      </c>
      <c r="U417" s="208">
        <f t="shared" si="78"/>
        <v>0</v>
      </c>
      <c r="V417" s="208">
        <f t="shared" si="79"/>
        <v>0</v>
      </c>
      <c r="W417" s="202">
        <f>Alukset_Käynnit!N424</f>
        <v>0</v>
      </c>
      <c r="X417" s="211">
        <f>IF(Q417="Other dry cargo", Alukset_fx!$C$52, IF(OR(Q417="Dry bulk",Q417="Bulk carrier"),Alukset_fx!$C$35,IF(OR(Q417="Tanker",Q417="Gas tanker",Q417="Oil tanker"),Alukset_fx!$C$57,IF(Q417="Chemical tanker",Alukset_fx!$C$56,IF(OR(Q417="Tugboat",Q417="Barge"),0,IF(Q417="Other vessel",Alukset_fx!$C$54,IF(Q417="Container ship",Alukset_fx!$C$37,IF(OR(Q417="RoPax",Q417="RoRo",Q417="Vehicle carrier"),Alukset_fx!$C$55,0))))))))</f>
        <v>0</v>
      </c>
      <c r="Y417" s="211">
        <f>IF(Q417="Other dry cargo", Alukset_fx!$Q$52, IF(OR(Q417="Dry bulk",Q417="Bulk carrier"),Alukset_fx!$Q$35,IF(OR(Q417="Tanker",Q417="Gas tanker",Q417="Oil tanker"),Alukset_fx!$Q$57,IF(Q417="Chemical tanker",Alukset_fx!$Q$56,IF(OR(Q417="Tugboat",Q417="Barge"),0,IF(Q417="Other vessel",Alukset_fx!$Q$54,IF(Q417="Container ship",Alukset_fx!$Q$37,IF(OR(Q417="RoPax",Q417="RoRo",Q417="Vehicle carrier"),Alukset_fx!$Q$55,0))))))))</f>
        <v>0</v>
      </c>
      <c r="Z417" t="str">
        <f t="shared" si="80"/>
        <v>MDO/MGO</v>
      </c>
      <c r="AA417" t="str">
        <f t="shared" si="81"/>
        <v>MSD</v>
      </c>
      <c r="AB417" t="str">
        <f t="shared" si="82"/>
        <v>MDO/MGO</v>
      </c>
      <c r="AC417" t="str">
        <f t="shared" si="83"/>
        <v>MSD</v>
      </c>
      <c r="AD417" t="str">
        <f t="shared" si="84"/>
        <v>MDO/MGO</v>
      </c>
      <c r="AE417" t="str">
        <f t="shared" si="85"/>
        <v>ST</v>
      </c>
      <c r="AG417">
        <f>Alukset_Käynnit!O424</f>
        <v>0</v>
      </c>
      <c r="AH417" s="207">
        <f>IF(AA417="SSD",((U417*Alukset_fx!$B$24)*Alukset_Käynnit_Lask!W417*(Alukset_fx!$K$49)/1000),IF(AA417="MSD",((U417*Alukset_fx!$B$24)*Alukset_Käynnit_Lask!W417*(Alukset_fx!$K$52)/1000),IF(AA417="HSD",((U417*Alukset_fx!$B$24)*Alukset_Käynnit_Lask!W417*(Alukset_fx!$K$55)/1000),0)))</f>
        <v>0</v>
      </c>
      <c r="AI417" s="207">
        <f>IF(AC417="MSD",((V417*Alukset_fx!$B$25)*Alukset_Käynnit_Lask!W417*(Alukset_fx!$L$52)/1000),IF(AC417="HSD",((V417*Alukset_fx!$B$25)*Alukset_Käynnit_Lask!W417*(Alukset_fx!$L$55)/1000),0))</f>
        <v>0</v>
      </c>
      <c r="AJ417" s="207">
        <f>X417*W417*Alukset_fx!$K$61/1000</f>
        <v>0</v>
      </c>
      <c r="AK417">
        <v>0</v>
      </c>
      <c r="AL417" s="207">
        <f>IF(AG417="Käytetty",0,IF(AC417="MSD",((V417*Alukset_fx!$O$25)*Alukset_Käynnit_Lask!O417*(Alukset_fx!$L$52)/1000),IF(AC417="HSD",((V417*Alukset_fx!$O$25)*Alukset_Käynnit_Lask!O417*(Alukset_fx!$L$55)/1000),0)))</f>
        <v>0</v>
      </c>
      <c r="AM417" s="207">
        <f>IF(AG417="Käytetty",0,Y417*O417*Alukset_fx!$K$61/1000)</f>
        <v>0</v>
      </c>
      <c r="AN417" s="213">
        <f t="shared" si="86"/>
        <v>0</v>
      </c>
    </row>
    <row r="418" spans="1:40" x14ac:dyDescent="0.25">
      <c r="A418" s="203">
        <f>Alukset_Käynnit!A425</f>
        <v>0</v>
      </c>
      <c r="B418" s="203">
        <f>Alukset_Käynnit!B425</f>
        <v>0</v>
      </c>
      <c r="C418" s="262">
        <f>Alukset_Käynnit!C425</f>
        <v>0</v>
      </c>
      <c r="D418" s="266">
        <f>Alukset_Käynnit!D425</f>
        <v>0</v>
      </c>
      <c r="E418" s="262">
        <f>Alukset_Käynnit!E425</f>
        <v>0</v>
      </c>
      <c r="F418" s="262">
        <f>Alukset_Käynnit!F425</f>
        <v>0</v>
      </c>
      <c r="G418" s="262">
        <f>Alukset_Käynnit!G425</f>
        <v>0</v>
      </c>
      <c r="H418" s="262">
        <f>Alukset_Käynnit!H425</f>
        <v>0</v>
      </c>
      <c r="I418" s="262">
        <f>Alukset_Käynnit!I425</f>
        <v>0</v>
      </c>
      <c r="J418" s="262">
        <f>Alukset_Käynnit!J425</f>
        <v>0</v>
      </c>
      <c r="K418" s="262">
        <f>Alukset_Käynnit!K425</f>
        <v>0</v>
      </c>
      <c r="L418" s="205">
        <f>Alukset_Käynnit!L425</f>
        <v>0</v>
      </c>
      <c r="N418" s="273">
        <f t="shared" si="87"/>
        <v>0</v>
      </c>
      <c r="O418" s="274">
        <f t="shared" si="88"/>
        <v>0</v>
      </c>
      <c r="Q418" s="204">
        <f t="shared" si="77"/>
        <v>0</v>
      </c>
      <c r="R418" s="202">
        <f>IF(Q418="Other dry cargo",L418*Alukset_fx!$B$71,IF(OR(Q418="Dry bulk",Q418="Bulk carrier"),L418*Alukset_fx!$B$69,IF(Q418="Tugboat",L418*Alukset_fx!$B$76,IF(OR(Q418="Tanker",Q418="Gas tanker",Q418="Chemical tanker",Q418="Oil tanker"),L418*Alukset_fx!$B$68,IF(OR(Q418="RoRo",Q418="Vehicle carrier"),L418*Alukset_fx!$B$72,IF(Q418="RoPax",L418*Alukset_fx!$B$73,IF(Q418="Container ship",L418*Alukset_fx!$B$70,IF(Q418="Barge",0,L418*Alukset_fx!$B$75))))))))</f>
        <v>0</v>
      </c>
      <c r="S418" s="210">
        <f>IF(L418=0,IF(Q418="Other dry cargo",Alukset_fx!$H$73*(Alukset_Käynnit_Lask!K418^Alukset_fx!$I$73),IF(OR(Q418="Dry Bulk",Q418="Bulk carrier"),Alukset_fx!$H$71*(Alukset_Käynnit_Lask!K418^Alukset_fx!$I$71),IF(Q418="Tugboat",Alukset_fx!$H$78*(Alukset_Käynnit_Lask!K418^Alukset_fx!$I$78),IF(OR(Q418="Tanker",Q418="Gas tanker",Q418="Chemical tanker",Q418="Oil tanker"),Alukset_fx!$H$70*(Alukset_Käynnit_Lask!K418^Alukset_fx!$I$70),IF(Q418="Container ship",Alukset_fx!$H$72*(Alukset_Käynnit_Lask!K418^Alukset_fx!$I$72),IF(Q418="Barge",0,IF(Q418="RoPax",Alukset_fx!$H$75*(Alukset_Käynnit_Lask!K418^Alukset_fx!$I$75),IF(OR(Q418="RoRo",Q418="Vehicle carrier"),Alukset_fx!$H$74*(Alukset_Käynnit_Lask!K418^Alukset_fx!$I$74),Alukset_fx!$H$77*(Alukset_Käynnit_Lask!K418^Alukset_fx!$I$77))))))))),"-")</f>
        <v>0</v>
      </c>
      <c r="T418" s="208">
        <f>IF(R418=0,IF(Q418="Other dry cargo",S418*Alukset_fx!$B$71,IF(OR(Q418="Dry bulk",Q418="Bulk carrier"),S418*Alukset_fx!$B$69,IF(Q418="Tugboat",S418*Alukset_fx!$B$76,IF(OR(Q418="Tanker",Q418="Gas tanker",Q418="Chemical tanker",Q418="Oil tanker"),S418*Alukset_fx!$B$68,IF(OR(Q418="RoRo",Q418="Vehicle carrier"),S418*Alukset_fx!$B$72,IF(Q418="RoPax",S418*Alukset_fx!$B$73,IF(Q418="Container ship",S418*Alukset_fx!$B$70,S418*Alukset_fx!$B$75))))))),"-")</f>
        <v>0</v>
      </c>
      <c r="U418" s="208">
        <f t="shared" si="78"/>
        <v>0</v>
      </c>
      <c r="V418" s="208">
        <f t="shared" si="79"/>
        <v>0</v>
      </c>
      <c r="W418" s="202">
        <f>Alukset_Käynnit!N425</f>
        <v>0</v>
      </c>
      <c r="X418" s="211">
        <f>IF(Q418="Other dry cargo", Alukset_fx!$C$52, IF(OR(Q418="Dry bulk",Q418="Bulk carrier"),Alukset_fx!$C$35,IF(OR(Q418="Tanker",Q418="Gas tanker",Q418="Oil tanker"),Alukset_fx!$C$57,IF(Q418="Chemical tanker",Alukset_fx!$C$56,IF(OR(Q418="Tugboat",Q418="Barge"),0,IF(Q418="Other vessel",Alukset_fx!$C$54,IF(Q418="Container ship",Alukset_fx!$C$37,IF(OR(Q418="RoPax",Q418="RoRo",Q418="Vehicle carrier"),Alukset_fx!$C$55,0))))))))</f>
        <v>0</v>
      </c>
      <c r="Y418" s="211">
        <f>IF(Q418="Other dry cargo", Alukset_fx!$Q$52, IF(OR(Q418="Dry bulk",Q418="Bulk carrier"),Alukset_fx!$Q$35,IF(OR(Q418="Tanker",Q418="Gas tanker",Q418="Oil tanker"),Alukset_fx!$Q$57,IF(Q418="Chemical tanker",Alukset_fx!$Q$56,IF(OR(Q418="Tugboat",Q418="Barge"),0,IF(Q418="Other vessel",Alukset_fx!$Q$54,IF(Q418="Container ship",Alukset_fx!$Q$37,IF(OR(Q418="RoPax",Q418="RoRo",Q418="Vehicle carrier"),Alukset_fx!$Q$55,0))))))))</f>
        <v>0</v>
      </c>
      <c r="Z418" t="str">
        <f t="shared" si="80"/>
        <v>MDO/MGO</v>
      </c>
      <c r="AA418" t="str">
        <f t="shared" si="81"/>
        <v>MSD</v>
      </c>
      <c r="AB418" t="str">
        <f t="shared" si="82"/>
        <v>MDO/MGO</v>
      </c>
      <c r="AC418" t="str">
        <f t="shared" si="83"/>
        <v>MSD</v>
      </c>
      <c r="AD418" t="str">
        <f t="shared" si="84"/>
        <v>MDO/MGO</v>
      </c>
      <c r="AE418" t="str">
        <f t="shared" si="85"/>
        <v>ST</v>
      </c>
      <c r="AG418">
        <f>Alukset_Käynnit!O425</f>
        <v>0</v>
      </c>
      <c r="AH418" s="207">
        <f>IF(AA418="SSD",((U418*Alukset_fx!$B$24)*Alukset_Käynnit_Lask!W418*(Alukset_fx!$K$49)/1000),IF(AA418="MSD",((U418*Alukset_fx!$B$24)*Alukset_Käynnit_Lask!W418*(Alukset_fx!$K$52)/1000),IF(AA418="HSD",((U418*Alukset_fx!$B$24)*Alukset_Käynnit_Lask!W418*(Alukset_fx!$K$55)/1000),0)))</f>
        <v>0</v>
      </c>
      <c r="AI418" s="207">
        <f>IF(AC418="MSD",((V418*Alukset_fx!$B$25)*Alukset_Käynnit_Lask!W418*(Alukset_fx!$L$52)/1000),IF(AC418="HSD",((V418*Alukset_fx!$B$25)*Alukset_Käynnit_Lask!W418*(Alukset_fx!$L$55)/1000),0))</f>
        <v>0</v>
      </c>
      <c r="AJ418" s="207">
        <f>X418*W418*Alukset_fx!$K$61/1000</f>
        <v>0</v>
      </c>
      <c r="AK418">
        <v>0</v>
      </c>
      <c r="AL418" s="207">
        <f>IF(AG418="Käytetty",0,IF(AC418="MSD",((V418*Alukset_fx!$O$25)*Alukset_Käynnit_Lask!O418*(Alukset_fx!$L$52)/1000),IF(AC418="HSD",((V418*Alukset_fx!$O$25)*Alukset_Käynnit_Lask!O418*(Alukset_fx!$L$55)/1000),0)))</f>
        <v>0</v>
      </c>
      <c r="AM418" s="207">
        <f>IF(AG418="Käytetty",0,Y418*O418*Alukset_fx!$K$61/1000)</f>
        <v>0</v>
      </c>
      <c r="AN418" s="213">
        <f t="shared" si="86"/>
        <v>0</v>
      </c>
    </row>
    <row r="419" spans="1:40" x14ac:dyDescent="0.25">
      <c r="A419" s="203">
        <f>Alukset_Käynnit!A426</f>
        <v>0</v>
      </c>
      <c r="B419" s="203">
        <f>Alukset_Käynnit!B426</f>
        <v>0</v>
      </c>
      <c r="C419" s="262">
        <f>Alukset_Käynnit!C426</f>
        <v>0</v>
      </c>
      <c r="D419" s="266">
        <f>Alukset_Käynnit!D426</f>
        <v>0</v>
      </c>
      <c r="E419" s="262">
        <f>Alukset_Käynnit!E426</f>
        <v>0</v>
      </c>
      <c r="F419" s="262">
        <f>Alukset_Käynnit!F426</f>
        <v>0</v>
      </c>
      <c r="G419" s="262">
        <f>Alukset_Käynnit!G426</f>
        <v>0</v>
      </c>
      <c r="H419" s="262">
        <f>Alukset_Käynnit!H426</f>
        <v>0</v>
      </c>
      <c r="I419" s="262">
        <f>Alukset_Käynnit!I426</f>
        <v>0</v>
      </c>
      <c r="J419" s="262">
        <f>Alukset_Käynnit!J426</f>
        <v>0</v>
      </c>
      <c r="K419" s="262">
        <f>Alukset_Käynnit!K426</f>
        <v>0</v>
      </c>
      <c r="L419" s="205">
        <f>Alukset_Käynnit!L426</f>
        <v>0</v>
      </c>
      <c r="N419" s="273">
        <f t="shared" si="87"/>
        <v>0</v>
      </c>
      <c r="O419" s="274">
        <f t="shared" si="88"/>
        <v>0</v>
      </c>
      <c r="Q419" s="204">
        <f t="shared" si="77"/>
        <v>0</v>
      </c>
      <c r="R419" s="202">
        <f>IF(Q419="Other dry cargo",L419*Alukset_fx!$B$71,IF(OR(Q419="Dry bulk",Q419="Bulk carrier"),L419*Alukset_fx!$B$69,IF(Q419="Tugboat",L419*Alukset_fx!$B$76,IF(OR(Q419="Tanker",Q419="Gas tanker",Q419="Chemical tanker",Q419="Oil tanker"),L419*Alukset_fx!$B$68,IF(OR(Q419="RoRo",Q419="Vehicle carrier"),L419*Alukset_fx!$B$72,IF(Q419="RoPax",L419*Alukset_fx!$B$73,IF(Q419="Container ship",L419*Alukset_fx!$B$70,IF(Q419="Barge",0,L419*Alukset_fx!$B$75))))))))</f>
        <v>0</v>
      </c>
      <c r="S419" s="210">
        <f>IF(L419=0,IF(Q419="Other dry cargo",Alukset_fx!$H$73*(Alukset_Käynnit_Lask!K419^Alukset_fx!$I$73),IF(OR(Q419="Dry Bulk",Q419="Bulk carrier"),Alukset_fx!$H$71*(Alukset_Käynnit_Lask!K419^Alukset_fx!$I$71),IF(Q419="Tugboat",Alukset_fx!$H$78*(Alukset_Käynnit_Lask!K419^Alukset_fx!$I$78),IF(OR(Q419="Tanker",Q419="Gas tanker",Q419="Chemical tanker",Q419="Oil tanker"),Alukset_fx!$H$70*(Alukset_Käynnit_Lask!K419^Alukset_fx!$I$70),IF(Q419="Container ship",Alukset_fx!$H$72*(Alukset_Käynnit_Lask!K419^Alukset_fx!$I$72),IF(Q419="Barge",0,IF(Q419="RoPax",Alukset_fx!$H$75*(Alukset_Käynnit_Lask!K419^Alukset_fx!$I$75),IF(OR(Q419="RoRo",Q419="Vehicle carrier"),Alukset_fx!$H$74*(Alukset_Käynnit_Lask!K419^Alukset_fx!$I$74),Alukset_fx!$H$77*(Alukset_Käynnit_Lask!K419^Alukset_fx!$I$77))))))))),"-")</f>
        <v>0</v>
      </c>
      <c r="T419" s="208">
        <f>IF(R419=0,IF(Q419="Other dry cargo",S419*Alukset_fx!$B$71,IF(OR(Q419="Dry bulk",Q419="Bulk carrier"),S419*Alukset_fx!$B$69,IF(Q419="Tugboat",S419*Alukset_fx!$B$76,IF(OR(Q419="Tanker",Q419="Gas tanker",Q419="Chemical tanker",Q419="Oil tanker"),S419*Alukset_fx!$B$68,IF(OR(Q419="RoRo",Q419="Vehicle carrier"),S419*Alukset_fx!$B$72,IF(Q419="RoPax",S419*Alukset_fx!$B$73,IF(Q419="Container ship",S419*Alukset_fx!$B$70,S419*Alukset_fx!$B$75))))))),"-")</f>
        <v>0</v>
      </c>
      <c r="U419" s="208">
        <f t="shared" si="78"/>
        <v>0</v>
      </c>
      <c r="V419" s="208">
        <f t="shared" si="79"/>
        <v>0</v>
      </c>
      <c r="W419" s="202">
        <f>Alukset_Käynnit!N426</f>
        <v>0</v>
      </c>
      <c r="X419" s="211">
        <f>IF(Q419="Other dry cargo", Alukset_fx!$C$52, IF(OR(Q419="Dry bulk",Q419="Bulk carrier"),Alukset_fx!$C$35,IF(OR(Q419="Tanker",Q419="Gas tanker",Q419="Oil tanker"),Alukset_fx!$C$57,IF(Q419="Chemical tanker",Alukset_fx!$C$56,IF(OR(Q419="Tugboat",Q419="Barge"),0,IF(Q419="Other vessel",Alukset_fx!$C$54,IF(Q419="Container ship",Alukset_fx!$C$37,IF(OR(Q419="RoPax",Q419="RoRo",Q419="Vehicle carrier"),Alukset_fx!$C$55,0))))))))</f>
        <v>0</v>
      </c>
      <c r="Y419" s="211">
        <f>IF(Q419="Other dry cargo", Alukset_fx!$Q$52, IF(OR(Q419="Dry bulk",Q419="Bulk carrier"),Alukset_fx!$Q$35,IF(OR(Q419="Tanker",Q419="Gas tanker",Q419="Oil tanker"),Alukset_fx!$Q$57,IF(Q419="Chemical tanker",Alukset_fx!$Q$56,IF(OR(Q419="Tugboat",Q419="Barge"),0,IF(Q419="Other vessel",Alukset_fx!$Q$54,IF(Q419="Container ship",Alukset_fx!$Q$37,IF(OR(Q419="RoPax",Q419="RoRo",Q419="Vehicle carrier"),Alukset_fx!$Q$55,0))))))))</f>
        <v>0</v>
      </c>
      <c r="Z419" t="str">
        <f t="shared" si="80"/>
        <v>MDO/MGO</v>
      </c>
      <c r="AA419" t="str">
        <f t="shared" si="81"/>
        <v>MSD</v>
      </c>
      <c r="AB419" t="str">
        <f t="shared" si="82"/>
        <v>MDO/MGO</v>
      </c>
      <c r="AC419" t="str">
        <f t="shared" si="83"/>
        <v>MSD</v>
      </c>
      <c r="AD419" t="str">
        <f t="shared" si="84"/>
        <v>MDO/MGO</v>
      </c>
      <c r="AE419" t="str">
        <f t="shared" si="85"/>
        <v>ST</v>
      </c>
      <c r="AG419">
        <f>Alukset_Käynnit!O426</f>
        <v>0</v>
      </c>
      <c r="AH419" s="207">
        <f>IF(AA419="SSD",((U419*Alukset_fx!$B$24)*Alukset_Käynnit_Lask!W419*(Alukset_fx!$K$49)/1000),IF(AA419="MSD",((U419*Alukset_fx!$B$24)*Alukset_Käynnit_Lask!W419*(Alukset_fx!$K$52)/1000),IF(AA419="HSD",((U419*Alukset_fx!$B$24)*Alukset_Käynnit_Lask!W419*(Alukset_fx!$K$55)/1000),0)))</f>
        <v>0</v>
      </c>
      <c r="AI419" s="207">
        <f>IF(AC419="MSD",((V419*Alukset_fx!$B$25)*Alukset_Käynnit_Lask!W419*(Alukset_fx!$L$52)/1000),IF(AC419="HSD",((V419*Alukset_fx!$B$25)*Alukset_Käynnit_Lask!W419*(Alukset_fx!$L$55)/1000),0))</f>
        <v>0</v>
      </c>
      <c r="AJ419" s="207">
        <f>X419*W419*Alukset_fx!$K$61/1000</f>
        <v>0</v>
      </c>
      <c r="AK419">
        <v>0</v>
      </c>
      <c r="AL419" s="207">
        <f>IF(AG419="Käytetty",0,IF(AC419="MSD",((V419*Alukset_fx!$O$25)*Alukset_Käynnit_Lask!O419*(Alukset_fx!$L$52)/1000),IF(AC419="HSD",((V419*Alukset_fx!$O$25)*Alukset_Käynnit_Lask!O419*(Alukset_fx!$L$55)/1000),0)))</f>
        <v>0</v>
      </c>
      <c r="AM419" s="207">
        <f>IF(AG419="Käytetty",0,Y419*O419*Alukset_fx!$K$61/1000)</f>
        <v>0</v>
      </c>
      <c r="AN419" s="213">
        <f t="shared" si="86"/>
        <v>0</v>
      </c>
    </row>
    <row r="420" spans="1:40" x14ac:dyDescent="0.25">
      <c r="A420" s="203">
        <f>Alukset_Käynnit!A427</f>
        <v>0</v>
      </c>
      <c r="B420" s="203">
        <f>Alukset_Käynnit!B427</f>
        <v>0</v>
      </c>
      <c r="C420" s="262">
        <f>Alukset_Käynnit!C427</f>
        <v>0</v>
      </c>
      <c r="D420" s="266">
        <f>Alukset_Käynnit!D427</f>
        <v>0</v>
      </c>
      <c r="E420" s="262">
        <f>Alukset_Käynnit!E427</f>
        <v>0</v>
      </c>
      <c r="F420" s="262">
        <f>Alukset_Käynnit!F427</f>
        <v>0</v>
      </c>
      <c r="G420" s="262">
        <f>Alukset_Käynnit!G427</f>
        <v>0</v>
      </c>
      <c r="H420" s="262">
        <f>Alukset_Käynnit!H427</f>
        <v>0</v>
      </c>
      <c r="I420" s="262">
        <f>Alukset_Käynnit!I427</f>
        <v>0</v>
      </c>
      <c r="J420" s="262">
        <f>Alukset_Käynnit!J427</f>
        <v>0</v>
      </c>
      <c r="K420" s="262">
        <f>Alukset_Käynnit!K427</f>
        <v>0</v>
      </c>
      <c r="L420" s="205">
        <f>Alukset_Käynnit!L427</f>
        <v>0</v>
      </c>
      <c r="N420" s="273">
        <f t="shared" si="87"/>
        <v>0</v>
      </c>
      <c r="O420" s="274">
        <f t="shared" si="88"/>
        <v>0</v>
      </c>
      <c r="Q420" s="204">
        <f t="shared" si="77"/>
        <v>0</v>
      </c>
      <c r="R420" s="202">
        <f>IF(Q420="Other dry cargo",L420*Alukset_fx!$B$71,IF(OR(Q420="Dry bulk",Q420="Bulk carrier"),L420*Alukset_fx!$B$69,IF(Q420="Tugboat",L420*Alukset_fx!$B$76,IF(OR(Q420="Tanker",Q420="Gas tanker",Q420="Chemical tanker",Q420="Oil tanker"),L420*Alukset_fx!$B$68,IF(OR(Q420="RoRo",Q420="Vehicle carrier"),L420*Alukset_fx!$B$72,IF(Q420="RoPax",L420*Alukset_fx!$B$73,IF(Q420="Container ship",L420*Alukset_fx!$B$70,IF(Q420="Barge",0,L420*Alukset_fx!$B$75))))))))</f>
        <v>0</v>
      </c>
      <c r="S420" s="210">
        <f>IF(L420=0,IF(Q420="Other dry cargo",Alukset_fx!$H$73*(Alukset_Käynnit_Lask!K420^Alukset_fx!$I$73),IF(OR(Q420="Dry Bulk",Q420="Bulk carrier"),Alukset_fx!$H$71*(Alukset_Käynnit_Lask!K420^Alukset_fx!$I$71),IF(Q420="Tugboat",Alukset_fx!$H$78*(Alukset_Käynnit_Lask!K420^Alukset_fx!$I$78),IF(OR(Q420="Tanker",Q420="Gas tanker",Q420="Chemical tanker",Q420="Oil tanker"),Alukset_fx!$H$70*(Alukset_Käynnit_Lask!K420^Alukset_fx!$I$70),IF(Q420="Container ship",Alukset_fx!$H$72*(Alukset_Käynnit_Lask!K420^Alukset_fx!$I$72),IF(Q420="Barge",0,IF(Q420="RoPax",Alukset_fx!$H$75*(Alukset_Käynnit_Lask!K420^Alukset_fx!$I$75),IF(OR(Q420="RoRo",Q420="Vehicle carrier"),Alukset_fx!$H$74*(Alukset_Käynnit_Lask!K420^Alukset_fx!$I$74),Alukset_fx!$H$77*(Alukset_Käynnit_Lask!K420^Alukset_fx!$I$77))))))))),"-")</f>
        <v>0</v>
      </c>
      <c r="T420" s="208">
        <f>IF(R420=0,IF(Q420="Other dry cargo",S420*Alukset_fx!$B$71,IF(OR(Q420="Dry bulk",Q420="Bulk carrier"),S420*Alukset_fx!$B$69,IF(Q420="Tugboat",S420*Alukset_fx!$B$76,IF(OR(Q420="Tanker",Q420="Gas tanker",Q420="Chemical tanker",Q420="Oil tanker"),S420*Alukset_fx!$B$68,IF(OR(Q420="RoRo",Q420="Vehicle carrier"),S420*Alukset_fx!$B$72,IF(Q420="RoPax",S420*Alukset_fx!$B$73,IF(Q420="Container ship",S420*Alukset_fx!$B$70,S420*Alukset_fx!$B$75))))))),"-")</f>
        <v>0</v>
      </c>
      <c r="U420" s="208">
        <f t="shared" si="78"/>
        <v>0</v>
      </c>
      <c r="V420" s="208">
        <f t="shared" si="79"/>
        <v>0</v>
      </c>
      <c r="W420" s="202">
        <f>Alukset_Käynnit!N427</f>
        <v>0</v>
      </c>
      <c r="X420" s="211">
        <f>IF(Q420="Other dry cargo", Alukset_fx!$C$52, IF(OR(Q420="Dry bulk",Q420="Bulk carrier"),Alukset_fx!$C$35,IF(OR(Q420="Tanker",Q420="Gas tanker",Q420="Oil tanker"),Alukset_fx!$C$57,IF(Q420="Chemical tanker",Alukset_fx!$C$56,IF(OR(Q420="Tugboat",Q420="Barge"),0,IF(Q420="Other vessel",Alukset_fx!$C$54,IF(Q420="Container ship",Alukset_fx!$C$37,IF(OR(Q420="RoPax",Q420="RoRo",Q420="Vehicle carrier"),Alukset_fx!$C$55,0))))))))</f>
        <v>0</v>
      </c>
      <c r="Y420" s="211">
        <f>IF(Q420="Other dry cargo", Alukset_fx!$Q$52, IF(OR(Q420="Dry bulk",Q420="Bulk carrier"),Alukset_fx!$Q$35,IF(OR(Q420="Tanker",Q420="Gas tanker",Q420="Oil tanker"),Alukset_fx!$Q$57,IF(Q420="Chemical tanker",Alukset_fx!$Q$56,IF(OR(Q420="Tugboat",Q420="Barge"),0,IF(Q420="Other vessel",Alukset_fx!$Q$54,IF(Q420="Container ship",Alukset_fx!$Q$37,IF(OR(Q420="RoPax",Q420="RoRo",Q420="Vehicle carrier"),Alukset_fx!$Q$55,0))))))))</f>
        <v>0</v>
      </c>
      <c r="Z420" t="str">
        <f t="shared" si="80"/>
        <v>MDO/MGO</v>
      </c>
      <c r="AA420" t="str">
        <f t="shared" si="81"/>
        <v>MSD</v>
      </c>
      <c r="AB420" t="str">
        <f t="shared" si="82"/>
        <v>MDO/MGO</v>
      </c>
      <c r="AC420" t="str">
        <f t="shared" si="83"/>
        <v>MSD</v>
      </c>
      <c r="AD420" t="str">
        <f t="shared" si="84"/>
        <v>MDO/MGO</v>
      </c>
      <c r="AE420" t="str">
        <f t="shared" si="85"/>
        <v>ST</v>
      </c>
      <c r="AG420">
        <f>Alukset_Käynnit!O427</f>
        <v>0</v>
      </c>
      <c r="AH420" s="207">
        <f>IF(AA420="SSD",((U420*Alukset_fx!$B$24)*Alukset_Käynnit_Lask!W420*(Alukset_fx!$K$49)/1000),IF(AA420="MSD",((U420*Alukset_fx!$B$24)*Alukset_Käynnit_Lask!W420*(Alukset_fx!$K$52)/1000),IF(AA420="HSD",((U420*Alukset_fx!$B$24)*Alukset_Käynnit_Lask!W420*(Alukset_fx!$K$55)/1000),0)))</f>
        <v>0</v>
      </c>
      <c r="AI420" s="207">
        <f>IF(AC420="MSD",((V420*Alukset_fx!$B$25)*Alukset_Käynnit_Lask!W420*(Alukset_fx!$L$52)/1000),IF(AC420="HSD",((V420*Alukset_fx!$B$25)*Alukset_Käynnit_Lask!W420*(Alukset_fx!$L$55)/1000),0))</f>
        <v>0</v>
      </c>
      <c r="AJ420" s="207">
        <f>X420*W420*Alukset_fx!$K$61/1000</f>
        <v>0</v>
      </c>
      <c r="AK420">
        <v>0</v>
      </c>
      <c r="AL420" s="207">
        <f>IF(AG420="Käytetty",0,IF(AC420="MSD",((V420*Alukset_fx!$O$25)*Alukset_Käynnit_Lask!O420*(Alukset_fx!$L$52)/1000),IF(AC420="HSD",((V420*Alukset_fx!$O$25)*Alukset_Käynnit_Lask!O420*(Alukset_fx!$L$55)/1000),0)))</f>
        <v>0</v>
      </c>
      <c r="AM420" s="207">
        <f>IF(AG420="Käytetty",0,Y420*O420*Alukset_fx!$K$61/1000)</f>
        <v>0</v>
      </c>
      <c r="AN420" s="213">
        <f t="shared" si="86"/>
        <v>0</v>
      </c>
    </row>
    <row r="421" spans="1:40" x14ac:dyDescent="0.25">
      <c r="A421" s="203">
        <f>Alukset_Käynnit!A428</f>
        <v>0</v>
      </c>
      <c r="B421" s="203">
        <f>Alukset_Käynnit!B428</f>
        <v>0</v>
      </c>
      <c r="C421" s="262">
        <f>Alukset_Käynnit!C428</f>
        <v>0</v>
      </c>
      <c r="D421" s="266">
        <f>Alukset_Käynnit!D428</f>
        <v>0</v>
      </c>
      <c r="E421" s="262">
        <f>Alukset_Käynnit!E428</f>
        <v>0</v>
      </c>
      <c r="F421" s="262">
        <f>Alukset_Käynnit!F428</f>
        <v>0</v>
      </c>
      <c r="G421" s="262">
        <f>Alukset_Käynnit!G428</f>
        <v>0</v>
      </c>
      <c r="H421" s="262">
        <f>Alukset_Käynnit!H428</f>
        <v>0</v>
      </c>
      <c r="I421" s="262">
        <f>Alukset_Käynnit!I428</f>
        <v>0</v>
      </c>
      <c r="J421" s="262">
        <f>Alukset_Käynnit!J428</f>
        <v>0</v>
      </c>
      <c r="K421" s="262">
        <f>Alukset_Käynnit!K428</f>
        <v>0</v>
      </c>
      <c r="L421" s="205">
        <f>Alukset_Käynnit!L428</f>
        <v>0</v>
      </c>
      <c r="N421" s="273">
        <f t="shared" si="87"/>
        <v>0</v>
      </c>
      <c r="O421" s="274">
        <f t="shared" si="88"/>
        <v>0</v>
      </c>
      <c r="Q421" s="204">
        <f t="shared" si="77"/>
        <v>0</v>
      </c>
      <c r="R421" s="202">
        <f>IF(Q421="Other dry cargo",L421*Alukset_fx!$B$71,IF(OR(Q421="Dry bulk",Q421="Bulk carrier"),L421*Alukset_fx!$B$69,IF(Q421="Tugboat",L421*Alukset_fx!$B$76,IF(OR(Q421="Tanker",Q421="Gas tanker",Q421="Chemical tanker",Q421="Oil tanker"),L421*Alukset_fx!$B$68,IF(OR(Q421="RoRo",Q421="Vehicle carrier"),L421*Alukset_fx!$B$72,IF(Q421="RoPax",L421*Alukset_fx!$B$73,IF(Q421="Container ship",L421*Alukset_fx!$B$70,IF(Q421="Barge",0,L421*Alukset_fx!$B$75))))))))</f>
        <v>0</v>
      </c>
      <c r="S421" s="210">
        <f>IF(L421=0,IF(Q421="Other dry cargo",Alukset_fx!$H$73*(Alukset_Käynnit_Lask!K421^Alukset_fx!$I$73),IF(OR(Q421="Dry Bulk",Q421="Bulk carrier"),Alukset_fx!$H$71*(Alukset_Käynnit_Lask!K421^Alukset_fx!$I$71),IF(Q421="Tugboat",Alukset_fx!$H$78*(Alukset_Käynnit_Lask!K421^Alukset_fx!$I$78),IF(OR(Q421="Tanker",Q421="Gas tanker",Q421="Chemical tanker",Q421="Oil tanker"),Alukset_fx!$H$70*(Alukset_Käynnit_Lask!K421^Alukset_fx!$I$70),IF(Q421="Container ship",Alukset_fx!$H$72*(Alukset_Käynnit_Lask!K421^Alukset_fx!$I$72),IF(Q421="Barge",0,IF(Q421="RoPax",Alukset_fx!$H$75*(Alukset_Käynnit_Lask!K421^Alukset_fx!$I$75),IF(OR(Q421="RoRo",Q421="Vehicle carrier"),Alukset_fx!$H$74*(Alukset_Käynnit_Lask!K421^Alukset_fx!$I$74),Alukset_fx!$H$77*(Alukset_Käynnit_Lask!K421^Alukset_fx!$I$77))))))))),"-")</f>
        <v>0</v>
      </c>
      <c r="T421" s="208">
        <f>IF(R421=0,IF(Q421="Other dry cargo",S421*Alukset_fx!$B$71,IF(OR(Q421="Dry bulk",Q421="Bulk carrier"),S421*Alukset_fx!$B$69,IF(Q421="Tugboat",S421*Alukset_fx!$B$76,IF(OR(Q421="Tanker",Q421="Gas tanker",Q421="Chemical tanker",Q421="Oil tanker"),S421*Alukset_fx!$B$68,IF(OR(Q421="RoRo",Q421="Vehicle carrier"),S421*Alukset_fx!$B$72,IF(Q421="RoPax",S421*Alukset_fx!$B$73,IF(Q421="Container ship",S421*Alukset_fx!$B$70,S421*Alukset_fx!$B$75))))))),"-")</f>
        <v>0</v>
      </c>
      <c r="U421" s="208">
        <f t="shared" si="78"/>
        <v>0</v>
      </c>
      <c r="V421" s="208">
        <f t="shared" si="79"/>
        <v>0</v>
      </c>
      <c r="W421" s="202">
        <f>Alukset_Käynnit!N428</f>
        <v>0</v>
      </c>
      <c r="X421" s="211">
        <f>IF(Q421="Other dry cargo", Alukset_fx!$C$52, IF(OR(Q421="Dry bulk",Q421="Bulk carrier"),Alukset_fx!$C$35,IF(OR(Q421="Tanker",Q421="Gas tanker",Q421="Oil tanker"),Alukset_fx!$C$57,IF(Q421="Chemical tanker",Alukset_fx!$C$56,IF(OR(Q421="Tugboat",Q421="Barge"),0,IF(Q421="Other vessel",Alukset_fx!$C$54,IF(Q421="Container ship",Alukset_fx!$C$37,IF(OR(Q421="RoPax",Q421="RoRo",Q421="Vehicle carrier"),Alukset_fx!$C$55,0))))))))</f>
        <v>0</v>
      </c>
      <c r="Y421" s="211">
        <f>IF(Q421="Other dry cargo", Alukset_fx!$Q$52, IF(OR(Q421="Dry bulk",Q421="Bulk carrier"),Alukset_fx!$Q$35,IF(OR(Q421="Tanker",Q421="Gas tanker",Q421="Oil tanker"),Alukset_fx!$Q$57,IF(Q421="Chemical tanker",Alukset_fx!$Q$56,IF(OR(Q421="Tugboat",Q421="Barge"),0,IF(Q421="Other vessel",Alukset_fx!$Q$54,IF(Q421="Container ship",Alukset_fx!$Q$37,IF(OR(Q421="RoPax",Q421="RoRo",Q421="Vehicle carrier"),Alukset_fx!$Q$55,0))))))))</f>
        <v>0</v>
      </c>
      <c r="Z421" t="str">
        <f t="shared" si="80"/>
        <v>MDO/MGO</v>
      </c>
      <c r="AA421" t="str">
        <f t="shared" si="81"/>
        <v>MSD</v>
      </c>
      <c r="AB421" t="str">
        <f t="shared" si="82"/>
        <v>MDO/MGO</v>
      </c>
      <c r="AC421" t="str">
        <f t="shared" si="83"/>
        <v>MSD</v>
      </c>
      <c r="AD421" t="str">
        <f t="shared" si="84"/>
        <v>MDO/MGO</v>
      </c>
      <c r="AE421" t="str">
        <f t="shared" si="85"/>
        <v>ST</v>
      </c>
      <c r="AG421">
        <f>Alukset_Käynnit!O428</f>
        <v>0</v>
      </c>
      <c r="AH421" s="207">
        <f>IF(AA421="SSD",((U421*Alukset_fx!$B$24)*Alukset_Käynnit_Lask!W421*(Alukset_fx!$K$49)/1000),IF(AA421="MSD",((U421*Alukset_fx!$B$24)*Alukset_Käynnit_Lask!W421*(Alukset_fx!$K$52)/1000),IF(AA421="HSD",((U421*Alukset_fx!$B$24)*Alukset_Käynnit_Lask!W421*(Alukset_fx!$K$55)/1000),0)))</f>
        <v>0</v>
      </c>
      <c r="AI421" s="207">
        <f>IF(AC421="MSD",((V421*Alukset_fx!$B$25)*Alukset_Käynnit_Lask!W421*(Alukset_fx!$L$52)/1000),IF(AC421="HSD",((V421*Alukset_fx!$B$25)*Alukset_Käynnit_Lask!W421*(Alukset_fx!$L$55)/1000),0))</f>
        <v>0</v>
      </c>
      <c r="AJ421" s="207">
        <f>X421*W421*Alukset_fx!$K$61/1000</f>
        <v>0</v>
      </c>
      <c r="AK421">
        <v>0</v>
      </c>
      <c r="AL421" s="207">
        <f>IF(AG421="Käytetty",0,IF(AC421="MSD",((V421*Alukset_fx!$O$25)*Alukset_Käynnit_Lask!O421*(Alukset_fx!$L$52)/1000),IF(AC421="HSD",((V421*Alukset_fx!$O$25)*Alukset_Käynnit_Lask!O421*(Alukset_fx!$L$55)/1000),0)))</f>
        <v>0</v>
      </c>
      <c r="AM421" s="207">
        <f>IF(AG421="Käytetty",0,Y421*O421*Alukset_fx!$K$61/1000)</f>
        <v>0</v>
      </c>
      <c r="AN421" s="213">
        <f t="shared" si="86"/>
        <v>0</v>
      </c>
    </row>
    <row r="422" spans="1:40" x14ac:dyDescent="0.25">
      <c r="A422" s="203">
        <f>Alukset_Käynnit!A429</f>
        <v>0</v>
      </c>
      <c r="B422" s="203">
        <f>Alukset_Käynnit!B429</f>
        <v>0</v>
      </c>
      <c r="C422" s="262">
        <f>Alukset_Käynnit!C429</f>
        <v>0</v>
      </c>
      <c r="D422" s="266">
        <f>Alukset_Käynnit!D429</f>
        <v>0</v>
      </c>
      <c r="E422" s="262">
        <f>Alukset_Käynnit!E429</f>
        <v>0</v>
      </c>
      <c r="F422" s="262">
        <f>Alukset_Käynnit!F429</f>
        <v>0</v>
      </c>
      <c r="G422" s="262">
        <f>Alukset_Käynnit!G429</f>
        <v>0</v>
      </c>
      <c r="H422" s="262">
        <f>Alukset_Käynnit!H429</f>
        <v>0</v>
      </c>
      <c r="I422" s="262">
        <f>Alukset_Käynnit!I429</f>
        <v>0</v>
      </c>
      <c r="J422" s="262">
        <f>Alukset_Käynnit!J429</f>
        <v>0</v>
      </c>
      <c r="K422" s="262">
        <f>Alukset_Käynnit!K429</f>
        <v>0</v>
      </c>
      <c r="L422" s="205">
        <f>Alukset_Käynnit!L429</f>
        <v>0</v>
      </c>
      <c r="N422" s="273">
        <f t="shared" si="87"/>
        <v>0</v>
      </c>
      <c r="O422" s="274">
        <f t="shared" si="88"/>
        <v>0</v>
      </c>
      <c r="Q422" s="204">
        <f t="shared" si="77"/>
        <v>0</v>
      </c>
      <c r="R422" s="202">
        <f>IF(Q422="Other dry cargo",L422*Alukset_fx!$B$71,IF(OR(Q422="Dry bulk",Q422="Bulk carrier"),L422*Alukset_fx!$B$69,IF(Q422="Tugboat",L422*Alukset_fx!$B$76,IF(OR(Q422="Tanker",Q422="Gas tanker",Q422="Chemical tanker",Q422="Oil tanker"),L422*Alukset_fx!$B$68,IF(OR(Q422="RoRo",Q422="Vehicle carrier"),L422*Alukset_fx!$B$72,IF(Q422="RoPax",L422*Alukset_fx!$B$73,IF(Q422="Container ship",L422*Alukset_fx!$B$70,IF(Q422="Barge",0,L422*Alukset_fx!$B$75))))))))</f>
        <v>0</v>
      </c>
      <c r="S422" s="210">
        <f>IF(L422=0,IF(Q422="Other dry cargo",Alukset_fx!$H$73*(Alukset_Käynnit_Lask!K422^Alukset_fx!$I$73),IF(OR(Q422="Dry Bulk",Q422="Bulk carrier"),Alukset_fx!$H$71*(Alukset_Käynnit_Lask!K422^Alukset_fx!$I$71),IF(Q422="Tugboat",Alukset_fx!$H$78*(Alukset_Käynnit_Lask!K422^Alukset_fx!$I$78),IF(OR(Q422="Tanker",Q422="Gas tanker",Q422="Chemical tanker",Q422="Oil tanker"),Alukset_fx!$H$70*(Alukset_Käynnit_Lask!K422^Alukset_fx!$I$70),IF(Q422="Container ship",Alukset_fx!$H$72*(Alukset_Käynnit_Lask!K422^Alukset_fx!$I$72),IF(Q422="Barge",0,IF(Q422="RoPax",Alukset_fx!$H$75*(Alukset_Käynnit_Lask!K422^Alukset_fx!$I$75),IF(OR(Q422="RoRo",Q422="Vehicle carrier"),Alukset_fx!$H$74*(Alukset_Käynnit_Lask!K422^Alukset_fx!$I$74),Alukset_fx!$H$77*(Alukset_Käynnit_Lask!K422^Alukset_fx!$I$77))))))))),"-")</f>
        <v>0</v>
      </c>
      <c r="T422" s="208">
        <f>IF(R422=0,IF(Q422="Other dry cargo",S422*Alukset_fx!$B$71,IF(OR(Q422="Dry bulk",Q422="Bulk carrier"),S422*Alukset_fx!$B$69,IF(Q422="Tugboat",S422*Alukset_fx!$B$76,IF(OR(Q422="Tanker",Q422="Gas tanker",Q422="Chemical tanker",Q422="Oil tanker"),S422*Alukset_fx!$B$68,IF(OR(Q422="RoRo",Q422="Vehicle carrier"),S422*Alukset_fx!$B$72,IF(Q422="RoPax",S422*Alukset_fx!$B$73,IF(Q422="Container ship",S422*Alukset_fx!$B$70,S422*Alukset_fx!$B$75))))))),"-")</f>
        <v>0</v>
      </c>
      <c r="U422" s="208">
        <f t="shared" si="78"/>
        <v>0</v>
      </c>
      <c r="V422" s="208">
        <f t="shared" si="79"/>
        <v>0</v>
      </c>
      <c r="W422" s="202">
        <f>Alukset_Käynnit!N429</f>
        <v>0</v>
      </c>
      <c r="X422" s="211">
        <f>IF(Q422="Other dry cargo", Alukset_fx!$C$52, IF(OR(Q422="Dry bulk",Q422="Bulk carrier"),Alukset_fx!$C$35,IF(OR(Q422="Tanker",Q422="Gas tanker",Q422="Oil tanker"),Alukset_fx!$C$57,IF(Q422="Chemical tanker",Alukset_fx!$C$56,IF(OR(Q422="Tugboat",Q422="Barge"),0,IF(Q422="Other vessel",Alukset_fx!$C$54,IF(Q422="Container ship",Alukset_fx!$C$37,IF(OR(Q422="RoPax",Q422="RoRo",Q422="Vehicle carrier"),Alukset_fx!$C$55,0))))))))</f>
        <v>0</v>
      </c>
      <c r="Y422" s="211">
        <f>IF(Q422="Other dry cargo", Alukset_fx!$Q$52, IF(OR(Q422="Dry bulk",Q422="Bulk carrier"),Alukset_fx!$Q$35,IF(OR(Q422="Tanker",Q422="Gas tanker",Q422="Oil tanker"),Alukset_fx!$Q$57,IF(Q422="Chemical tanker",Alukset_fx!$Q$56,IF(OR(Q422="Tugboat",Q422="Barge"),0,IF(Q422="Other vessel",Alukset_fx!$Q$54,IF(Q422="Container ship",Alukset_fx!$Q$37,IF(OR(Q422="RoPax",Q422="RoRo",Q422="Vehicle carrier"),Alukset_fx!$Q$55,0))))))))</f>
        <v>0</v>
      </c>
      <c r="Z422" t="str">
        <f t="shared" si="80"/>
        <v>MDO/MGO</v>
      </c>
      <c r="AA422" t="str">
        <f t="shared" si="81"/>
        <v>MSD</v>
      </c>
      <c r="AB422" t="str">
        <f t="shared" si="82"/>
        <v>MDO/MGO</v>
      </c>
      <c r="AC422" t="str">
        <f t="shared" si="83"/>
        <v>MSD</v>
      </c>
      <c r="AD422" t="str">
        <f t="shared" si="84"/>
        <v>MDO/MGO</v>
      </c>
      <c r="AE422" t="str">
        <f t="shared" si="85"/>
        <v>ST</v>
      </c>
      <c r="AG422">
        <f>Alukset_Käynnit!O429</f>
        <v>0</v>
      </c>
      <c r="AH422" s="207">
        <f>IF(AA422="SSD",((U422*Alukset_fx!$B$24)*Alukset_Käynnit_Lask!W422*(Alukset_fx!$K$49)/1000),IF(AA422="MSD",((U422*Alukset_fx!$B$24)*Alukset_Käynnit_Lask!W422*(Alukset_fx!$K$52)/1000),IF(AA422="HSD",((U422*Alukset_fx!$B$24)*Alukset_Käynnit_Lask!W422*(Alukset_fx!$K$55)/1000),0)))</f>
        <v>0</v>
      </c>
      <c r="AI422" s="207">
        <f>IF(AC422="MSD",((V422*Alukset_fx!$B$25)*Alukset_Käynnit_Lask!W422*(Alukset_fx!$L$52)/1000),IF(AC422="HSD",((V422*Alukset_fx!$B$25)*Alukset_Käynnit_Lask!W422*(Alukset_fx!$L$55)/1000),0))</f>
        <v>0</v>
      </c>
      <c r="AJ422" s="207">
        <f>X422*W422*Alukset_fx!$K$61/1000</f>
        <v>0</v>
      </c>
      <c r="AK422">
        <v>0</v>
      </c>
      <c r="AL422" s="207">
        <f>IF(AG422="Käytetty",0,IF(AC422="MSD",((V422*Alukset_fx!$O$25)*Alukset_Käynnit_Lask!O422*(Alukset_fx!$L$52)/1000),IF(AC422="HSD",((V422*Alukset_fx!$O$25)*Alukset_Käynnit_Lask!O422*(Alukset_fx!$L$55)/1000),0)))</f>
        <v>0</v>
      </c>
      <c r="AM422" s="207">
        <f>IF(AG422="Käytetty",0,Y422*O422*Alukset_fx!$K$61/1000)</f>
        <v>0</v>
      </c>
      <c r="AN422" s="213">
        <f t="shared" si="86"/>
        <v>0</v>
      </c>
    </row>
    <row r="423" spans="1:40" x14ac:dyDescent="0.25">
      <c r="A423" s="203">
        <f>Alukset_Käynnit!A430</f>
        <v>0</v>
      </c>
      <c r="B423" s="203">
        <f>Alukset_Käynnit!B430</f>
        <v>0</v>
      </c>
      <c r="C423" s="262">
        <f>Alukset_Käynnit!C430</f>
        <v>0</v>
      </c>
      <c r="D423" s="266">
        <f>Alukset_Käynnit!D430</f>
        <v>0</v>
      </c>
      <c r="E423" s="262">
        <f>Alukset_Käynnit!E430</f>
        <v>0</v>
      </c>
      <c r="F423" s="262">
        <f>Alukset_Käynnit!F430</f>
        <v>0</v>
      </c>
      <c r="G423" s="262">
        <f>Alukset_Käynnit!G430</f>
        <v>0</v>
      </c>
      <c r="H423" s="262">
        <f>Alukset_Käynnit!H430</f>
        <v>0</v>
      </c>
      <c r="I423" s="262">
        <f>Alukset_Käynnit!I430</f>
        <v>0</v>
      </c>
      <c r="J423" s="262">
        <f>Alukset_Käynnit!J430</f>
        <v>0</v>
      </c>
      <c r="K423" s="262">
        <f>Alukset_Käynnit!K430</f>
        <v>0</v>
      </c>
      <c r="L423" s="205">
        <f>Alukset_Käynnit!L430</f>
        <v>0</v>
      </c>
      <c r="N423" s="273">
        <f t="shared" si="87"/>
        <v>0</v>
      </c>
      <c r="O423" s="274">
        <f t="shared" si="88"/>
        <v>0</v>
      </c>
      <c r="Q423" s="204">
        <f t="shared" si="77"/>
        <v>0</v>
      </c>
      <c r="R423" s="202">
        <f>IF(Q423="Other dry cargo",L423*Alukset_fx!$B$71,IF(OR(Q423="Dry bulk",Q423="Bulk carrier"),L423*Alukset_fx!$B$69,IF(Q423="Tugboat",L423*Alukset_fx!$B$76,IF(OR(Q423="Tanker",Q423="Gas tanker",Q423="Chemical tanker",Q423="Oil tanker"),L423*Alukset_fx!$B$68,IF(OR(Q423="RoRo",Q423="Vehicle carrier"),L423*Alukset_fx!$B$72,IF(Q423="RoPax",L423*Alukset_fx!$B$73,IF(Q423="Container ship",L423*Alukset_fx!$B$70,IF(Q423="Barge",0,L423*Alukset_fx!$B$75))))))))</f>
        <v>0</v>
      </c>
      <c r="S423" s="210">
        <f>IF(L423=0,IF(Q423="Other dry cargo",Alukset_fx!$H$73*(Alukset_Käynnit_Lask!K423^Alukset_fx!$I$73),IF(OR(Q423="Dry Bulk",Q423="Bulk carrier"),Alukset_fx!$H$71*(Alukset_Käynnit_Lask!K423^Alukset_fx!$I$71),IF(Q423="Tugboat",Alukset_fx!$H$78*(Alukset_Käynnit_Lask!K423^Alukset_fx!$I$78),IF(OR(Q423="Tanker",Q423="Gas tanker",Q423="Chemical tanker",Q423="Oil tanker"),Alukset_fx!$H$70*(Alukset_Käynnit_Lask!K423^Alukset_fx!$I$70),IF(Q423="Container ship",Alukset_fx!$H$72*(Alukset_Käynnit_Lask!K423^Alukset_fx!$I$72),IF(Q423="Barge",0,IF(Q423="RoPax",Alukset_fx!$H$75*(Alukset_Käynnit_Lask!K423^Alukset_fx!$I$75),IF(OR(Q423="RoRo",Q423="Vehicle carrier"),Alukset_fx!$H$74*(Alukset_Käynnit_Lask!K423^Alukset_fx!$I$74),Alukset_fx!$H$77*(Alukset_Käynnit_Lask!K423^Alukset_fx!$I$77))))))))),"-")</f>
        <v>0</v>
      </c>
      <c r="T423" s="208">
        <f>IF(R423=0,IF(Q423="Other dry cargo",S423*Alukset_fx!$B$71,IF(OR(Q423="Dry bulk",Q423="Bulk carrier"),S423*Alukset_fx!$B$69,IF(Q423="Tugboat",S423*Alukset_fx!$B$76,IF(OR(Q423="Tanker",Q423="Gas tanker",Q423="Chemical tanker",Q423="Oil tanker"),S423*Alukset_fx!$B$68,IF(OR(Q423="RoRo",Q423="Vehicle carrier"),S423*Alukset_fx!$B$72,IF(Q423="RoPax",S423*Alukset_fx!$B$73,IF(Q423="Container ship",S423*Alukset_fx!$B$70,S423*Alukset_fx!$B$75))))))),"-")</f>
        <v>0</v>
      </c>
      <c r="U423" s="208">
        <f t="shared" si="78"/>
        <v>0</v>
      </c>
      <c r="V423" s="208">
        <f t="shared" si="79"/>
        <v>0</v>
      </c>
      <c r="W423" s="202">
        <f>Alukset_Käynnit!N430</f>
        <v>0</v>
      </c>
      <c r="X423" s="211">
        <f>IF(Q423="Other dry cargo", Alukset_fx!$C$52, IF(OR(Q423="Dry bulk",Q423="Bulk carrier"),Alukset_fx!$C$35,IF(OR(Q423="Tanker",Q423="Gas tanker",Q423="Oil tanker"),Alukset_fx!$C$57,IF(Q423="Chemical tanker",Alukset_fx!$C$56,IF(OR(Q423="Tugboat",Q423="Barge"),0,IF(Q423="Other vessel",Alukset_fx!$C$54,IF(Q423="Container ship",Alukset_fx!$C$37,IF(OR(Q423="RoPax",Q423="RoRo",Q423="Vehicle carrier"),Alukset_fx!$C$55,0))))))))</f>
        <v>0</v>
      </c>
      <c r="Y423" s="211">
        <f>IF(Q423="Other dry cargo", Alukset_fx!$Q$52, IF(OR(Q423="Dry bulk",Q423="Bulk carrier"),Alukset_fx!$Q$35,IF(OR(Q423="Tanker",Q423="Gas tanker",Q423="Oil tanker"),Alukset_fx!$Q$57,IF(Q423="Chemical tanker",Alukset_fx!$Q$56,IF(OR(Q423="Tugboat",Q423="Barge"),0,IF(Q423="Other vessel",Alukset_fx!$Q$54,IF(Q423="Container ship",Alukset_fx!$Q$37,IF(OR(Q423="RoPax",Q423="RoRo",Q423="Vehicle carrier"),Alukset_fx!$Q$55,0))))))))</f>
        <v>0</v>
      </c>
      <c r="Z423" t="str">
        <f t="shared" si="80"/>
        <v>MDO/MGO</v>
      </c>
      <c r="AA423" t="str">
        <f t="shared" si="81"/>
        <v>MSD</v>
      </c>
      <c r="AB423" t="str">
        <f t="shared" si="82"/>
        <v>MDO/MGO</v>
      </c>
      <c r="AC423" t="str">
        <f t="shared" si="83"/>
        <v>MSD</v>
      </c>
      <c r="AD423" t="str">
        <f t="shared" si="84"/>
        <v>MDO/MGO</v>
      </c>
      <c r="AE423" t="str">
        <f t="shared" si="85"/>
        <v>ST</v>
      </c>
      <c r="AG423">
        <f>Alukset_Käynnit!O430</f>
        <v>0</v>
      </c>
      <c r="AH423" s="207">
        <f>IF(AA423="SSD",((U423*Alukset_fx!$B$24)*Alukset_Käynnit_Lask!W423*(Alukset_fx!$K$49)/1000),IF(AA423="MSD",((U423*Alukset_fx!$B$24)*Alukset_Käynnit_Lask!W423*(Alukset_fx!$K$52)/1000),IF(AA423="HSD",((U423*Alukset_fx!$B$24)*Alukset_Käynnit_Lask!W423*(Alukset_fx!$K$55)/1000),0)))</f>
        <v>0</v>
      </c>
      <c r="AI423" s="207">
        <f>IF(AC423="MSD",((V423*Alukset_fx!$B$25)*Alukset_Käynnit_Lask!W423*(Alukset_fx!$L$52)/1000),IF(AC423="HSD",((V423*Alukset_fx!$B$25)*Alukset_Käynnit_Lask!W423*(Alukset_fx!$L$55)/1000),0))</f>
        <v>0</v>
      </c>
      <c r="AJ423" s="207">
        <f>X423*W423*Alukset_fx!$K$61/1000</f>
        <v>0</v>
      </c>
      <c r="AK423">
        <v>0</v>
      </c>
      <c r="AL423" s="207">
        <f>IF(AG423="Käytetty",0,IF(AC423="MSD",((V423*Alukset_fx!$O$25)*Alukset_Käynnit_Lask!O423*(Alukset_fx!$L$52)/1000),IF(AC423="HSD",((V423*Alukset_fx!$O$25)*Alukset_Käynnit_Lask!O423*(Alukset_fx!$L$55)/1000),0)))</f>
        <v>0</v>
      </c>
      <c r="AM423" s="207">
        <f>IF(AG423="Käytetty",0,Y423*O423*Alukset_fx!$K$61/1000)</f>
        <v>0</v>
      </c>
      <c r="AN423" s="213">
        <f t="shared" si="86"/>
        <v>0</v>
      </c>
    </row>
    <row r="424" spans="1:40" x14ac:dyDescent="0.25">
      <c r="A424" s="203">
        <f>Alukset_Käynnit!A431</f>
        <v>0</v>
      </c>
      <c r="B424" s="203">
        <f>Alukset_Käynnit!B431</f>
        <v>0</v>
      </c>
      <c r="C424" s="262">
        <f>Alukset_Käynnit!C431</f>
        <v>0</v>
      </c>
      <c r="D424" s="266">
        <f>Alukset_Käynnit!D431</f>
        <v>0</v>
      </c>
      <c r="E424" s="262">
        <f>Alukset_Käynnit!E431</f>
        <v>0</v>
      </c>
      <c r="F424" s="262">
        <f>Alukset_Käynnit!F431</f>
        <v>0</v>
      </c>
      <c r="G424" s="262">
        <f>Alukset_Käynnit!G431</f>
        <v>0</v>
      </c>
      <c r="H424" s="262">
        <f>Alukset_Käynnit!H431</f>
        <v>0</v>
      </c>
      <c r="I424" s="262">
        <f>Alukset_Käynnit!I431</f>
        <v>0</v>
      </c>
      <c r="J424" s="262">
        <f>Alukset_Käynnit!J431</f>
        <v>0</v>
      </c>
      <c r="K424" s="262">
        <f>Alukset_Käynnit!K431</f>
        <v>0</v>
      </c>
      <c r="L424" s="205">
        <f>Alukset_Käynnit!L431</f>
        <v>0</v>
      </c>
      <c r="N424" s="273">
        <f t="shared" si="87"/>
        <v>0</v>
      </c>
      <c r="O424" s="274">
        <f t="shared" si="88"/>
        <v>0</v>
      </c>
      <c r="Q424" s="204">
        <f t="shared" si="77"/>
        <v>0</v>
      </c>
      <c r="R424" s="202">
        <f>IF(Q424="Other dry cargo",L424*Alukset_fx!$B$71,IF(OR(Q424="Dry bulk",Q424="Bulk carrier"),L424*Alukset_fx!$B$69,IF(Q424="Tugboat",L424*Alukset_fx!$B$76,IF(OR(Q424="Tanker",Q424="Gas tanker",Q424="Chemical tanker",Q424="Oil tanker"),L424*Alukset_fx!$B$68,IF(OR(Q424="RoRo",Q424="Vehicle carrier"),L424*Alukset_fx!$B$72,IF(Q424="RoPax",L424*Alukset_fx!$B$73,IF(Q424="Container ship",L424*Alukset_fx!$B$70,IF(Q424="Barge",0,L424*Alukset_fx!$B$75))))))))</f>
        <v>0</v>
      </c>
      <c r="S424" s="210">
        <f>IF(L424=0,IF(Q424="Other dry cargo",Alukset_fx!$H$73*(Alukset_Käynnit_Lask!K424^Alukset_fx!$I$73),IF(OR(Q424="Dry Bulk",Q424="Bulk carrier"),Alukset_fx!$H$71*(Alukset_Käynnit_Lask!K424^Alukset_fx!$I$71),IF(Q424="Tugboat",Alukset_fx!$H$78*(Alukset_Käynnit_Lask!K424^Alukset_fx!$I$78),IF(OR(Q424="Tanker",Q424="Gas tanker",Q424="Chemical tanker",Q424="Oil tanker"),Alukset_fx!$H$70*(Alukset_Käynnit_Lask!K424^Alukset_fx!$I$70),IF(Q424="Container ship",Alukset_fx!$H$72*(Alukset_Käynnit_Lask!K424^Alukset_fx!$I$72),IF(Q424="Barge",0,IF(Q424="RoPax",Alukset_fx!$H$75*(Alukset_Käynnit_Lask!K424^Alukset_fx!$I$75),IF(OR(Q424="RoRo",Q424="Vehicle carrier"),Alukset_fx!$H$74*(Alukset_Käynnit_Lask!K424^Alukset_fx!$I$74),Alukset_fx!$H$77*(Alukset_Käynnit_Lask!K424^Alukset_fx!$I$77))))))))),"-")</f>
        <v>0</v>
      </c>
      <c r="T424" s="208">
        <f>IF(R424=0,IF(Q424="Other dry cargo",S424*Alukset_fx!$B$71,IF(OR(Q424="Dry bulk",Q424="Bulk carrier"),S424*Alukset_fx!$B$69,IF(Q424="Tugboat",S424*Alukset_fx!$B$76,IF(OR(Q424="Tanker",Q424="Gas tanker",Q424="Chemical tanker",Q424="Oil tanker"),S424*Alukset_fx!$B$68,IF(OR(Q424="RoRo",Q424="Vehicle carrier"),S424*Alukset_fx!$B$72,IF(Q424="RoPax",S424*Alukset_fx!$B$73,IF(Q424="Container ship",S424*Alukset_fx!$B$70,S424*Alukset_fx!$B$75))))))),"-")</f>
        <v>0</v>
      </c>
      <c r="U424" s="208">
        <f t="shared" si="78"/>
        <v>0</v>
      </c>
      <c r="V424" s="208">
        <f t="shared" si="79"/>
        <v>0</v>
      </c>
      <c r="W424" s="202">
        <f>Alukset_Käynnit!N431</f>
        <v>0</v>
      </c>
      <c r="X424" s="211">
        <f>IF(Q424="Other dry cargo", Alukset_fx!$C$52, IF(OR(Q424="Dry bulk",Q424="Bulk carrier"),Alukset_fx!$C$35,IF(OR(Q424="Tanker",Q424="Gas tanker",Q424="Oil tanker"),Alukset_fx!$C$57,IF(Q424="Chemical tanker",Alukset_fx!$C$56,IF(OR(Q424="Tugboat",Q424="Barge"),0,IF(Q424="Other vessel",Alukset_fx!$C$54,IF(Q424="Container ship",Alukset_fx!$C$37,IF(OR(Q424="RoPax",Q424="RoRo",Q424="Vehicle carrier"),Alukset_fx!$C$55,0))))))))</f>
        <v>0</v>
      </c>
      <c r="Y424" s="211">
        <f>IF(Q424="Other dry cargo", Alukset_fx!$Q$52, IF(OR(Q424="Dry bulk",Q424="Bulk carrier"),Alukset_fx!$Q$35,IF(OR(Q424="Tanker",Q424="Gas tanker",Q424="Oil tanker"),Alukset_fx!$Q$57,IF(Q424="Chemical tanker",Alukset_fx!$Q$56,IF(OR(Q424="Tugboat",Q424="Barge"),0,IF(Q424="Other vessel",Alukset_fx!$Q$54,IF(Q424="Container ship",Alukset_fx!$Q$37,IF(OR(Q424="RoPax",Q424="RoRo",Q424="Vehicle carrier"),Alukset_fx!$Q$55,0))))))))</f>
        <v>0</v>
      </c>
      <c r="Z424" t="str">
        <f t="shared" si="80"/>
        <v>MDO/MGO</v>
      </c>
      <c r="AA424" t="str">
        <f t="shared" si="81"/>
        <v>MSD</v>
      </c>
      <c r="AB424" t="str">
        <f t="shared" si="82"/>
        <v>MDO/MGO</v>
      </c>
      <c r="AC424" t="str">
        <f t="shared" si="83"/>
        <v>MSD</v>
      </c>
      <c r="AD424" t="str">
        <f t="shared" si="84"/>
        <v>MDO/MGO</v>
      </c>
      <c r="AE424" t="str">
        <f t="shared" si="85"/>
        <v>ST</v>
      </c>
      <c r="AG424">
        <f>Alukset_Käynnit!O431</f>
        <v>0</v>
      </c>
      <c r="AH424" s="207">
        <f>IF(AA424="SSD",((U424*Alukset_fx!$B$24)*Alukset_Käynnit_Lask!W424*(Alukset_fx!$K$49)/1000),IF(AA424="MSD",((U424*Alukset_fx!$B$24)*Alukset_Käynnit_Lask!W424*(Alukset_fx!$K$52)/1000),IF(AA424="HSD",((U424*Alukset_fx!$B$24)*Alukset_Käynnit_Lask!W424*(Alukset_fx!$K$55)/1000),0)))</f>
        <v>0</v>
      </c>
      <c r="AI424" s="207">
        <f>IF(AC424="MSD",((V424*Alukset_fx!$B$25)*Alukset_Käynnit_Lask!W424*(Alukset_fx!$L$52)/1000),IF(AC424="HSD",((V424*Alukset_fx!$B$25)*Alukset_Käynnit_Lask!W424*(Alukset_fx!$L$55)/1000),0))</f>
        <v>0</v>
      </c>
      <c r="AJ424" s="207">
        <f>X424*W424*Alukset_fx!$K$61/1000</f>
        <v>0</v>
      </c>
      <c r="AK424">
        <v>0</v>
      </c>
      <c r="AL424" s="207">
        <f>IF(AG424="Käytetty",0,IF(AC424="MSD",((V424*Alukset_fx!$O$25)*Alukset_Käynnit_Lask!O424*(Alukset_fx!$L$52)/1000),IF(AC424="HSD",((V424*Alukset_fx!$O$25)*Alukset_Käynnit_Lask!O424*(Alukset_fx!$L$55)/1000),0)))</f>
        <v>0</v>
      </c>
      <c r="AM424" s="207">
        <f>IF(AG424="Käytetty",0,Y424*O424*Alukset_fx!$K$61/1000)</f>
        <v>0</v>
      </c>
      <c r="AN424" s="213">
        <f t="shared" si="86"/>
        <v>0</v>
      </c>
    </row>
    <row r="425" spans="1:40" x14ac:dyDescent="0.25">
      <c r="A425" s="203">
        <f>Alukset_Käynnit!A432</f>
        <v>0</v>
      </c>
      <c r="B425" s="203">
        <f>Alukset_Käynnit!B432</f>
        <v>0</v>
      </c>
      <c r="C425" s="262">
        <f>Alukset_Käynnit!C432</f>
        <v>0</v>
      </c>
      <c r="D425" s="266">
        <f>Alukset_Käynnit!D432</f>
        <v>0</v>
      </c>
      <c r="E425" s="262">
        <f>Alukset_Käynnit!E432</f>
        <v>0</v>
      </c>
      <c r="F425" s="262">
        <f>Alukset_Käynnit!F432</f>
        <v>0</v>
      </c>
      <c r="G425" s="262">
        <f>Alukset_Käynnit!G432</f>
        <v>0</v>
      </c>
      <c r="H425" s="262">
        <f>Alukset_Käynnit!H432</f>
        <v>0</v>
      </c>
      <c r="I425" s="262">
        <f>Alukset_Käynnit!I432</f>
        <v>0</v>
      </c>
      <c r="J425" s="262">
        <f>Alukset_Käynnit!J432</f>
        <v>0</v>
      </c>
      <c r="K425" s="262">
        <f>Alukset_Käynnit!K432</f>
        <v>0</v>
      </c>
      <c r="L425" s="205">
        <f>Alukset_Käynnit!L432</f>
        <v>0</v>
      </c>
      <c r="N425" s="273">
        <f t="shared" si="87"/>
        <v>0</v>
      </c>
      <c r="O425" s="274">
        <f t="shared" si="88"/>
        <v>0</v>
      </c>
      <c r="Q425" s="204">
        <f t="shared" si="77"/>
        <v>0</v>
      </c>
      <c r="R425" s="202">
        <f>IF(Q425="Other dry cargo",L425*Alukset_fx!$B$71,IF(OR(Q425="Dry bulk",Q425="Bulk carrier"),L425*Alukset_fx!$B$69,IF(Q425="Tugboat",L425*Alukset_fx!$B$76,IF(OR(Q425="Tanker",Q425="Gas tanker",Q425="Chemical tanker",Q425="Oil tanker"),L425*Alukset_fx!$B$68,IF(OR(Q425="RoRo",Q425="Vehicle carrier"),L425*Alukset_fx!$B$72,IF(Q425="RoPax",L425*Alukset_fx!$B$73,IF(Q425="Container ship",L425*Alukset_fx!$B$70,IF(Q425="Barge",0,L425*Alukset_fx!$B$75))))))))</f>
        <v>0</v>
      </c>
      <c r="S425" s="210">
        <f>IF(L425=0,IF(Q425="Other dry cargo",Alukset_fx!$H$73*(Alukset_Käynnit_Lask!K425^Alukset_fx!$I$73),IF(OR(Q425="Dry Bulk",Q425="Bulk carrier"),Alukset_fx!$H$71*(Alukset_Käynnit_Lask!K425^Alukset_fx!$I$71),IF(Q425="Tugboat",Alukset_fx!$H$78*(Alukset_Käynnit_Lask!K425^Alukset_fx!$I$78),IF(OR(Q425="Tanker",Q425="Gas tanker",Q425="Chemical tanker",Q425="Oil tanker"),Alukset_fx!$H$70*(Alukset_Käynnit_Lask!K425^Alukset_fx!$I$70),IF(Q425="Container ship",Alukset_fx!$H$72*(Alukset_Käynnit_Lask!K425^Alukset_fx!$I$72),IF(Q425="Barge",0,IF(Q425="RoPax",Alukset_fx!$H$75*(Alukset_Käynnit_Lask!K425^Alukset_fx!$I$75),IF(OR(Q425="RoRo",Q425="Vehicle carrier"),Alukset_fx!$H$74*(Alukset_Käynnit_Lask!K425^Alukset_fx!$I$74),Alukset_fx!$H$77*(Alukset_Käynnit_Lask!K425^Alukset_fx!$I$77))))))))),"-")</f>
        <v>0</v>
      </c>
      <c r="T425" s="208">
        <f>IF(R425=0,IF(Q425="Other dry cargo",S425*Alukset_fx!$B$71,IF(OR(Q425="Dry bulk",Q425="Bulk carrier"),S425*Alukset_fx!$B$69,IF(Q425="Tugboat",S425*Alukset_fx!$B$76,IF(OR(Q425="Tanker",Q425="Gas tanker",Q425="Chemical tanker",Q425="Oil tanker"),S425*Alukset_fx!$B$68,IF(OR(Q425="RoRo",Q425="Vehicle carrier"),S425*Alukset_fx!$B$72,IF(Q425="RoPax",S425*Alukset_fx!$B$73,IF(Q425="Container ship",S425*Alukset_fx!$B$70,S425*Alukset_fx!$B$75))))))),"-")</f>
        <v>0</v>
      </c>
      <c r="U425" s="208">
        <f t="shared" si="78"/>
        <v>0</v>
      </c>
      <c r="V425" s="208">
        <f t="shared" si="79"/>
        <v>0</v>
      </c>
      <c r="W425" s="202">
        <f>Alukset_Käynnit!N432</f>
        <v>0</v>
      </c>
      <c r="X425" s="211">
        <f>IF(Q425="Other dry cargo", Alukset_fx!$C$52, IF(OR(Q425="Dry bulk",Q425="Bulk carrier"),Alukset_fx!$C$35,IF(OR(Q425="Tanker",Q425="Gas tanker",Q425="Oil tanker"),Alukset_fx!$C$57,IF(Q425="Chemical tanker",Alukset_fx!$C$56,IF(OR(Q425="Tugboat",Q425="Barge"),0,IF(Q425="Other vessel",Alukset_fx!$C$54,IF(Q425="Container ship",Alukset_fx!$C$37,IF(OR(Q425="RoPax",Q425="RoRo",Q425="Vehicle carrier"),Alukset_fx!$C$55,0))))))))</f>
        <v>0</v>
      </c>
      <c r="Y425" s="211">
        <f>IF(Q425="Other dry cargo", Alukset_fx!$Q$52, IF(OR(Q425="Dry bulk",Q425="Bulk carrier"),Alukset_fx!$Q$35,IF(OR(Q425="Tanker",Q425="Gas tanker",Q425="Oil tanker"),Alukset_fx!$Q$57,IF(Q425="Chemical tanker",Alukset_fx!$Q$56,IF(OR(Q425="Tugboat",Q425="Barge"),0,IF(Q425="Other vessel",Alukset_fx!$Q$54,IF(Q425="Container ship",Alukset_fx!$Q$37,IF(OR(Q425="RoPax",Q425="RoRo",Q425="Vehicle carrier"),Alukset_fx!$Q$55,0))))))))</f>
        <v>0</v>
      </c>
      <c r="Z425" t="str">
        <f t="shared" si="80"/>
        <v>MDO/MGO</v>
      </c>
      <c r="AA425" t="str">
        <f t="shared" si="81"/>
        <v>MSD</v>
      </c>
      <c r="AB425" t="str">
        <f t="shared" si="82"/>
        <v>MDO/MGO</v>
      </c>
      <c r="AC425" t="str">
        <f t="shared" si="83"/>
        <v>MSD</v>
      </c>
      <c r="AD425" t="str">
        <f t="shared" si="84"/>
        <v>MDO/MGO</v>
      </c>
      <c r="AE425" t="str">
        <f t="shared" si="85"/>
        <v>ST</v>
      </c>
      <c r="AG425">
        <f>Alukset_Käynnit!O432</f>
        <v>0</v>
      </c>
      <c r="AH425" s="207">
        <f>IF(AA425="SSD",((U425*Alukset_fx!$B$24)*Alukset_Käynnit_Lask!W425*(Alukset_fx!$K$49)/1000),IF(AA425="MSD",((U425*Alukset_fx!$B$24)*Alukset_Käynnit_Lask!W425*(Alukset_fx!$K$52)/1000),IF(AA425="HSD",((U425*Alukset_fx!$B$24)*Alukset_Käynnit_Lask!W425*(Alukset_fx!$K$55)/1000),0)))</f>
        <v>0</v>
      </c>
      <c r="AI425" s="207">
        <f>IF(AC425="MSD",((V425*Alukset_fx!$B$25)*Alukset_Käynnit_Lask!W425*(Alukset_fx!$L$52)/1000),IF(AC425="HSD",((V425*Alukset_fx!$B$25)*Alukset_Käynnit_Lask!W425*(Alukset_fx!$L$55)/1000),0))</f>
        <v>0</v>
      </c>
      <c r="AJ425" s="207">
        <f>X425*W425*Alukset_fx!$K$61/1000</f>
        <v>0</v>
      </c>
      <c r="AK425">
        <v>0</v>
      </c>
      <c r="AL425" s="207">
        <f>IF(AG425="Käytetty",0,IF(AC425="MSD",((V425*Alukset_fx!$O$25)*Alukset_Käynnit_Lask!O425*(Alukset_fx!$L$52)/1000),IF(AC425="HSD",((V425*Alukset_fx!$O$25)*Alukset_Käynnit_Lask!O425*(Alukset_fx!$L$55)/1000),0)))</f>
        <v>0</v>
      </c>
      <c r="AM425" s="207">
        <f>IF(AG425="Käytetty",0,Y425*O425*Alukset_fx!$K$61/1000)</f>
        <v>0</v>
      </c>
      <c r="AN425" s="213">
        <f t="shared" si="86"/>
        <v>0</v>
      </c>
    </row>
    <row r="426" spans="1:40" x14ac:dyDescent="0.25">
      <c r="A426" s="203">
        <f>Alukset_Käynnit!A433</f>
        <v>0</v>
      </c>
      <c r="B426" s="203">
        <f>Alukset_Käynnit!B433</f>
        <v>0</v>
      </c>
      <c r="C426" s="262">
        <f>Alukset_Käynnit!C433</f>
        <v>0</v>
      </c>
      <c r="D426" s="266">
        <f>Alukset_Käynnit!D433</f>
        <v>0</v>
      </c>
      <c r="E426" s="262">
        <f>Alukset_Käynnit!E433</f>
        <v>0</v>
      </c>
      <c r="F426" s="262">
        <f>Alukset_Käynnit!F433</f>
        <v>0</v>
      </c>
      <c r="G426" s="262">
        <f>Alukset_Käynnit!G433</f>
        <v>0</v>
      </c>
      <c r="H426" s="262">
        <f>Alukset_Käynnit!H433</f>
        <v>0</v>
      </c>
      <c r="I426" s="262">
        <f>Alukset_Käynnit!I433</f>
        <v>0</v>
      </c>
      <c r="J426" s="262">
        <f>Alukset_Käynnit!J433</f>
        <v>0</v>
      </c>
      <c r="K426" s="262">
        <f>Alukset_Käynnit!K433</f>
        <v>0</v>
      </c>
      <c r="L426" s="205">
        <f>Alukset_Käynnit!L433</f>
        <v>0</v>
      </c>
      <c r="N426" s="273">
        <f t="shared" si="87"/>
        <v>0</v>
      </c>
      <c r="O426" s="274">
        <f t="shared" si="88"/>
        <v>0</v>
      </c>
      <c r="Q426" s="204">
        <f t="shared" si="77"/>
        <v>0</v>
      </c>
      <c r="R426" s="202">
        <f>IF(Q426="Other dry cargo",L426*Alukset_fx!$B$71,IF(OR(Q426="Dry bulk",Q426="Bulk carrier"),L426*Alukset_fx!$B$69,IF(Q426="Tugboat",L426*Alukset_fx!$B$76,IF(OR(Q426="Tanker",Q426="Gas tanker",Q426="Chemical tanker",Q426="Oil tanker"),L426*Alukset_fx!$B$68,IF(OR(Q426="RoRo",Q426="Vehicle carrier"),L426*Alukset_fx!$B$72,IF(Q426="RoPax",L426*Alukset_fx!$B$73,IF(Q426="Container ship",L426*Alukset_fx!$B$70,IF(Q426="Barge",0,L426*Alukset_fx!$B$75))))))))</f>
        <v>0</v>
      </c>
      <c r="S426" s="210">
        <f>IF(L426=0,IF(Q426="Other dry cargo",Alukset_fx!$H$73*(Alukset_Käynnit_Lask!K426^Alukset_fx!$I$73),IF(OR(Q426="Dry Bulk",Q426="Bulk carrier"),Alukset_fx!$H$71*(Alukset_Käynnit_Lask!K426^Alukset_fx!$I$71),IF(Q426="Tugboat",Alukset_fx!$H$78*(Alukset_Käynnit_Lask!K426^Alukset_fx!$I$78),IF(OR(Q426="Tanker",Q426="Gas tanker",Q426="Chemical tanker",Q426="Oil tanker"),Alukset_fx!$H$70*(Alukset_Käynnit_Lask!K426^Alukset_fx!$I$70),IF(Q426="Container ship",Alukset_fx!$H$72*(Alukset_Käynnit_Lask!K426^Alukset_fx!$I$72),IF(Q426="Barge",0,IF(Q426="RoPax",Alukset_fx!$H$75*(Alukset_Käynnit_Lask!K426^Alukset_fx!$I$75),IF(OR(Q426="RoRo",Q426="Vehicle carrier"),Alukset_fx!$H$74*(Alukset_Käynnit_Lask!K426^Alukset_fx!$I$74),Alukset_fx!$H$77*(Alukset_Käynnit_Lask!K426^Alukset_fx!$I$77))))))))),"-")</f>
        <v>0</v>
      </c>
      <c r="T426" s="208">
        <f>IF(R426=0,IF(Q426="Other dry cargo",S426*Alukset_fx!$B$71,IF(OR(Q426="Dry bulk",Q426="Bulk carrier"),S426*Alukset_fx!$B$69,IF(Q426="Tugboat",S426*Alukset_fx!$B$76,IF(OR(Q426="Tanker",Q426="Gas tanker",Q426="Chemical tanker",Q426="Oil tanker"),S426*Alukset_fx!$B$68,IF(OR(Q426="RoRo",Q426="Vehicle carrier"),S426*Alukset_fx!$B$72,IF(Q426="RoPax",S426*Alukset_fx!$B$73,IF(Q426="Container ship",S426*Alukset_fx!$B$70,S426*Alukset_fx!$B$75))))))),"-")</f>
        <v>0</v>
      </c>
      <c r="U426" s="208">
        <f t="shared" si="78"/>
        <v>0</v>
      </c>
      <c r="V426" s="208">
        <f t="shared" si="79"/>
        <v>0</v>
      </c>
      <c r="W426" s="202">
        <f>Alukset_Käynnit!N433</f>
        <v>0</v>
      </c>
      <c r="X426" s="211">
        <f>IF(Q426="Other dry cargo", Alukset_fx!$C$52, IF(OR(Q426="Dry bulk",Q426="Bulk carrier"),Alukset_fx!$C$35,IF(OR(Q426="Tanker",Q426="Gas tanker",Q426="Oil tanker"),Alukset_fx!$C$57,IF(Q426="Chemical tanker",Alukset_fx!$C$56,IF(OR(Q426="Tugboat",Q426="Barge"),0,IF(Q426="Other vessel",Alukset_fx!$C$54,IF(Q426="Container ship",Alukset_fx!$C$37,IF(OR(Q426="RoPax",Q426="RoRo",Q426="Vehicle carrier"),Alukset_fx!$C$55,0))))))))</f>
        <v>0</v>
      </c>
      <c r="Y426" s="211">
        <f>IF(Q426="Other dry cargo", Alukset_fx!$Q$52, IF(OR(Q426="Dry bulk",Q426="Bulk carrier"),Alukset_fx!$Q$35,IF(OR(Q426="Tanker",Q426="Gas tanker",Q426="Oil tanker"),Alukset_fx!$Q$57,IF(Q426="Chemical tanker",Alukset_fx!$Q$56,IF(OR(Q426="Tugboat",Q426="Barge"),0,IF(Q426="Other vessel",Alukset_fx!$Q$54,IF(Q426="Container ship",Alukset_fx!$Q$37,IF(OR(Q426="RoPax",Q426="RoRo",Q426="Vehicle carrier"),Alukset_fx!$Q$55,0))))))))</f>
        <v>0</v>
      </c>
      <c r="Z426" t="str">
        <f t="shared" si="80"/>
        <v>MDO/MGO</v>
      </c>
      <c r="AA426" t="str">
        <f t="shared" si="81"/>
        <v>MSD</v>
      </c>
      <c r="AB426" t="str">
        <f t="shared" si="82"/>
        <v>MDO/MGO</v>
      </c>
      <c r="AC426" t="str">
        <f t="shared" si="83"/>
        <v>MSD</v>
      </c>
      <c r="AD426" t="str">
        <f t="shared" si="84"/>
        <v>MDO/MGO</v>
      </c>
      <c r="AE426" t="str">
        <f t="shared" si="85"/>
        <v>ST</v>
      </c>
      <c r="AG426">
        <f>Alukset_Käynnit!O433</f>
        <v>0</v>
      </c>
      <c r="AH426" s="207">
        <f>IF(AA426="SSD",((U426*Alukset_fx!$B$24)*Alukset_Käynnit_Lask!W426*(Alukset_fx!$K$49)/1000),IF(AA426="MSD",((U426*Alukset_fx!$B$24)*Alukset_Käynnit_Lask!W426*(Alukset_fx!$K$52)/1000),IF(AA426="HSD",((U426*Alukset_fx!$B$24)*Alukset_Käynnit_Lask!W426*(Alukset_fx!$K$55)/1000),0)))</f>
        <v>0</v>
      </c>
      <c r="AI426" s="207">
        <f>IF(AC426="MSD",((V426*Alukset_fx!$B$25)*Alukset_Käynnit_Lask!W426*(Alukset_fx!$L$52)/1000),IF(AC426="HSD",((V426*Alukset_fx!$B$25)*Alukset_Käynnit_Lask!W426*(Alukset_fx!$L$55)/1000),0))</f>
        <v>0</v>
      </c>
      <c r="AJ426" s="207">
        <f>X426*W426*Alukset_fx!$K$61/1000</f>
        <v>0</v>
      </c>
      <c r="AK426">
        <v>0</v>
      </c>
      <c r="AL426" s="207">
        <f>IF(AG426="Käytetty",0,IF(AC426="MSD",((V426*Alukset_fx!$O$25)*Alukset_Käynnit_Lask!O426*(Alukset_fx!$L$52)/1000),IF(AC426="HSD",((V426*Alukset_fx!$O$25)*Alukset_Käynnit_Lask!O426*(Alukset_fx!$L$55)/1000),0)))</f>
        <v>0</v>
      </c>
      <c r="AM426" s="207">
        <f>IF(AG426="Käytetty",0,Y426*O426*Alukset_fx!$K$61/1000)</f>
        <v>0</v>
      </c>
      <c r="AN426" s="213">
        <f t="shared" si="86"/>
        <v>0</v>
      </c>
    </row>
    <row r="427" spans="1:40" x14ac:dyDescent="0.25">
      <c r="A427" s="203">
        <f>Alukset_Käynnit!A434</f>
        <v>0</v>
      </c>
      <c r="B427" s="203">
        <f>Alukset_Käynnit!B434</f>
        <v>0</v>
      </c>
      <c r="C427" s="262">
        <f>Alukset_Käynnit!C434</f>
        <v>0</v>
      </c>
      <c r="D427" s="266">
        <f>Alukset_Käynnit!D434</f>
        <v>0</v>
      </c>
      <c r="E427" s="262">
        <f>Alukset_Käynnit!E434</f>
        <v>0</v>
      </c>
      <c r="F427" s="262">
        <f>Alukset_Käynnit!F434</f>
        <v>0</v>
      </c>
      <c r="G427" s="262">
        <f>Alukset_Käynnit!G434</f>
        <v>0</v>
      </c>
      <c r="H427" s="262">
        <f>Alukset_Käynnit!H434</f>
        <v>0</v>
      </c>
      <c r="I427" s="262">
        <f>Alukset_Käynnit!I434</f>
        <v>0</v>
      </c>
      <c r="J427" s="262">
        <f>Alukset_Käynnit!J434</f>
        <v>0</v>
      </c>
      <c r="K427" s="262">
        <f>Alukset_Käynnit!K434</f>
        <v>0</v>
      </c>
      <c r="L427" s="205">
        <f>Alukset_Käynnit!L434</f>
        <v>0</v>
      </c>
      <c r="N427" s="273">
        <f t="shared" si="87"/>
        <v>0</v>
      </c>
      <c r="O427" s="274">
        <f t="shared" si="88"/>
        <v>0</v>
      </c>
      <c r="Q427" s="204">
        <f t="shared" si="77"/>
        <v>0</v>
      </c>
      <c r="R427" s="202">
        <f>IF(Q427="Other dry cargo",L427*Alukset_fx!$B$71,IF(OR(Q427="Dry bulk",Q427="Bulk carrier"),L427*Alukset_fx!$B$69,IF(Q427="Tugboat",L427*Alukset_fx!$B$76,IF(OR(Q427="Tanker",Q427="Gas tanker",Q427="Chemical tanker",Q427="Oil tanker"),L427*Alukset_fx!$B$68,IF(OR(Q427="RoRo",Q427="Vehicle carrier"),L427*Alukset_fx!$B$72,IF(Q427="RoPax",L427*Alukset_fx!$B$73,IF(Q427="Container ship",L427*Alukset_fx!$B$70,IF(Q427="Barge",0,L427*Alukset_fx!$B$75))))))))</f>
        <v>0</v>
      </c>
      <c r="S427" s="210">
        <f>IF(L427=0,IF(Q427="Other dry cargo",Alukset_fx!$H$73*(Alukset_Käynnit_Lask!K427^Alukset_fx!$I$73),IF(OR(Q427="Dry Bulk",Q427="Bulk carrier"),Alukset_fx!$H$71*(Alukset_Käynnit_Lask!K427^Alukset_fx!$I$71),IF(Q427="Tugboat",Alukset_fx!$H$78*(Alukset_Käynnit_Lask!K427^Alukset_fx!$I$78),IF(OR(Q427="Tanker",Q427="Gas tanker",Q427="Chemical tanker",Q427="Oil tanker"),Alukset_fx!$H$70*(Alukset_Käynnit_Lask!K427^Alukset_fx!$I$70),IF(Q427="Container ship",Alukset_fx!$H$72*(Alukset_Käynnit_Lask!K427^Alukset_fx!$I$72),IF(Q427="Barge",0,IF(Q427="RoPax",Alukset_fx!$H$75*(Alukset_Käynnit_Lask!K427^Alukset_fx!$I$75),IF(OR(Q427="RoRo",Q427="Vehicle carrier"),Alukset_fx!$H$74*(Alukset_Käynnit_Lask!K427^Alukset_fx!$I$74),Alukset_fx!$H$77*(Alukset_Käynnit_Lask!K427^Alukset_fx!$I$77))))))))),"-")</f>
        <v>0</v>
      </c>
      <c r="T427" s="208">
        <f>IF(R427=0,IF(Q427="Other dry cargo",S427*Alukset_fx!$B$71,IF(OR(Q427="Dry bulk",Q427="Bulk carrier"),S427*Alukset_fx!$B$69,IF(Q427="Tugboat",S427*Alukset_fx!$B$76,IF(OR(Q427="Tanker",Q427="Gas tanker",Q427="Chemical tanker",Q427="Oil tanker"),S427*Alukset_fx!$B$68,IF(OR(Q427="RoRo",Q427="Vehicle carrier"),S427*Alukset_fx!$B$72,IF(Q427="RoPax",S427*Alukset_fx!$B$73,IF(Q427="Container ship",S427*Alukset_fx!$B$70,S427*Alukset_fx!$B$75))))))),"-")</f>
        <v>0</v>
      </c>
      <c r="U427" s="208">
        <f t="shared" si="78"/>
        <v>0</v>
      </c>
      <c r="V427" s="208">
        <f t="shared" si="79"/>
        <v>0</v>
      </c>
      <c r="W427" s="202">
        <f>Alukset_Käynnit!N434</f>
        <v>0</v>
      </c>
      <c r="X427" s="211">
        <f>IF(Q427="Other dry cargo", Alukset_fx!$C$52, IF(OR(Q427="Dry bulk",Q427="Bulk carrier"),Alukset_fx!$C$35,IF(OR(Q427="Tanker",Q427="Gas tanker",Q427="Oil tanker"),Alukset_fx!$C$57,IF(Q427="Chemical tanker",Alukset_fx!$C$56,IF(OR(Q427="Tugboat",Q427="Barge"),0,IF(Q427="Other vessel",Alukset_fx!$C$54,IF(Q427="Container ship",Alukset_fx!$C$37,IF(OR(Q427="RoPax",Q427="RoRo",Q427="Vehicle carrier"),Alukset_fx!$C$55,0))))))))</f>
        <v>0</v>
      </c>
      <c r="Y427" s="211">
        <f>IF(Q427="Other dry cargo", Alukset_fx!$Q$52, IF(OR(Q427="Dry bulk",Q427="Bulk carrier"),Alukset_fx!$Q$35,IF(OR(Q427="Tanker",Q427="Gas tanker",Q427="Oil tanker"),Alukset_fx!$Q$57,IF(Q427="Chemical tanker",Alukset_fx!$Q$56,IF(OR(Q427="Tugboat",Q427="Barge"),0,IF(Q427="Other vessel",Alukset_fx!$Q$54,IF(Q427="Container ship",Alukset_fx!$Q$37,IF(OR(Q427="RoPax",Q427="RoRo",Q427="Vehicle carrier"),Alukset_fx!$Q$55,0))))))))</f>
        <v>0</v>
      </c>
      <c r="Z427" t="str">
        <f t="shared" si="80"/>
        <v>MDO/MGO</v>
      </c>
      <c r="AA427" t="str">
        <f t="shared" si="81"/>
        <v>MSD</v>
      </c>
      <c r="AB427" t="str">
        <f t="shared" si="82"/>
        <v>MDO/MGO</v>
      </c>
      <c r="AC427" t="str">
        <f t="shared" si="83"/>
        <v>MSD</v>
      </c>
      <c r="AD427" t="str">
        <f t="shared" si="84"/>
        <v>MDO/MGO</v>
      </c>
      <c r="AE427" t="str">
        <f t="shared" si="85"/>
        <v>ST</v>
      </c>
      <c r="AG427">
        <f>Alukset_Käynnit!O434</f>
        <v>0</v>
      </c>
      <c r="AH427" s="207">
        <f>IF(AA427="SSD",((U427*Alukset_fx!$B$24)*Alukset_Käynnit_Lask!W427*(Alukset_fx!$K$49)/1000),IF(AA427="MSD",((U427*Alukset_fx!$B$24)*Alukset_Käynnit_Lask!W427*(Alukset_fx!$K$52)/1000),IF(AA427="HSD",((U427*Alukset_fx!$B$24)*Alukset_Käynnit_Lask!W427*(Alukset_fx!$K$55)/1000),0)))</f>
        <v>0</v>
      </c>
      <c r="AI427" s="207">
        <f>IF(AC427="MSD",((V427*Alukset_fx!$B$25)*Alukset_Käynnit_Lask!W427*(Alukset_fx!$L$52)/1000),IF(AC427="HSD",((V427*Alukset_fx!$B$25)*Alukset_Käynnit_Lask!W427*(Alukset_fx!$L$55)/1000),0))</f>
        <v>0</v>
      </c>
      <c r="AJ427" s="207">
        <f>X427*W427*Alukset_fx!$K$61/1000</f>
        <v>0</v>
      </c>
      <c r="AK427">
        <v>0</v>
      </c>
      <c r="AL427" s="207">
        <f>IF(AG427="Käytetty",0,IF(AC427="MSD",((V427*Alukset_fx!$O$25)*Alukset_Käynnit_Lask!O427*(Alukset_fx!$L$52)/1000),IF(AC427="HSD",((V427*Alukset_fx!$O$25)*Alukset_Käynnit_Lask!O427*(Alukset_fx!$L$55)/1000),0)))</f>
        <v>0</v>
      </c>
      <c r="AM427" s="207">
        <f>IF(AG427="Käytetty",0,Y427*O427*Alukset_fx!$K$61/1000)</f>
        <v>0</v>
      </c>
      <c r="AN427" s="213">
        <f t="shared" si="86"/>
        <v>0</v>
      </c>
    </row>
    <row r="428" spans="1:40" x14ac:dyDescent="0.25">
      <c r="A428" s="203">
        <f>Alukset_Käynnit!A435</f>
        <v>0</v>
      </c>
      <c r="B428" s="203">
        <f>Alukset_Käynnit!B435</f>
        <v>0</v>
      </c>
      <c r="C428" s="262">
        <f>Alukset_Käynnit!C435</f>
        <v>0</v>
      </c>
      <c r="D428" s="266">
        <f>Alukset_Käynnit!D435</f>
        <v>0</v>
      </c>
      <c r="E428" s="262">
        <f>Alukset_Käynnit!E435</f>
        <v>0</v>
      </c>
      <c r="F428" s="262">
        <f>Alukset_Käynnit!F435</f>
        <v>0</v>
      </c>
      <c r="G428" s="262">
        <f>Alukset_Käynnit!G435</f>
        <v>0</v>
      </c>
      <c r="H428" s="262">
        <f>Alukset_Käynnit!H435</f>
        <v>0</v>
      </c>
      <c r="I428" s="262">
        <f>Alukset_Käynnit!I435</f>
        <v>0</v>
      </c>
      <c r="J428" s="262">
        <f>Alukset_Käynnit!J435</f>
        <v>0</v>
      </c>
      <c r="K428" s="262">
        <f>Alukset_Käynnit!K435</f>
        <v>0</v>
      </c>
      <c r="L428" s="205">
        <f>Alukset_Käynnit!L435</f>
        <v>0</v>
      </c>
      <c r="N428" s="273">
        <f t="shared" si="87"/>
        <v>0</v>
      </c>
      <c r="O428" s="274">
        <f t="shared" si="88"/>
        <v>0</v>
      </c>
      <c r="Q428" s="204">
        <f t="shared" si="77"/>
        <v>0</v>
      </c>
      <c r="R428" s="202">
        <f>IF(Q428="Other dry cargo",L428*Alukset_fx!$B$71,IF(OR(Q428="Dry bulk",Q428="Bulk carrier"),L428*Alukset_fx!$B$69,IF(Q428="Tugboat",L428*Alukset_fx!$B$76,IF(OR(Q428="Tanker",Q428="Gas tanker",Q428="Chemical tanker",Q428="Oil tanker"),L428*Alukset_fx!$B$68,IF(OR(Q428="RoRo",Q428="Vehicle carrier"),L428*Alukset_fx!$B$72,IF(Q428="RoPax",L428*Alukset_fx!$B$73,IF(Q428="Container ship",L428*Alukset_fx!$B$70,IF(Q428="Barge",0,L428*Alukset_fx!$B$75))))))))</f>
        <v>0</v>
      </c>
      <c r="S428" s="210">
        <f>IF(L428=0,IF(Q428="Other dry cargo",Alukset_fx!$H$73*(Alukset_Käynnit_Lask!K428^Alukset_fx!$I$73),IF(OR(Q428="Dry Bulk",Q428="Bulk carrier"),Alukset_fx!$H$71*(Alukset_Käynnit_Lask!K428^Alukset_fx!$I$71),IF(Q428="Tugboat",Alukset_fx!$H$78*(Alukset_Käynnit_Lask!K428^Alukset_fx!$I$78),IF(OR(Q428="Tanker",Q428="Gas tanker",Q428="Chemical tanker",Q428="Oil tanker"),Alukset_fx!$H$70*(Alukset_Käynnit_Lask!K428^Alukset_fx!$I$70),IF(Q428="Container ship",Alukset_fx!$H$72*(Alukset_Käynnit_Lask!K428^Alukset_fx!$I$72),IF(Q428="Barge",0,IF(Q428="RoPax",Alukset_fx!$H$75*(Alukset_Käynnit_Lask!K428^Alukset_fx!$I$75),IF(OR(Q428="RoRo",Q428="Vehicle carrier"),Alukset_fx!$H$74*(Alukset_Käynnit_Lask!K428^Alukset_fx!$I$74),Alukset_fx!$H$77*(Alukset_Käynnit_Lask!K428^Alukset_fx!$I$77))))))))),"-")</f>
        <v>0</v>
      </c>
      <c r="T428" s="208">
        <f>IF(R428=0,IF(Q428="Other dry cargo",S428*Alukset_fx!$B$71,IF(OR(Q428="Dry bulk",Q428="Bulk carrier"),S428*Alukset_fx!$B$69,IF(Q428="Tugboat",S428*Alukset_fx!$B$76,IF(OR(Q428="Tanker",Q428="Gas tanker",Q428="Chemical tanker",Q428="Oil tanker"),S428*Alukset_fx!$B$68,IF(OR(Q428="RoRo",Q428="Vehicle carrier"),S428*Alukset_fx!$B$72,IF(Q428="RoPax",S428*Alukset_fx!$B$73,IF(Q428="Container ship",S428*Alukset_fx!$B$70,S428*Alukset_fx!$B$75))))))),"-")</f>
        <v>0</v>
      </c>
      <c r="U428" s="208">
        <f t="shared" si="78"/>
        <v>0</v>
      </c>
      <c r="V428" s="208">
        <f t="shared" si="79"/>
        <v>0</v>
      </c>
      <c r="W428" s="202">
        <f>Alukset_Käynnit!N435</f>
        <v>0</v>
      </c>
      <c r="X428" s="211">
        <f>IF(Q428="Other dry cargo", Alukset_fx!$C$52, IF(OR(Q428="Dry bulk",Q428="Bulk carrier"),Alukset_fx!$C$35,IF(OR(Q428="Tanker",Q428="Gas tanker",Q428="Oil tanker"),Alukset_fx!$C$57,IF(Q428="Chemical tanker",Alukset_fx!$C$56,IF(OR(Q428="Tugboat",Q428="Barge"),0,IF(Q428="Other vessel",Alukset_fx!$C$54,IF(Q428="Container ship",Alukset_fx!$C$37,IF(OR(Q428="RoPax",Q428="RoRo",Q428="Vehicle carrier"),Alukset_fx!$C$55,0))))))))</f>
        <v>0</v>
      </c>
      <c r="Y428" s="211">
        <f>IF(Q428="Other dry cargo", Alukset_fx!$Q$52, IF(OR(Q428="Dry bulk",Q428="Bulk carrier"),Alukset_fx!$Q$35,IF(OR(Q428="Tanker",Q428="Gas tanker",Q428="Oil tanker"),Alukset_fx!$Q$57,IF(Q428="Chemical tanker",Alukset_fx!$Q$56,IF(OR(Q428="Tugboat",Q428="Barge"),0,IF(Q428="Other vessel",Alukset_fx!$Q$54,IF(Q428="Container ship",Alukset_fx!$Q$37,IF(OR(Q428="RoPax",Q428="RoRo",Q428="Vehicle carrier"),Alukset_fx!$Q$55,0))))))))</f>
        <v>0</v>
      </c>
      <c r="Z428" t="str">
        <f t="shared" si="80"/>
        <v>MDO/MGO</v>
      </c>
      <c r="AA428" t="str">
        <f t="shared" si="81"/>
        <v>MSD</v>
      </c>
      <c r="AB428" t="str">
        <f t="shared" si="82"/>
        <v>MDO/MGO</v>
      </c>
      <c r="AC428" t="str">
        <f t="shared" si="83"/>
        <v>MSD</v>
      </c>
      <c r="AD428" t="str">
        <f t="shared" si="84"/>
        <v>MDO/MGO</v>
      </c>
      <c r="AE428" t="str">
        <f t="shared" si="85"/>
        <v>ST</v>
      </c>
      <c r="AG428">
        <f>Alukset_Käynnit!O435</f>
        <v>0</v>
      </c>
      <c r="AH428" s="207">
        <f>IF(AA428="SSD",((U428*Alukset_fx!$B$24)*Alukset_Käynnit_Lask!W428*(Alukset_fx!$K$49)/1000),IF(AA428="MSD",((U428*Alukset_fx!$B$24)*Alukset_Käynnit_Lask!W428*(Alukset_fx!$K$52)/1000),IF(AA428="HSD",((U428*Alukset_fx!$B$24)*Alukset_Käynnit_Lask!W428*(Alukset_fx!$K$55)/1000),0)))</f>
        <v>0</v>
      </c>
      <c r="AI428" s="207">
        <f>IF(AC428="MSD",((V428*Alukset_fx!$B$25)*Alukset_Käynnit_Lask!W428*(Alukset_fx!$L$52)/1000),IF(AC428="HSD",((V428*Alukset_fx!$B$25)*Alukset_Käynnit_Lask!W428*(Alukset_fx!$L$55)/1000),0))</f>
        <v>0</v>
      </c>
      <c r="AJ428" s="207">
        <f>X428*W428*Alukset_fx!$K$61/1000</f>
        <v>0</v>
      </c>
      <c r="AK428">
        <v>0</v>
      </c>
      <c r="AL428" s="207">
        <f>IF(AG428="Käytetty",0,IF(AC428="MSD",((V428*Alukset_fx!$O$25)*Alukset_Käynnit_Lask!O428*(Alukset_fx!$L$52)/1000),IF(AC428="HSD",((V428*Alukset_fx!$O$25)*Alukset_Käynnit_Lask!O428*(Alukset_fx!$L$55)/1000),0)))</f>
        <v>0</v>
      </c>
      <c r="AM428" s="207">
        <f>IF(AG428="Käytetty",0,Y428*O428*Alukset_fx!$K$61/1000)</f>
        <v>0</v>
      </c>
      <c r="AN428" s="213">
        <f t="shared" si="86"/>
        <v>0</v>
      </c>
    </row>
    <row r="429" spans="1:40" x14ac:dyDescent="0.25">
      <c r="A429" s="203">
        <f>Alukset_Käynnit!A436</f>
        <v>0</v>
      </c>
      <c r="B429" s="203">
        <f>Alukset_Käynnit!B436</f>
        <v>0</v>
      </c>
      <c r="C429" s="262">
        <f>Alukset_Käynnit!C436</f>
        <v>0</v>
      </c>
      <c r="D429" s="266">
        <f>Alukset_Käynnit!D436</f>
        <v>0</v>
      </c>
      <c r="E429" s="262">
        <f>Alukset_Käynnit!E436</f>
        <v>0</v>
      </c>
      <c r="F429" s="262">
        <f>Alukset_Käynnit!F436</f>
        <v>0</v>
      </c>
      <c r="G429" s="262">
        <f>Alukset_Käynnit!G436</f>
        <v>0</v>
      </c>
      <c r="H429" s="262">
        <f>Alukset_Käynnit!H436</f>
        <v>0</v>
      </c>
      <c r="I429" s="262">
        <f>Alukset_Käynnit!I436</f>
        <v>0</v>
      </c>
      <c r="J429" s="262">
        <f>Alukset_Käynnit!J436</f>
        <v>0</v>
      </c>
      <c r="K429" s="262">
        <f>Alukset_Käynnit!K436</f>
        <v>0</v>
      </c>
      <c r="L429" s="205">
        <f>Alukset_Käynnit!L436</f>
        <v>0</v>
      </c>
      <c r="N429" s="273">
        <f t="shared" si="87"/>
        <v>0</v>
      </c>
      <c r="O429" s="274">
        <f t="shared" si="88"/>
        <v>0</v>
      </c>
      <c r="Q429" s="204">
        <f t="shared" si="77"/>
        <v>0</v>
      </c>
      <c r="R429" s="202">
        <f>IF(Q429="Other dry cargo",L429*Alukset_fx!$B$71,IF(OR(Q429="Dry bulk",Q429="Bulk carrier"),L429*Alukset_fx!$B$69,IF(Q429="Tugboat",L429*Alukset_fx!$B$76,IF(OR(Q429="Tanker",Q429="Gas tanker",Q429="Chemical tanker",Q429="Oil tanker"),L429*Alukset_fx!$B$68,IF(OR(Q429="RoRo",Q429="Vehicle carrier"),L429*Alukset_fx!$B$72,IF(Q429="RoPax",L429*Alukset_fx!$B$73,IF(Q429="Container ship",L429*Alukset_fx!$B$70,IF(Q429="Barge",0,L429*Alukset_fx!$B$75))))))))</f>
        <v>0</v>
      </c>
      <c r="S429" s="210">
        <f>IF(L429=0,IF(Q429="Other dry cargo",Alukset_fx!$H$73*(Alukset_Käynnit_Lask!K429^Alukset_fx!$I$73),IF(OR(Q429="Dry Bulk",Q429="Bulk carrier"),Alukset_fx!$H$71*(Alukset_Käynnit_Lask!K429^Alukset_fx!$I$71),IF(Q429="Tugboat",Alukset_fx!$H$78*(Alukset_Käynnit_Lask!K429^Alukset_fx!$I$78),IF(OR(Q429="Tanker",Q429="Gas tanker",Q429="Chemical tanker",Q429="Oil tanker"),Alukset_fx!$H$70*(Alukset_Käynnit_Lask!K429^Alukset_fx!$I$70),IF(Q429="Container ship",Alukset_fx!$H$72*(Alukset_Käynnit_Lask!K429^Alukset_fx!$I$72),IF(Q429="Barge",0,IF(Q429="RoPax",Alukset_fx!$H$75*(Alukset_Käynnit_Lask!K429^Alukset_fx!$I$75),IF(OR(Q429="RoRo",Q429="Vehicle carrier"),Alukset_fx!$H$74*(Alukset_Käynnit_Lask!K429^Alukset_fx!$I$74),Alukset_fx!$H$77*(Alukset_Käynnit_Lask!K429^Alukset_fx!$I$77))))))))),"-")</f>
        <v>0</v>
      </c>
      <c r="T429" s="208">
        <f>IF(R429=0,IF(Q429="Other dry cargo",S429*Alukset_fx!$B$71,IF(OR(Q429="Dry bulk",Q429="Bulk carrier"),S429*Alukset_fx!$B$69,IF(Q429="Tugboat",S429*Alukset_fx!$B$76,IF(OR(Q429="Tanker",Q429="Gas tanker",Q429="Chemical tanker",Q429="Oil tanker"),S429*Alukset_fx!$B$68,IF(OR(Q429="RoRo",Q429="Vehicle carrier"),S429*Alukset_fx!$B$72,IF(Q429="RoPax",S429*Alukset_fx!$B$73,IF(Q429="Container ship",S429*Alukset_fx!$B$70,S429*Alukset_fx!$B$75))))))),"-")</f>
        <v>0</v>
      </c>
      <c r="U429" s="208">
        <f t="shared" si="78"/>
        <v>0</v>
      </c>
      <c r="V429" s="208">
        <f t="shared" si="79"/>
        <v>0</v>
      </c>
      <c r="W429" s="202">
        <f>Alukset_Käynnit!N436</f>
        <v>0</v>
      </c>
      <c r="X429" s="211">
        <f>IF(Q429="Other dry cargo", Alukset_fx!$C$52, IF(OR(Q429="Dry bulk",Q429="Bulk carrier"),Alukset_fx!$C$35,IF(OR(Q429="Tanker",Q429="Gas tanker",Q429="Oil tanker"),Alukset_fx!$C$57,IF(Q429="Chemical tanker",Alukset_fx!$C$56,IF(OR(Q429="Tugboat",Q429="Barge"),0,IF(Q429="Other vessel",Alukset_fx!$C$54,IF(Q429="Container ship",Alukset_fx!$C$37,IF(OR(Q429="RoPax",Q429="RoRo",Q429="Vehicle carrier"),Alukset_fx!$C$55,0))))))))</f>
        <v>0</v>
      </c>
      <c r="Y429" s="211">
        <f>IF(Q429="Other dry cargo", Alukset_fx!$Q$52, IF(OR(Q429="Dry bulk",Q429="Bulk carrier"),Alukset_fx!$Q$35,IF(OR(Q429="Tanker",Q429="Gas tanker",Q429="Oil tanker"),Alukset_fx!$Q$57,IF(Q429="Chemical tanker",Alukset_fx!$Q$56,IF(OR(Q429="Tugboat",Q429="Barge"),0,IF(Q429="Other vessel",Alukset_fx!$Q$54,IF(Q429="Container ship",Alukset_fx!$Q$37,IF(OR(Q429="RoPax",Q429="RoRo",Q429="Vehicle carrier"),Alukset_fx!$Q$55,0))))))))</f>
        <v>0</v>
      </c>
      <c r="Z429" t="str">
        <f t="shared" si="80"/>
        <v>MDO/MGO</v>
      </c>
      <c r="AA429" t="str">
        <f t="shared" si="81"/>
        <v>MSD</v>
      </c>
      <c r="AB429" t="str">
        <f t="shared" si="82"/>
        <v>MDO/MGO</v>
      </c>
      <c r="AC429" t="str">
        <f t="shared" si="83"/>
        <v>MSD</v>
      </c>
      <c r="AD429" t="str">
        <f t="shared" si="84"/>
        <v>MDO/MGO</v>
      </c>
      <c r="AE429" t="str">
        <f t="shared" si="85"/>
        <v>ST</v>
      </c>
      <c r="AG429">
        <f>Alukset_Käynnit!O436</f>
        <v>0</v>
      </c>
      <c r="AH429" s="207">
        <f>IF(AA429="SSD",((U429*Alukset_fx!$B$24)*Alukset_Käynnit_Lask!W429*(Alukset_fx!$K$49)/1000),IF(AA429="MSD",((U429*Alukset_fx!$B$24)*Alukset_Käynnit_Lask!W429*(Alukset_fx!$K$52)/1000),IF(AA429="HSD",((U429*Alukset_fx!$B$24)*Alukset_Käynnit_Lask!W429*(Alukset_fx!$K$55)/1000),0)))</f>
        <v>0</v>
      </c>
      <c r="AI429" s="207">
        <f>IF(AC429="MSD",((V429*Alukset_fx!$B$25)*Alukset_Käynnit_Lask!W429*(Alukset_fx!$L$52)/1000),IF(AC429="HSD",((V429*Alukset_fx!$B$25)*Alukset_Käynnit_Lask!W429*(Alukset_fx!$L$55)/1000),0))</f>
        <v>0</v>
      </c>
      <c r="AJ429" s="207">
        <f>X429*W429*Alukset_fx!$K$61/1000</f>
        <v>0</v>
      </c>
      <c r="AK429">
        <v>0</v>
      </c>
      <c r="AL429" s="207">
        <f>IF(AG429="Käytetty",0,IF(AC429="MSD",((V429*Alukset_fx!$O$25)*Alukset_Käynnit_Lask!O429*(Alukset_fx!$L$52)/1000),IF(AC429="HSD",((V429*Alukset_fx!$O$25)*Alukset_Käynnit_Lask!O429*(Alukset_fx!$L$55)/1000),0)))</f>
        <v>0</v>
      </c>
      <c r="AM429" s="207">
        <f>IF(AG429="Käytetty",0,Y429*O429*Alukset_fx!$K$61/1000)</f>
        <v>0</v>
      </c>
      <c r="AN429" s="213">
        <f t="shared" si="86"/>
        <v>0</v>
      </c>
    </row>
    <row r="430" spans="1:40" x14ac:dyDescent="0.25">
      <c r="A430" s="203">
        <f>Alukset_Käynnit!A437</f>
        <v>0</v>
      </c>
      <c r="B430" s="203">
        <f>Alukset_Käynnit!B437</f>
        <v>0</v>
      </c>
      <c r="C430" s="262">
        <f>Alukset_Käynnit!C437</f>
        <v>0</v>
      </c>
      <c r="D430" s="266">
        <f>Alukset_Käynnit!D437</f>
        <v>0</v>
      </c>
      <c r="E430" s="262">
        <f>Alukset_Käynnit!E437</f>
        <v>0</v>
      </c>
      <c r="F430" s="262">
        <f>Alukset_Käynnit!F437</f>
        <v>0</v>
      </c>
      <c r="G430" s="262">
        <f>Alukset_Käynnit!G437</f>
        <v>0</v>
      </c>
      <c r="H430" s="262">
        <f>Alukset_Käynnit!H437</f>
        <v>0</v>
      </c>
      <c r="I430" s="262">
        <f>Alukset_Käynnit!I437</f>
        <v>0</v>
      </c>
      <c r="J430" s="262">
        <f>Alukset_Käynnit!J437</f>
        <v>0</v>
      </c>
      <c r="K430" s="262">
        <f>Alukset_Käynnit!K437</f>
        <v>0</v>
      </c>
      <c r="L430" s="205">
        <f>Alukset_Käynnit!L437</f>
        <v>0</v>
      </c>
      <c r="N430" s="273">
        <f t="shared" si="87"/>
        <v>0</v>
      </c>
      <c r="O430" s="274">
        <f t="shared" si="88"/>
        <v>0</v>
      </c>
      <c r="Q430" s="204">
        <f t="shared" si="77"/>
        <v>0</v>
      </c>
      <c r="R430" s="202">
        <f>IF(Q430="Other dry cargo",L430*Alukset_fx!$B$71,IF(OR(Q430="Dry bulk",Q430="Bulk carrier"),L430*Alukset_fx!$B$69,IF(Q430="Tugboat",L430*Alukset_fx!$B$76,IF(OR(Q430="Tanker",Q430="Gas tanker",Q430="Chemical tanker",Q430="Oil tanker"),L430*Alukset_fx!$B$68,IF(OR(Q430="RoRo",Q430="Vehicle carrier"),L430*Alukset_fx!$B$72,IF(Q430="RoPax",L430*Alukset_fx!$B$73,IF(Q430="Container ship",L430*Alukset_fx!$B$70,IF(Q430="Barge",0,L430*Alukset_fx!$B$75))))))))</f>
        <v>0</v>
      </c>
      <c r="S430" s="210">
        <f>IF(L430=0,IF(Q430="Other dry cargo",Alukset_fx!$H$73*(Alukset_Käynnit_Lask!K430^Alukset_fx!$I$73),IF(OR(Q430="Dry Bulk",Q430="Bulk carrier"),Alukset_fx!$H$71*(Alukset_Käynnit_Lask!K430^Alukset_fx!$I$71),IF(Q430="Tugboat",Alukset_fx!$H$78*(Alukset_Käynnit_Lask!K430^Alukset_fx!$I$78),IF(OR(Q430="Tanker",Q430="Gas tanker",Q430="Chemical tanker",Q430="Oil tanker"),Alukset_fx!$H$70*(Alukset_Käynnit_Lask!K430^Alukset_fx!$I$70),IF(Q430="Container ship",Alukset_fx!$H$72*(Alukset_Käynnit_Lask!K430^Alukset_fx!$I$72),IF(Q430="Barge",0,IF(Q430="RoPax",Alukset_fx!$H$75*(Alukset_Käynnit_Lask!K430^Alukset_fx!$I$75),IF(OR(Q430="RoRo",Q430="Vehicle carrier"),Alukset_fx!$H$74*(Alukset_Käynnit_Lask!K430^Alukset_fx!$I$74),Alukset_fx!$H$77*(Alukset_Käynnit_Lask!K430^Alukset_fx!$I$77))))))))),"-")</f>
        <v>0</v>
      </c>
      <c r="T430" s="208">
        <f>IF(R430=0,IF(Q430="Other dry cargo",S430*Alukset_fx!$B$71,IF(OR(Q430="Dry bulk",Q430="Bulk carrier"),S430*Alukset_fx!$B$69,IF(Q430="Tugboat",S430*Alukset_fx!$B$76,IF(OR(Q430="Tanker",Q430="Gas tanker",Q430="Chemical tanker",Q430="Oil tanker"),S430*Alukset_fx!$B$68,IF(OR(Q430="RoRo",Q430="Vehicle carrier"),S430*Alukset_fx!$B$72,IF(Q430="RoPax",S430*Alukset_fx!$B$73,IF(Q430="Container ship",S430*Alukset_fx!$B$70,S430*Alukset_fx!$B$75))))))),"-")</f>
        <v>0</v>
      </c>
      <c r="U430" s="208">
        <f t="shared" si="78"/>
        <v>0</v>
      </c>
      <c r="V430" s="208">
        <f t="shared" si="79"/>
        <v>0</v>
      </c>
      <c r="W430" s="202">
        <f>Alukset_Käynnit!N437</f>
        <v>0</v>
      </c>
      <c r="X430" s="211">
        <f>IF(Q430="Other dry cargo", Alukset_fx!$C$52, IF(OR(Q430="Dry bulk",Q430="Bulk carrier"),Alukset_fx!$C$35,IF(OR(Q430="Tanker",Q430="Gas tanker",Q430="Oil tanker"),Alukset_fx!$C$57,IF(Q430="Chemical tanker",Alukset_fx!$C$56,IF(OR(Q430="Tugboat",Q430="Barge"),0,IF(Q430="Other vessel",Alukset_fx!$C$54,IF(Q430="Container ship",Alukset_fx!$C$37,IF(OR(Q430="RoPax",Q430="RoRo",Q430="Vehicle carrier"),Alukset_fx!$C$55,0))))))))</f>
        <v>0</v>
      </c>
      <c r="Y430" s="211">
        <f>IF(Q430="Other dry cargo", Alukset_fx!$Q$52, IF(OR(Q430="Dry bulk",Q430="Bulk carrier"),Alukset_fx!$Q$35,IF(OR(Q430="Tanker",Q430="Gas tanker",Q430="Oil tanker"),Alukset_fx!$Q$57,IF(Q430="Chemical tanker",Alukset_fx!$Q$56,IF(OR(Q430="Tugboat",Q430="Barge"),0,IF(Q430="Other vessel",Alukset_fx!$Q$54,IF(Q430="Container ship",Alukset_fx!$Q$37,IF(OR(Q430="RoPax",Q430="RoRo",Q430="Vehicle carrier"),Alukset_fx!$Q$55,0))))))))</f>
        <v>0</v>
      </c>
      <c r="Z430" t="str">
        <f t="shared" si="80"/>
        <v>MDO/MGO</v>
      </c>
      <c r="AA430" t="str">
        <f t="shared" si="81"/>
        <v>MSD</v>
      </c>
      <c r="AB430" t="str">
        <f t="shared" si="82"/>
        <v>MDO/MGO</v>
      </c>
      <c r="AC430" t="str">
        <f t="shared" si="83"/>
        <v>MSD</v>
      </c>
      <c r="AD430" t="str">
        <f t="shared" si="84"/>
        <v>MDO/MGO</v>
      </c>
      <c r="AE430" t="str">
        <f t="shared" si="85"/>
        <v>ST</v>
      </c>
      <c r="AG430">
        <f>Alukset_Käynnit!O437</f>
        <v>0</v>
      </c>
      <c r="AH430" s="207">
        <f>IF(AA430="SSD",((U430*Alukset_fx!$B$24)*Alukset_Käynnit_Lask!W430*(Alukset_fx!$K$49)/1000),IF(AA430="MSD",((U430*Alukset_fx!$B$24)*Alukset_Käynnit_Lask!W430*(Alukset_fx!$K$52)/1000),IF(AA430="HSD",((U430*Alukset_fx!$B$24)*Alukset_Käynnit_Lask!W430*(Alukset_fx!$K$55)/1000),0)))</f>
        <v>0</v>
      </c>
      <c r="AI430" s="207">
        <f>IF(AC430="MSD",((V430*Alukset_fx!$B$25)*Alukset_Käynnit_Lask!W430*(Alukset_fx!$L$52)/1000),IF(AC430="HSD",((V430*Alukset_fx!$B$25)*Alukset_Käynnit_Lask!W430*(Alukset_fx!$L$55)/1000),0))</f>
        <v>0</v>
      </c>
      <c r="AJ430" s="207">
        <f>X430*W430*Alukset_fx!$K$61/1000</f>
        <v>0</v>
      </c>
      <c r="AK430">
        <v>0</v>
      </c>
      <c r="AL430" s="207">
        <f>IF(AG430="Käytetty",0,IF(AC430="MSD",((V430*Alukset_fx!$O$25)*Alukset_Käynnit_Lask!O430*(Alukset_fx!$L$52)/1000),IF(AC430="HSD",((V430*Alukset_fx!$O$25)*Alukset_Käynnit_Lask!O430*(Alukset_fx!$L$55)/1000),0)))</f>
        <v>0</v>
      </c>
      <c r="AM430" s="207">
        <f>IF(AG430="Käytetty",0,Y430*O430*Alukset_fx!$K$61/1000)</f>
        <v>0</v>
      </c>
      <c r="AN430" s="213">
        <f t="shared" si="86"/>
        <v>0</v>
      </c>
    </row>
    <row r="431" spans="1:40" x14ac:dyDescent="0.25">
      <c r="A431" s="203">
        <f>Alukset_Käynnit!A438</f>
        <v>0</v>
      </c>
      <c r="B431" s="203">
        <f>Alukset_Käynnit!B438</f>
        <v>0</v>
      </c>
      <c r="C431" s="262">
        <f>Alukset_Käynnit!C438</f>
        <v>0</v>
      </c>
      <c r="D431" s="266">
        <f>Alukset_Käynnit!D438</f>
        <v>0</v>
      </c>
      <c r="E431" s="262">
        <f>Alukset_Käynnit!E438</f>
        <v>0</v>
      </c>
      <c r="F431" s="262">
        <f>Alukset_Käynnit!F438</f>
        <v>0</v>
      </c>
      <c r="G431" s="262">
        <f>Alukset_Käynnit!G438</f>
        <v>0</v>
      </c>
      <c r="H431" s="262">
        <f>Alukset_Käynnit!H438</f>
        <v>0</v>
      </c>
      <c r="I431" s="262">
        <f>Alukset_Käynnit!I438</f>
        <v>0</v>
      </c>
      <c r="J431" s="262">
        <f>Alukset_Käynnit!J438</f>
        <v>0</v>
      </c>
      <c r="K431" s="262">
        <f>Alukset_Käynnit!K438</f>
        <v>0</v>
      </c>
      <c r="L431" s="205">
        <f>Alukset_Käynnit!L438</f>
        <v>0</v>
      </c>
      <c r="N431" s="273">
        <f t="shared" si="87"/>
        <v>0</v>
      </c>
      <c r="O431" s="274">
        <f t="shared" si="88"/>
        <v>0</v>
      </c>
      <c r="Q431" s="204">
        <f t="shared" si="77"/>
        <v>0</v>
      </c>
      <c r="R431" s="202">
        <f>IF(Q431="Other dry cargo",L431*Alukset_fx!$B$71,IF(OR(Q431="Dry bulk",Q431="Bulk carrier"),L431*Alukset_fx!$B$69,IF(Q431="Tugboat",L431*Alukset_fx!$B$76,IF(OR(Q431="Tanker",Q431="Gas tanker",Q431="Chemical tanker",Q431="Oil tanker"),L431*Alukset_fx!$B$68,IF(OR(Q431="RoRo",Q431="Vehicle carrier"),L431*Alukset_fx!$B$72,IF(Q431="RoPax",L431*Alukset_fx!$B$73,IF(Q431="Container ship",L431*Alukset_fx!$B$70,IF(Q431="Barge",0,L431*Alukset_fx!$B$75))))))))</f>
        <v>0</v>
      </c>
      <c r="S431" s="210">
        <f>IF(L431=0,IF(Q431="Other dry cargo",Alukset_fx!$H$73*(Alukset_Käynnit_Lask!K431^Alukset_fx!$I$73),IF(OR(Q431="Dry Bulk",Q431="Bulk carrier"),Alukset_fx!$H$71*(Alukset_Käynnit_Lask!K431^Alukset_fx!$I$71),IF(Q431="Tugboat",Alukset_fx!$H$78*(Alukset_Käynnit_Lask!K431^Alukset_fx!$I$78),IF(OR(Q431="Tanker",Q431="Gas tanker",Q431="Chemical tanker",Q431="Oil tanker"),Alukset_fx!$H$70*(Alukset_Käynnit_Lask!K431^Alukset_fx!$I$70),IF(Q431="Container ship",Alukset_fx!$H$72*(Alukset_Käynnit_Lask!K431^Alukset_fx!$I$72),IF(Q431="Barge",0,IF(Q431="RoPax",Alukset_fx!$H$75*(Alukset_Käynnit_Lask!K431^Alukset_fx!$I$75),IF(OR(Q431="RoRo",Q431="Vehicle carrier"),Alukset_fx!$H$74*(Alukset_Käynnit_Lask!K431^Alukset_fx!$I$74),Alukset_fx!$H$77*(Alukset_Käynnit_Lask!K431^Alukset_fx!$I$77))))))))),"-")</f>
        <v>0</v>
      </c>
      <c r="T431" s="208">
        <f>IF(R431=0,IF(Q431="Other dry cargo",S431*Alukset_fx!$B$71,IF(OR(Q431="Dry bulk",Q431="Bulk carrier"),S431*Alukset_fx!$B$69,IF(Q431="Tugboat",S431*Alukset_fx!$B$76,IF(OR(Q431="Tanker",Q431="Gas tanker",Q431="Chemical tanker",Q431="Oil tanker"),S431*Alukset_fx!$B$68,IF(OR(Q431="RoRo",Q431="Vehicle carrier"),S431*Alukset_fx!$B$72,IF(Q431="RoPax",S431*Alukset_fx!$B$73,IF(Q431="Container ship",S431*Alukset_fx!$B$70,S431*Alukset_fx!$B$75))))))),"-")</f>
        <v>0</v>
      </c>
      <c r="U431" s="208">
        <f t="shared" si="78"/>
        <v>0</v>
      </c>
      <c r="V431" s="208">
        <f t="shared" si="79"/>
        <v>0</v>
      </c>
      <c r="W431" s="202">
        <f>Alukset_Käynnit!N438</f>
        <v>0</v>
      </c>
      <c r="X431" s="211">
        <f>IF(Q431="Other dry cargo", Alukset_fx!$C$52, IF(OR(Q431="Dry bulk",Q431="Bulk carrier"),Alukset_fx!$C$35,IF(OR(Q431="Tanker",Q431="Gas tanker",Q431="Oil tanker"),Alukset_fx!$C$57,IF(Q431="Chemical tanker",Alukset_fx!$C$56,IF(OR(Q431="Tugboat",Q431="Barge"),0,IF(Q431="Other vessel",Alukset_fx!$C$54,IF(Q431="Container ship",Alukset_fx!$C$37,IF(OR(Q431="RoPax",Q431="RoRo",Q431="Vehicle carrier"),Alukset_fx!$C$55,0))))))))</f>
        <v>0</v>
      </c>
      <c r="Y431" s="211">
        <f>IF(Q431="Other dry cargo", Alukset_fx!$Q$52, IF(OR(Q431="Dry bulk",Q431="Bulk carrier"),Alukset_fx!$Q$35,IF(OR(Q431="Tanker",Q431="Gas tanker",Q431="Oil tanker"),Alukset_fx!$Q$57,IF(Q431="Chemical tanker",Alukset_fx!$Q$56,IF(OR(Q431="Tugboat",Q431="Barge"),0,IF(Q431="Other vessel",Alukset_fx!$Q$54,IF(Q431="Container ship",Alukset_fx!$Q$37,IF(OR(Q431="RoPax",Q431="RoRo",Q431="Vehicle carrier"),Alukset_fx!$Q$55,0))))))))</f>
        <v>0</v>
      </c>
      <c r="Z431" t="str">
        <f t="shared" si="80"/>
        <v>MDO/MGO</v>
      </c>
      <c r="AA431" t="str">
        <f t="shared" si="81"/>
        <v>MSD</v>
      </c>
      <c r="AB431" t="str">
        <f t="shared" si="82"/>
        <v>MDO/MGO</v>
      </c>
      <c r="AC431" t="str">
        <f t="shared" si="83"/>
        <v>MSD</v>
      </c>
      <c r="AD431" t="str">
        <f t="shared" si="84"/>
        <v>MDO/MGO</v>
      </c>
      <c r="AE431" t="str">
        <f t="shared" si="85"/>
        <v>ST</v>
      </c>
      <c r="AG431">
        <f>Alukset_Käynnit!O438</f>
        <v>0</v>
      </c>
      <c r="AH431" s="207">
        <f>IF(AA431="SSD",((U431*Alukset_fx!$B$24)*Alukset_Käynnit_Lask!W431*(Alukset_fx!$K$49)/1000),IF(AA431="MSD",((U431*Alukset_fx!$B$24)*Alukset_Käynnit_Lask!W431*(Alukset_fx!$K$52)/1000),IF(AA431="HSD",((U431*Alukset_fx!$B$24)*Alukset_Käynnit_Lask!W431*(Alukset_fx!$K$55)/1000),0)))</f>
        <v>0</v>
      </c>
      <c r="AI431" s="207">
        <f>IF(AC431="MSD",((V431*Alukset_fx!$B$25)*Alukset_Käynnit_Lask!W431*(Alukset_fx!$L$52)/1000),IF(AC431="HSD",((V431*Alukset_fx!$B$25)*Alukset_Käynnit_Lask!W431*(Alukset_fx!$L$55)/1000),0))</f>
        <v>0</v>
      </c>
      <c r="AJ431" s="207">
        <f>X431*W431*Alukset_fx!$K$61/1000</f>
        <v>0</v>
      </c>
      <c r="AK431">
        <v>0</v>
      </c>
      <c r="AL431" s="207">
        <f>IF(AG431="Käytetty",0,IF(AC431="MSD",((V431*Alukset_fx!$O$25)*Alukset_Käynnit_Lask!O431*(Alukset_fx!$L$52)/1000),IF(AC431="HSD",((V431*Alukset_fx!$O$25)*Alukset_Käynnit_Lask!O431*(Alukset_fx!$L$55)/1000),0)))</f>
        <v>0</v>
      </c>
      <c r="AM431" s="207">
        <f>IF(AG431="Käytetty",0,Y431*O431*Alukset_fx!$K$61/1000)</f>
        <v>0</v>
      </c>
      <c r="AN431" s="213">
        <f t="shared" si="86"/>
        <v>0</v>
      </c>
    </row>
    <row r="432" spans="1:40" x14ac:dyDescent="0.25">
      <c r="A432" s="203">
        <f>Alukset_Käynnit!A439</f>
        <v>0</v>
      </c>
      <c r="B432" s="203">
        <f>Alukset_Käynnit!B439</f>
        <v>0</v>
      </c>
      <c r="C432" s="262">
        <f>Alukset_Käynnit!C439</f>
        <v>0</v>
      </c>
      <c r="D432" s="266">
        <f>Alukset_Käynnit!D439</f>
        <v>0</v>
      </c>
      <c r="E432" s="262">
        <f>Alukset_Käynnit!E439</f>
        <v>0</v>
      </c>
      <c r="F432" s="262">
        <f>Alukset_Käynnit!F439</f>
        <v>0</v>
      </c>
      <c r="G432" s="262">
        <f>Alukset_Käynnit!G439</f>
        <v>0</v>
      </c>
      <c r="H432" s="262">
        <f>Alukset_Käynnit!H439</f>
        <v>0</v>
      </c>
      <c r="I432" s="262">
        <f>Alukset_Käynnit!I439</f>
        <v>0</v>
      </c>
      <c r="J432" s="262">
        <f>Alukset_Käynnit!J439</f>
        <v>0</v>
      </c>
      <c r="K432" s="262">
        <f>Alukset_Käynnit!K439</f>
        <v>0</v>
      </c>
      <c r="L432" s="205">
        <f>Alukset_Käynnit!L439</f>
        <v>0</v>
      </c>
      <c r="N432" s="273">
        <f t="shared" si="87"/>
        <v>0</v>
      </c>
      <c r="O432" s="274">
        <f t="shared" si="88"/>
        <v>0</v>
      </c>
      <c r="Q432" s="204">
        <f t="shared" si="77"/>
        <v>0</v>
      </c>
      <c r="R432" s="202">
        <f>IF(Q432="Other dry cargo",L432*Alukset_fx!$B$71,IF(OR(Q432="Dry bulk",Q432="Bulk carrier"),L432*Alukset_fx!$B$69,IF(Q432="Tugboat",L432*Alukset_fx!$B$76,IF(OR(Q432="Tanker",Q432="Gas tanker",Q432="Chemical tanker",Q432="Oil tanker"),L432*Alukset_fx!$B$68,IF(OR(Q432="RoRo",Q432="Vehicle carrier"),L432*Alukset_fx!$B$72,IF(Q432="RoPax",L432*Alukset_fx!$B$73,IF(Q432="Container ship",L432*Alukset_fx!$B$70,IF(Q432="Barge",0,L432*Alukset_fx!$B$75))))))))</f>
        <v>0</v>
      </c>
      <c r="S432" s="210">
        <f>IF(L432=0,IF(Q432="Other dry cargo",Alukset_fx!$H$73*(Alukset_Käynnit_Lask!K432^Alukset_fx!$I$73),IF(OR(Q432="Dry Bulk",Q432="Bulk carrier"),Alukset_fx!$H$71*(Alukset_Käynnit_Lask!K432^Alukset_fx!$I$71),IF(Q432="Tugboat",Alukset_fx!$H$78*(Alukset_Käynnit_Lask!K432^Alukset_fx!$I$78),IF(OR(Q432="Tanker",Q432="Gas tanker",Q432="Chemical tanker",Q432="Oil tanker"),Alukset_fx!$H$70*(Alukset_Käynnit_Lask!K432^Alukset_fx!$I$70),IF(Q432="Container ship",Alukset_fx!$H$72*(Alukset_Käynnit_Lask!K432^Alukset_fx!$I$72),IF(Q432="Barge",0,IF(Q432="RoPax",Alukset_fx!$H$75*(Alukset_Käynnit_Lask!K432^Alukset_fx!$I$75),IF(OR(Q432="RoRo",Q432="Vehicle carrier"),Alukset_fx!$H$74*(Alukset_Käynnit_Lask!K432^Alukset_fx!$I$74),Alukset_fx!$H$77*(Alukset_Käynnit_Lask!K432^Alukset_fx!$I$77))))))))),"-")</f>
        <v>0</v>
      </c>
      <c r="T432" s="208">
        <f>IF(R432=0,IF(Q432="Other dry cargo",S432*Alukset_fx!$B$71,IF(OR(Q432="Dry bulk",Q432="Bulk carrier"),S432*Alukset_fx!$B$69,IF(Q432="Tugboat",S432*Alukset_fx!$B$76,IF(OR(Q432="Tanker",Q432="Gas tanker",Q432="Chemical tanker",Q432="Oil tanker"),S432*Alukset_fx!$B$68,IF(OR(Q432="RoRo",Q432="Vehicle carrier"),S432*Alukset_fx!$B$72,IF(Q432="RoPax",S432*Alukset_fx!$B$73,IF(Q432="Container ship",S432*Alukset_fx!$B$70,S432*Alukset_fx!$B$75))))))),"-")</f>
        <v>0</v>
      </c>
      <c r="U432" s="208">
        <f t="shared" si="78"/>
        <v>0</v>
      </c>
      <c r="V432" s="208">
        <f t="shared" si="79"/>
        <v>0</v>
      </c>
      <c r="W432" s="202">
        <f>Alukset_Käynnit!N439</f>
        <v>0</v>
      </c>
      <c r="X432" s="211">
        <f>IF(Q432="Other dry cargo", Alukset_fx!$C$52, IF(OR(Q432="Dry bulk",Q432="Bulk carrier"),Alukset_fx!$C$35,IF(OR(Q432="Tanker",Q432="Gas tanker",Q432="Oil tanker"),Alukset_fx!$C$57,IF(Q432="Chemical tanker",Alukset_fx!$C$56,IF(OR(Q432="Tugboat",Q432="Barge"),0,IF(Q432="Other vessel",Alukset_fx!$C$54,IF(Q432="Container ship",Alukset_fx!$C$37,IF(OR(Q432="RoPax",Q432="RoRo",Q432="Vehicle carrier"),Alukset_fx!$C$55,0))))))))</f>
        <v>0</v>
      </c>
      <c r="Y432" s="211">
        <f>IF(Q432="Other dry cargo", Alukset_fx!$Q$52, IF(OR(Q432="Dry bulk",Q432="Bulk carrier"),Alukset_fx!$Q$35,IF(OR(Q432="Tanker",Q432="Gas tanker",Q432="Oil tanker"),Alukset_fx!$Q$57,IF(Q432="Chemical tanker",Alukset_fx!$Q$56,IF(OR(Q432="Tugboat",Q432="Barge"),0,IF(Q432="Other vessel",Alukset_fx!$Q$54,IF(Q432="Container ship",Alukset_fx!$Q$37,IF(OR(Q432="RoPax",Q432="RoRo",Q432="Vehicle carrier"),Alukset_fx!$Q$55,0))))))))</f>
        <v>0</v>
      </c>
      <c r="Z432" t="str">
        <f t="shared" si="80"/>
        <v>MDO/MGO</v>
      </c>
      <c r="AA432" t="str">
        <f t="shared" si="81"/>
        <v>MSD</v>
      </c>
      <c r="AB432" t="str">
        <f t="shared" si="82"/>
        <v>MDO/MGO</v>
      </c>
      <c r="AC432" t="str">
        <f t="shared" si="83"/>
        <v>MSD</v>
      </c>
      <c r="AD432" t="str">
        <f t="shared" si="84"/>
        <v>MDO/MGO</v>
      </c>
      <c r="AE432" t="str">
        <f t="shared" si="85"/>
        <v>ST</v>
      </c>
      <c r="AG432">
        <f>Alukset_Käynnit!O439</f>
        <v>0</v>
      </c>
      <c r="AH432" s="207">
        <f>IF(AA432="SSD",((U432*Alukset_fx!$B$24)*Alukset_Käynnit_Lask!W432*(Alukset_fx!$K$49)/1000),IF(AA432="MSD",((U432*Alukset_fx!$B$24)*Alukset_Käynnit_Lask!W432*(Alukset_fx!$K$52)/1000),IF(AA432="HSD",((U432*Alukset_fx!$B$24)*Alukset_Käynnit_Lask!W432*(Alukset_fx!$K$55)/1000),0)))</f>
        <v>0</v>
      </c>
      <c r="AI432" s="207">
        <f>IF(AC432="MSD",((V432*Alukset_fx!$B$25)*Alukset_Käynnit_Lask!W432*(Alukset_fx!$L$52)/1000),IF(AC432="HSD",((V432*Alukset_fx!$B$25)*Alukset_Käynnit_Lask!W432*(Alukset_fx!$L$55)/1000),0))</f>
        <v>0</v>
      </c>
      <c r="AJ432" s="207">
        <f>X432*W432*Alukset_fx!$K$61/1000</f>
        <v>0</v>
      </c>
      <c r="AK432">
        <v>0</v>
      </c>
      <c r="AL432" s="207">
        <f>IF(AG432="Käytetty",0,IF(AC432="MSD",((V432*Alukset_fx!$O$25)*Alukset_Käynnit_Lask!O432*(Alukset_fx!$L$52)/1000),IF(AC432="HSD",((V432*Alukset_fx!$O$25)*Alukset_Käynnit_Lask!O432*(Alukset_fx!$L$55)/1000),0)))</f>
        <v>0</v>
      </c>
      <c r="AM432" s="207">
        <f>IF(AG432="Käytetty",0,Y432*O432*Alukset_fx!$K$61/1000)</f>
        <v>0</v>
      </c>
      <c r="AN432" s="213">
        <f t="shared" si="86"/>
        <v>0</v>
      </c>
    </row>
    <row r="433" spans="1:40" x14ac:dyDescent="0.25">
      <c r="A433" s="203">
        <f>Alukset_Käynnit!A440</f>
        <v>0</v>
      </c>
      <c r="B433" s="203">
        <f>Alukset_Käynnit!B440</f>
        <v>0</v>
      </c>
      <c r="C433" s="262">
        <f>Alukset_Käynnit!C440</f>
        <v>0</v>
      </c>
      <c r="D433" s="266">
        <f>Alukset_Käynnit!D440</f>
        <v>0</v>
      </c>
      <c r="E433" s="262">
        <f>Alukset_Käynnit!E440</f>
        <v>0</v>
      </c>
      <c r="F433" s="262">
        <f>Alukset_Käynnit!F440</f>
        <v>0</v>
      </c>
      <c r="G433" s="262">
        <f>Alukset_Käynnit!G440</f>
        <v>0</v>
      </c>
      <c r="H433" s="262">
        <f>Alukset_Käynnit!H440</f>
        <v>0</v>
      </c>
      <c r="I433" s="262">
        <f>Alukset_Käynnit!I440</f>
        <v>0</v>
      </c>
      <c r="J433" s="262">
        <f>Alukset_Käynnit!J440</f>
        <v>0</v>
      </c>
      <c r="K433" s="262">
        <f>Alukset_Käynnit!K440</f>
        <v>0</v>
      </c>
      <c r="L433" s="205">
        <f>Alukset_Käynnit!L440</f>
        <v>0</v>
      </c>
      <c r="N433" s="273">
        <f t="shared" si="87"/>
        <v>0</v>
      </c>
      <c r="O433" s="274">
        <f t="shared" si="88"/>
        <v>0</v>
      </c>
      <c r="Q433" s="204">
        <f t="shared" si="77"/>
        <v>0</v>
      </c>
      <c r="R433" s="202">
        <f>IF(Q433="Other dry cargo",L433*Alukset_fx!$B$71,IF(OR(Q433="Dry bulk",Q433="Bulk carrier"),L433*Alukset_fx!$B$69,IF(Q433="Tugboat",L433*Alukset_fx!$B$76,IF(OR(Q433="Tanker",Q433="Gas tanker",Q433="Chemical tanker",Q433="Oil tanker"),L433*Alukset_fx!$B$68,IF(OR(Q433="RoRo",Q433="Vehicle carrier"),L433*Alukset_fx!$B$72,IF(Q433="RoPax",L433*Alukset_fx!$B$73,IF(Q433="Container ship",L433*Alukset_fx!$B$70,IF(Q433="Barge",0,L433*Alukset_fx!$B$75))))))))</f>
        <v>0</v>
      </c>
      <c r="S433" s="210">
        <f>IF(L433=0,IF(Q433="Other dry cargo",Alukset_fx!$H$73*(Alukset_Käynnit_Lask!K433^Alukset_fx!$I$73),IF(OR(Q433="Dry Bulk",Q433="Bulk carrier"),Alukset_fx!$H$71*(Alukset_Käynnit_Lask!K433^Alukset_fx!$I$71),IF(Q433="Tugboat",Alukset_fx!$H$78*(Alukset_Käynnit_Lask!K433^Alukset_fx!$I$78),IF(OR(Q433="Tanker",Q433="Gas tanker",Q433="Chemical tanker",Q433="Oil tanker"),Alukset_fx!$H$70*(Alukset_Käynnit_Lask!K433^Alukset_fx!$I$70),IF(Q433="Container ship",Alukset_fx!$H$72*(Alukset_Käynnit_Lask!K433^Alukset_fx!$I$72),IF(Q433="Barge",0,IF(Q433="RoPax",Alukset_fx!$H$75*(Alukset_Käynnit_Lask!K433^Alukset_fx!$I$75),IF(OR(Q433="RoRo",Q433="Vehicle carrier"),Alukset_fx!$H$74*(Alukset_Käynnit_Lask!K433^Alukset_fx!$I$74),Alukset_fx!$H$77*(Alukset_Käynnit_Lask!K433^Alukset_fx!$I$77))))))))),"-")</f>
        <v>0</v>
      </c>
      <c r="T433" s="208">
        <f>IF(R433=0,IF(Q433="Other dry cargo",S433*Alukset_fx!$B$71,IF(OR(Q433="Dry bulk",Q433="Bulk carrier"),S433*Alukset_fx!$B$69,IF(Q433="Tugboat",S433*Alukset_fx!$B$76,IF(OR(Q433="Tanker",Q433="Gas tanker",Q433="Chemical tanker",Q433="Oil tanker"),S433*Alukset_fx!$B$68,IF(OR(Q433="RoRo",Q433="Vehicle carrier"),S433*Alukset_fx!$B$72,IF(Q433="RoPax",S433*Alukset_fx!$B$73,IF(Q433="Container ship",S433*Alukset_fx!$B$70,S433*Alukset_fx!$B$75))))))),"-")</f>
        <v>0</v>
      </c>
      <c r="U433" s="208">
        <f t="shared" si="78"/>
        <v>0</v>
      </c>
      <c r="V433" s="208">
        <f t="shared" si="79"/>
        <v>0</v>
      </c>
      <c r="W433" s="202">
        <f>Alukset_Käynnit!N440</f>
        <v>0</v>
      </c>
      <c r="X433" s="211">
        <f>IF(Q433="Other dry cargo", Alukset_fx!$C$52, IF(OR(Q433="Dry bulk",Q433="Bulk carrier"),Alukset_fx!$C$35,IF(OR(Q433="Tanker",Q433="Gas tanker",Q433="Oil tanker"),Alukset_fx!$C$57,IF(Q433="Chemical tanker",Alukset_fx!$C$56,IF(OR(Q433="Tugboat",Q433="Barge"),0,IF(Q433="Other vessel",Alukset_fx!$C$54,IF(Q433="Container ship",Alukset_fx!$C$37,IF(OR(Q433="RoPax",Q433="RoRo",Q433="Vehicle carrier"),Alukset_fx!$C$55,0))))))))</f>
        <v>0</v>
      </c>
      <c r="Y433" s="211">
        <f>IF(Q433="Other dry cargo", Alukset_fx!$Q$52, IF(OR(Q433="Dry bulk",Q433="Bulk carrier"),Alukset_fx!$Q$35,IF(OR(Q433="Tanker",Q433="Gas tanker",Q433="Oil tanker"),Alukset_fx!$Q$57,IF(Q433="Chemical tanker",Alukset_fx!$Q$56,IF(OR(Q433="Tugboat",Q433="Barge"),0,IF(Q433="Other vessel",Alukset_fx!$Q$54,IF(Q433="Container ship",Alukset_fx!$Q$37,IF(OR(Q433="RoPax",Q433="RoRo",Q433="Vehicle carrier"),Alukset_fx!$Q$55,0))))))))</f>
        <v>0</v>
      </c>
      <c r="Z433" t="str">
        <f t="shared" si="80"/>
        <v>MDO/MGO</v>
      </c>
      <c r="AA433" t="str">
        <f t="shared" si="81"/>
        <v>MSD</v>
      </c>
      <c r="AB433" t="str">
        <f t="shared" si="82"/>
        <v>MDO/MGO</v>
      </c>
      <c r="AC433" t="str">
        <f t="shared" si="83"/>
        <v>MSD</v>
      </c>
      <c r="AD433" t="str">
        <f t="shared" si="84"/>
        <v>MDO/MGO</v>
      </c>
      <c r="AE433" t="str">
        <f t="shared" si="85"/>
        <v>ST</v>
      </c>
      <c r="AG433">
        <f>Alukset_Käynnit!O440</f>
        <v>0</v>
      </c>
      <c r="AH433" s="207">
        <f>IF(AA433="SSD",((U433*Alukset_fx!$B$24)*Alukset_Käynnit_Lask!W433*(Alukset_fx!$K$49)/1000),IF(AA433="MSD",((U433*Alukset_fx!$B$24)*Alukset_Käynnit_Lask!W433*(Alukset_fx!$K$52)/1000),IF(AA433="HSD",((U433*Alukset_fx!$B$24)*Alukset_Käynnit_Lask!W433*(Alukset_fx!$K$55)/1000),0)))</f>
        <v>0</v>
      </c>
      <c r="AI433" s="207">
        <f>IF(AC433="MSD",((V433*Alukset_fx!$B$25)*Alukset_Käynnit_Lask!W433*(Alukset_fx!$L$52)/1000),IF(AC433="HSD",((V433*Alukset_fx!$B$25)*Alukset_Käynnit_Lask!W433*(Alukset_fx!$L$55)/1000),0))</f>
        <v>0</v>
      </c>
      <c r="AJ433" s="207">
        <f>X433*W433*Alukset_fx!$K$61/1000</f>
        <v>0</v>
      </c>
      <c r="AK433">
        <v>0</v>
      </c>
      <c r="AL433" s="207">
        <f>IF(AG433="Käytetty",0,IF(AC433="MSD",((V433*Alukset_fx!$O$25)*Alukset_Käynnit_Lask!O433*(Alukset_fx!$L$52)/1000),IF(AC433="HSD",((V433*Alukset_fx!$O$25)*Alukset_Käynnit_Lask!O433*(Alukset_fx!$L$55)/1000),0)))</f>
        <v>0</v>
      </c>
      <c r="AM433" s="207">
        <f>IF(AG433="Käytetty",0,Y433*O433*Alukset_fx!$K$61/1000)</f>
        <v>0</v>
      </c>
      <c r="AN433" s="213">
        <f t="shared" si="86"/>
        <v>0</v>
      </c>
    </row>
    <row r="434" spans="1:40" x14ac:dyDescent="0.25">
      <c r="A434" s="203">
        <f>Alukset_Käynnit!A441</f>
        <v>0</v>
      </c>
      <c r="B434" s="203">
        <f>Alukset_Käynnit!B441</f>
        <v>0</v>
      </c>
      <c r="C434" s="262">
        <f>Alukset_Käynnit!C441</f>
        <v>0</v>
      </c>
      <c r="D434" s="266">
        <f>Alukset_Käynnit!D441</f>
        <v>0</v>
      </c>
      <c r="E434" s="262">
        <f>Alukset_Käynnit!E441</f>
        <v>0</v>
      </c>
      <c r="F434" s="262">
        <f>Alukset_Käynnit!F441</f>
        <v>0</v>
      </c>
      <c r="G434" s="262">
        <f>Alukset_Käynnit!G441</f>
        <v>0</v>
      </c>
      <c r="H434" s="262">
        <f>Alukset_Käynnit!H441</f>
        <v>0</v>
      </c>
      <c r="I434" s="262">
        <f>Alukset_Käynnit!I441</f>
        <v>0</v>
      </c>
      <c r="J434" s="262">
        <f>Alukset_Käynnit!J441</f>
        <v>0</v>
      </c>
      <c r="K434" s="262">
        <f>Alukset_Käynnit!K441</f>
        <v>0</v>
      </c>
      <c r="L434" s="205">
        <f>Alukset_Käynnit!L441</f>
        <v>0</v>
      </c>
      <c r="N434" s="273">
        <f t="shared" si="87"/>
        <v>0</v>
      </c>
      <c r="O434" s="274">
        <f t="shared" si="88"/>
        <v>0</v>
      </c>
      <c r="Q434" s="204">
        <f t="shared" si="77"/>
        <v>0</v>
      </c>
      <c r="R434" s="202">
        <f>IF(Q434="Other dry cargo",L434*Alukset_fx!$B$71,IF(OR(Q434="Dry bulk",Q434="Bulk carrier"),L434*Alukset_fx!$B$69,IF(Q434="Tugboat",L434*Alukset_fx!$B$76,IF(OR(Q434="Tanker",Q434="Gas tanker",Q434="Chemical tanker",Q434="Oil tanker"),L434*Alukset_fx!$B$68,IF(OR(Q434="RoRo",Q434="Vehicle carrier"),L434*Alukset_fx!$B$72,IF(Q434="RoPax",L434*Alukset_fx!$B$73,IF(Q434="Container ship",L434*Alukset_fx!$B$70,IF(Q434="Barge",0,L434*Alukset_fx!$B$75))))))))</f>
        <v>0</v>
      </c>
      <c r="S434" s="210">
        <f>IF(L434=0,IF(Q434="Other dry cargo",Alukset_fx!$H$73*(Alukset_Käynnit_Lask!K434^Alukset_fx!$I$73),IF(OR(Q434="Dry Bulk",Q434="Bulk carrier"),Alukset_fx!$H$71*(Alukset_Käynnit_Lask!K434^Alukset_fx!$I$71),IF(Q434="Tugboat",Alukset_fx!$H$78*(Alukset_Käynnit_Lask!K434^Alukset_fx!$I$78),IF(OR(Q434="Tanker",Q434="Gas tanker",Q434="Chemical tanker",Q434="Oil tanker"),Alukset_fx!$H$70*(Alukset_Käynnit_Lask!K434^Alukset_fx!$I$70),IF(Q434="Container ship",Alukset_fx!$H$72*(Alukset_Käynnit_Lask!K434^Alukset_fx!$I$72),IF(Q434="Barge",0,IF(Q434="RoPax",Alukset_fx!$H$75*(Alukset_Käynnit_Lask!K434^Alukset_fx!$I$75),IF(OR(Q434="RoRo",Q434="Vehicle carrier"),Alukset_fx!$H$74*(Alukset_Käynnit_Lask!K434^Alukset_fx!$I$74),Alukset_fx!$H$77*(Alukset_Käynnit_Lask!K434^Alukset_fx!$I$77))))))))),"-")</f>
        <v>0</v>
      </c>
      <c r="T434" s="208">
        <f>IF(R434=0,IF(Q434="Other dry cargo",S434*Alukset_fx!$B$71,IF(OR(Q434="Dry bulk",Q434="Bulk carrier"),S434*Alukset_fx!$B$69,IF(Q434="Tugboat",S434*Alukset_fx!$B$76,IF(OR(Q434="Tanker",Q434="Gas tanker",Q434="Chemical tanker",Q434="Oil tanker"),S434*Alukset_fx!$B$68,IF(OR(Q434="RoRo",Q434="Vehicle carrier"),S434*Alukset_fx!$B$72,IF(Q434="RoPax",S434*Alukset_fx!$B$73,IF(Q434="Container ship",S434*Alukset_fx!$B$70,S434*Alukset_fx!$B$75))))))),"-")</f>
        <v>0</v>
      </c>
      <c r="U434" s="208">
        <f t="shared" si="78"/>
        <v>0</v>
      </c>
      <c r="V434" s="208">
        <f t="shared" si="79"/>
        <v>0</v>
      </c>
      <c r="W434" s="202">
        <f>Alukset_Käynnit!N441</f>
        <v>0</v>
      </c>
      <c r="X434" s="211">
        <f>IF(Q434="Other dry cargo", Alukset_fx!$C$52, IF(OR(Q434="Dry bulk",Q434="Bulk carrier"),Alukset_fx!$C$35,IF(OR(Q434="Tanker",Q434="Gas tanker",Q434="Oil tanker"),Alukset_fx!$C$57,IF(Q434="Chemical tanker",Alukset_fx!$C$56,IF(OR(Q434="Tugboat",Q434="Barge"),0,IF(Q434="Other vessel",Alukset_fx!$C$54,IF(Q434="Container ship",Alukset_fx!$C$37,IF(OR(Q434="RoPax",Q434="RoRo",Q434="Vehicle carrier"),Alukset_fx!$C$55,0))))))))</f>
        <v>0</v>
      </c>
      <c r="Y434" s="211">
        <f>IF(Q434="Other dry cargo", Alukset_fx!$Q$52, IF(OR(Q434="Dry bulk",Q434="Bulk carrier"),Alukset_fx!$Q$35,IF(OR(Q434="Tanker",Q434="Gas tanker",Q434="Oil tanker"),Alukset_fx!$Q$57,IF(Q434="Chemical tanker",Alukset_fx!$Q$56,IF(OR(Q434="Tugboat",Q434="Barge"),0,IF(Q434="Other vessel",Alukset_fx!$Q$54,IF(Q434="Container ship",Alukset_fx!$Q$37,IF(OR(Q434="RoPax",Q434="RoRo",Q434="Vehicle carrier"),Alukset_fx!$Q$55,0))))))))</f>
        <v>0</v>
      </c>
      <c r="Z434" t="str">
        <f t="shared" si="80"/>
        <v>MDO/MGO</v>
      </c>
      <c r="AA434" t="str">
        <f t="shared" si="81"/>
        <v>MSD</v>
      </c>
      <c r="AB434" t="str">
        <f t="shared" si="82"/>
        <v>MDO/MGO</v>
      </c>
      <c r="AC434" t="str">
        <f t="shared" si="83"/>
        <v>MSD</v>
      </c>
      <c r="AD434" t="str">
        <f t="shared" si="84"/>
        <v>MDO/MGO</v>
      </c>
      <c r="AE434" t="str">
        <f t="shared" si="85"/>
        <v>ST</v>
      </c>
      <c r="AG434">
        <f>Alukset_Käynnit!O441</f>
        <v>0</v>
      </c>
      <c r="AH434" s="207">
        <f>IF(AA434="SSD",((U434*Alukset_fx!$B$24)*Alukset_Käynnit_Lask!W434*(Alukset_fx!$K$49)/1000),IF(AA434="MSD",((U434*Alukset_fx!$B$24)*Alukset_Käynnit_Lask!W434*(Alukset_fx!$K$52)/1000),IF(AA434="HSD",((U434*Alukset_fx!$B$24)*Alukset_Käynnit_Lask!W434*(Alukset_fx!$K$55)/1000),0)))</f>
        <v>0</v>
      </c>
      <c r="AI434" s="207">
        <f>IF(AC434="MSD",((V434*Alukset_fx!$B$25)*Alukset_Käynnit_Lask!W434*(Alukset_fx!$L$52)/1000),IF(AC434="HSD",((V434*Alukset_fx!$B$25)*Alukset_Käynnit_Lask!W434*(Alukset_fx!$L$55)/1000),0))</f>
        <v>0</v>
      </c>
      <c r="AJ434" s="207">
        <f>X434*W434*Alukset_fx!$K$61/1000</f>
        <v>0</v>
      </c>
      <c r="AK434">
        <v>0</v>
      </c>
      <c r="AL434" s="207">
        <f>IF(AG434="Käytetty",0,IF(AC434="MSD",((V434*Alukset_fx!$O$25)*Alukset_Käynnit_Lask!O434*(Alukset_fx!$L$52)/1000),IF(AC434="HSD",((V434*Alukset_fx!$O$25)*Alukset_Käynnit_Lask!O434*(Alukset_fx!$L$55)/1000),0)))</f>
        <v>0</v>
      </c>
      <c r="AM434" s="207">
        <f>IF(AG434="Käytetty",0,Y434*O434*Alukset_fx!$K$61/1000)</f>
        <v>0</v>
      </c>
      <c r="AN434" s="213">
        <f t="shared" si="86"/>
        <v>0</v>
      </c>
    </row>
    <row r="435" spans="1:40" x14ac:dyDescent="0.25">
      <c r="A435" s="203">
        <f>Alukset_Käynnit!A442</f>
        <v>0</v>
      </c>
      <c r="B435" s="203">
        <f>Alukset_Käynnit!B442</f>
        <v>0</v>
      </c>
      <c r="C435" s="262">
        <f>Alukset_Käynnit!C442</f>
        <v>0</v>
      </c>
      <c r="D435" s="266">
        <f>Alukset_Käynnit!D442</f>
        <v>0</v>
      </c>
      <c r="E435" s="262">
        <f>Alukset_Käynnit!E442</f>
        <v>0</v>
      </c>
      <c r="F435" s="262">
        <f>Alukset_Käynnit!F442</f>
        <v>0</v>
      </c>
      <c r="G435" s="262">
        <f>Alukset_Käynnit!G442</f>
        <v>0</v>
      </c>
      <c r="H435" s="262">
        <f>Alukset_Käynnit!H442</f>
        <v>0</v>
      </c>
      <c r="I435" s="262">
        <f>Alukset_Käynnit!I442</f>
        <v>0</v>
      </c>
      <c r="J435" s="262">
        <f>Alukset_Käynnit!J442</f>
        <v>0</v>
      </c>
      <c r="K435" s="262">
        <f>Alukset_Käynnit!K442</f>
        <v>0</v>
      </c>
      <c r="L435" s="205">
        <f>Alukset_Käynnit!L442</f>
        <v>0</v>
      </c>
      <c r="N435" s="273">
        <f t="shared" si="87"/>
        <v>0</v>
      </c>
      <c r="O435" s="274">
        <f t="shared" si="88"/>
        <v>0</v>
      </c>
      <c r="Q435" s="204">
        <f t="shared" si="77"/>
        <v>0</v>
      </c>
      <c r="R435" s="202">
        <f>IF(Q435="Other dry cargo",L435*Alukset_fx!$B$71,IF(OR(Q435="Dry bulk",Q435="Bulk carrier"),L435*Alukset_fx!$B$69,IF(Q435="Tugboat",L435*Alukset_fx!$B$76,IF(OR(Q435="Tanker",Q435="Gas tanker",Q435="Chemical tanker",Q435="Oil tanker"),L435*Alukset_fx!$B$68,IF(OR(Q435="RoRo",Q435="Vehicle carrier"),L435*Alukset_fx!$B$72,IF(Q435="RoPax",L435*Alukset_fx!$B$73,IF(Q435="Container ship",L435*Alukset_fx!$B$70,IF(Q435="Barge",0,L435*Alukset_fx!$B$75))))))))</f>
        <v>0</v>
      </c>
      <c r="S435" s="210">
        <f>IF(L435=0,IF(Q435="Other dry cargo",Alukset_fx!$H$73*(Alukset_Käynnit_Lask!K435^Alukset_fx!$I$73),IF(OR(Q435="Dry Bulk",Q435="Bulk carrier"),Alukset_fx!$H$71*(Alukset_Käynnit_Lask!K435^Alukset_fx!$I$71),IF(Q435="Tugboat",Alukset_fx!$H$78*(Alukset_Käynnit_Lask!K435^Alukset_fx!$I$78),IF(OR(Q435="Tanker",Q435="Gas tanker",Q435="Chemical tanker",Q435="Oil tanker"),Alukset_fx!$H$70*(Alukset_Käynnit_Lask!K435^Alukset_fx!$I$70),IF(Q435="Container ship",Alukset_fx!$H$72*(Alukset_Käynnit_Lask!K435^Alukset_fx!$I$72),IF(Q435="Barge",0,IF(Q435="RoPax",Alukset_fx!$H$75*(Alukset_Käynnit_Lask!K435^Alukset_fx!$I$75),IF(OR(Q435="RoRo",Q435="Vehicle carrier"),Alukset_fx!$H$74*(Alukset_Käynnit_Lask!K435^Alukset_fx!$I$74),Alukset_fx!$H$77*(Alukset_Käynnit_Lask!K435^Alukset_fx!$I$77))))))))),"-")</f>
        <v>0</v>
      </c>
      <c r="T435" s="208">
        <f>IF(R435=0,IF(Q435="Other dry cargo",S435*Alukset_fx!$B$71,IF(OR(Q435="Dry bulk",Q435="Bulk carrier"),S435*Alukset_fx!$B$69,IF(Q435="Tugboat",S435*Alukset_fx!$B$76,IF(OR(Q435="Tanker",Q435="Gas tanker",Q435="Chemical tanker",Q435="Oil tanker"),S435*Alukset_fx!$B$68,IF(OR(Q435="RoRo",Q435="Vehicle carrier"),S435*Alukset_fx!$B$72,IF(Q435="RoPax",S435*Alukset_fx!$B$73,IF(Q435="Container ship",S435*Alukset_fx!$B$70,S435*Alukset_fx!$B$75))))))),"-")</f>
        <v>0</v>
      </c>
      <c r="U435" s="208">
        <f t="shared" si="78"/>
        <v>0</v>
      </c>
      <c r="V435" s="208">
        <f t="shared" si="79"/>
        <v>0</v>
      </c>
      <c r="W435" s="202">
        <f>Alukset_Käynnit!N442</f>
        <v>0</v>
      </c>
      <c r="X435" s="211">
        <f>IF(Q435="Other dry cargo", Alukset_fx!$C$52, IF(OR(Q435="Dry bulk",Q435="Bulk carrier"),Alukset_fx!$C$35,IF(OR(Q435="Tanker",Q435="Gas tanker",Q435="Oil tanker"),Alukset_fx!$C$57,IF(Q435="Chemical tanker",Alukset_fx!$C$56,IF(OR(Q435="Tugboat",Q435="Barge"),0,IF(Q435="Other vessel",Alukset_fx!$C$54,IF(Q435="Container ship",Alukset_fx!$C$37,IF(OR(Q435="RoPax",Q435="RoRo",Q435="Vehicle carrier"),Alukset_fx!$C$55,0))))))))</f>
        <v>0</v>
      </c>
      <c r="Y435" s="211">
        <f>IF(Q435="Other dry cargo", Alukset_fx!$Q$52, IF(OR(Q435="Dry bulk",Q435="Bulk carrier"),Alukset_fx!$Q$35,IF(OR(Q435="Tanker",Q435="Gas tanker",Q435="Oil tanker"),Alukset_fx!$Q$57,IF(Q435="Chemical tanker",Alukset_fx!$Q$56,IF(OR(Q435="Tugboat",Q435="Barge"),0,IF(Q435="Other vessel",Alukset_fx!$Q$54,IF(Q435="Container ship",Alukset_fx!$Q$37,IF(OR(Q435="RoPax",Q435="RoRo",Q435="Vehicle carrier"),Alukset_fx!$Q$55,0))))))))</f>
        <v>0</v>
      </c>
      <c r="Z435" t="str">
        <f t="shared" si="80"/>
        <v>MDO/MGO</v>
      </c>
      <c r="AA435" t="str">
        <f t="shared" si="81"/>
        <v>MSD</v>
      </c>
      <c r="AB435" t="str">
        <f t="shared" si="82"/>
        <v>MDO/MGO</v>
      </c>
      <c r="AC435" t="str">
        <f t="shared" si="83"/>
        <v>MSD</v>
      </c>
      <c r="AD435" t="str">
        <f t="shared" si="84"/>
        <v>MDO/MGO</v>
      </c>
      <c r="AE435" t="str">
        <f t="shared" si="85"/>
        <v>ST</v>
      </c>
      <c r="AG435">
        <f>Alukset_Käynnit!O442</f>
        <v>0</v>
      </c>
      <c r="AH435" s="207">
        <f>IF(AA435="SSD",((U435*Alukset_fx!$B$24)*Alukset_Käynnit_Lask!W435*(Alukset_fx!$K$49)/1000),IF(AA435="MSD",((U435*Alukset_fx!$B$24)*Alukset_Käynnit_Lask!W435*(Alukset_fx!$K$52)/1000),IF(AA435="HSD",((U435*Alukset_fx!$B$24)*Alukset_Käynnit_Lask!W435*(Alukset_fx!$K$55)/1000),0)))</f>
        <v>0</v>
      </c>
      <c r="AI435" s="207">
        <f>IF(AC435="MSD",((V435*Alukset_fx!$B$25)*Alukset_Käynnit_Lask!W435*(Alukset_fx!$L$52)/1000),IF(AC435="HSD",((V435*Alukset_fx!$B$25)*Alukset_Käynnit_Lask!W435*(Alukset_fx!$L$55)/1000),0))</f>
        <v>0</v>
      </c>
      <c r="AJ435" s="207">
        <f>X435*W435*Alukset_fx!$K$61/1000</f>
        <v>0</v>
      </c>
      <c r="AK435">
        <v>0</v>
      </c>
      <c r="AL435" s="207">
        <f>IF(AG435="Käytetty",0,IF(AC435="MSD",((V435*Alukset_fx!$O$25)*Alukset_Käynnit_Lask!O435*(Alukset_fx!$L$52)/1000),IF(AC435="HSD",((V435*Alukset_fx!$O$25)*Alukset_Käynnit_Lask!O435*(Alukset_fx!$L$55)/1000),0)))</f>
        <v>0</v>
      </c>
      <c r="AM435" s="207">
        <f>IF(AG435="Käytetty",0,Y435*O435*Alukset_fx!$K$61/1000)</f>
        <v>0</v>
      </c>
      <c r="AN435" s="213">
        <f t="shared" si="86"/>
        <v>0</v>
      </c>
    </row>
    <row r="436" spans="1:40" x14ac:dyDescent="0.25">
      <c r="A436" s="203">
        <f>Alukset_Käynnit!A443</f>
        <v>0</v>
      </c>
      <c r="B436" s="203">
        <f>Alukset_Käynnit!B443</f>
        <v>0</v>
      </c>
      <c r="C436" s="262">
        <f>Alukset_Käynnit!C443</f>
        <v>0</v>
      </c>
      <c r="D436" s="266">
        <f>Alukset_Käynnit!D443</f>
        <v>0</v>
      </c>
      <c r="E436" s="262">
        <f>Alukset_Käynnit!E443</f>
        <v>0</v>
      </c>
      <c r="F436" s="262">
        <f>Alukset_Käynnit!F443</f>
        <v>0</v>
      </c>
      <c r="G436" s="262">
        <f>Alukset_Käynnit!G443</f>
        <v>0</v>
      </c>
      <c r="H436" s="262">
        <f>Alukset_Käynnit!H443</f>
        <v>0</v>
      </c>
      <c r="I436" s="262">
        <f>Alukset_Käynnit!I443</f>
        <v>0</v>
      </c>
      <c r="J436" s="262">
        <f>Alukset_Käynnit!J443</f>
        <v>0</v>
      </c>
      <c r="K436" s="262">
        <f>Alukset_Käynnit!K443</f>
        <v>0</v>
      </c>
      <c r="L436" s="205">
        <f>Alukset_Käynnit!L443</f>
        <v>0</v>
      </c>
      <c r="N436" s="273">
        <f t="shared" si="87"/>
        <v>0</v>
      </c>
      <c r="O436" s="274">
        <f t="shared" si="88"/>
        <v>0</v>
      </c>
      <c r="Q436" s="204">
        <f t="shared" si="77"/>
        <v>0</v>
      </c>
      <c r="R436" s="202">
        <f>IF(Q436="Other dry cargo",L436*Alukset_fx!$B$71,IF(OR(Q436="Dry bulk",Q436="Bulk carrier"),L436*Alukset_fx!$B$69,IF(Q436="Tugboat",L436*Alukset_fx!$B$76,IF(OR(Q436="Tanker",Q436="Gas tanker",Q436="Chemical tanker",Q436="Oil tanker"),L436*Alukset_fx!$B$68,IF(OR(Q436="RoRo",Q436="Vehicle carrier"),L436*Alukset_fx!$B$72,IF(Q436="RoPax",L436*Alukset_fx!$B$73,IF(Q436="Container ship",L436*Alukset_fx!$B$70,IF(Q436="Barge",0,L436*Alukset_fx!$B$75))))))))</f>
        <v>0</v>
      </c>
      <c r="S436" s="210">
        <f>IF(L436=0,IF(Q436="Other dry cargo",Alukset_fx!$H$73*(Alukset_Käynnit_Lask!K436^Alukset_fx!$I$73),IF(OR(Q436="Dry Bulk",Q436="Bulk carrier"),Alukset_fx!$H$71*(Alukset_Käynnit_Lask!K436^Alukset_fx!$I$71),IF(Q436="Tugboat",Alukset_fx!$H$78*(Alukset_Käynnit_Lask!K436^Alukset_fx!$I$78),IF(OR(Q436="Tanker",Q436="Gas tanker",Q436="Chemical tanker",Q436="Oil tanker"),Alukset_fx!$H$70*(Alukset_Käynnit_Lask!K436^Alukset_fx!$I$70),IF(Q436="Container ship",Alukset_fx!$H$72*(Alukset_Käynnit_Lask!K436^Alukset_fx!$I$72),IF(Q436="Barge",0,IF(Q436="RoPax",Alukset_fx!$H$75*(Alukset_Käynnit_Lask!K436^Alukset_fx!$I$75),IF(OR(Q436="RoRo",Q436="Vehicle carrier"),Alukset_fx!$H$74*(Alukset_Käynnit_Lask!K436^Alukset_fx!$I$74),Alukset_fx!$H$77*(Alukset_Käynnit_Lask!K436^Alukset_fx!$I$77))))))))),"-")</f>
        <v>0</v>
      </c>
      <c r="T436" s="208">
        <f>IF(R436=0,IF(Q436="Other dry cargo",S436*Alukset_fx!$B$71,IF(OR(Q436="Dry bulk",Q436="Bulk carrier"),S436*Alukset_fx!$B$69,IF(Q436="Tugboat",S436*Alukset_fx!$B$76,IF(OR(Q436="Tanker",Q436="Gas tanker",Q436="Chemical tanker",Q436="Oil tanker"),S436*Alukset_fx!$B$68,IF(OR(Q436="RoRo",Q436="Vehicle carrier"),S436*Alukset_fx!$B$72,IF(Q436="RoPax",S436*Alukset_fx!$B$73,IF(Q436="Container ship",S436*Alukset_fx!$B$70,S436*Alukset_fx!$B$75))))))),"-")</f>
        <v>0</v>
      </c>
      <c r="U436" s="208">
        <f t="shared" si="78"/>
        <v>0</v>
      </c>
      <c r="V436" s="208">
        <f t="shared" si="79"/>
        <v>0</v>
      </c>
      <c r="W436" s="202">
        <f>Alukset_Käynnit!N443</f>
        <v>0</v>
      </c>
      <c r="X436" s="211">
        <f>IF(Q436="Other dry cargo", Alukset_fx!$C$52, IF(OR(Q436="Dry bulk",Q436="Bulk carrier"),Alukset_fx!$C$35,IF(OR(Q436="Tanker",Q436="Gas tanker",Q436="Oil tanker"),Alukset_fx!$C$57,IF(Q436="Chemical tanker",Alukset_fx!$C$56,IF(OR(Q436="Tugboat",Q436="Barge"),0,IF(Q436="Other vessel",Alukset_fx!$C$54,IF(Q436="Container ship",Alukset_fx!$C$37,IF(OR(Q436="RoPax",Q436="RoRo",Q436="Vehicle carrier"),Alukset_fx!$C$55,0))))))))</f>
        <v>0</v>
      </c>
      <c r="Y436" s="211">
        <f>IF(Q436="Other dry cargo", Alukset_fx!$Q$52, IF(OR(Q436="Dry bulk",Q436="Bulk carrier"),Alukset_fx!$Q$35,IF(OR(Q436="Tanker",Q436="Gas tanker",Q436="Oil tanker"),Alukset_fx!$Q$57,IF(Q436="Chemical tanker",Alukset_fx!$Q$56,IF(OR(Q436="Tugboat",Q436="Barge"),0,IF(Q436="Other vessel",Alukset_fx!$Q$54,IF(Q436="Container ship",Alukset_fx!$Q$37,IF(OR(Q436="RoPax",Q436="RoRo",Q436="Vehicle carrier"),Alukset_fx!$Q$55,0))))))))</f>
        <v>0</v>
      </c>
      <c r="Z436" t="str">
        <f t="shared" si="80"/>
        <v>MDO/MGO</v>
      </c>
      <c r="AA436" t="str">
        <f t="shared" si="81"/>
        <v>MSD</v>
      </c>
      <c r="AB436" t="str">
        <f t="shared" si="82"/>
        <v>MDO/MGO</v>
      </c>
      <c r="AC436" t="str">
        <f t="shared" si="83"/>
        <v>MSD</v>
      </c>
      <c r="AD436" t="str">
        <f t="shared" si="84"/>
        <v>MDO/MGO</v>
      </c>
      <c r="AE436" t="str">
        <f t="shared" si="85"/>
        <v>ST</v>
      </c>
      <c r="AG436">
        <f>Alukset_Käynnit!O443</f>
        <v>0</v>
      </c>
      <c r="AH436" s="207">
        <f>IF(AA436="SSD",((U436*Alukset_fx!$B$24)*Alukset_Käynnit_Lask!W436*(Alukset_fx!$K$49)/1000),IF(AA436="MSD",((U436*Alukset_fx!$B$24)*Alukset_Käynnit_Lask!W436*(Alukset_fx!$K$52)/1000),IF(AA436="HSD",((U436*Alukset_fx!$B$24)*Alukset_Käynnit_Lask!W436*(Alukset_fx!$K$55)/1000),0)))</f>
        <v>0</v>
      </c>
      <c r="AI436" s="207">
        <f>IF(AC436="MSD",((V436*Alukset_fx!$B$25)*Alukset_Käynnit_Lask!W436*(Alukset_fx!$L$52)/1000),IF(AC436="HSD",((V436*Alukset_fx!$B$25)*Alukset_Käynnit_Lask!W436*(Alukset_fx!$L$55)/1000),0))</f>
        <v>0</v>
      </c>
      <c r="AJ436" s="207">
        <f>X436*W436*Alukset_fx!$K$61/1000</f>
        <v>0</v>
      </c>
      <c r="AK436">
        <v>0</v>
      </c>
      <c r="AL436" s="207">
        <f>IF(AG436="Käytetty",0,IF(AC436="MSD",((V436*Alukset_fx!$O$25)*Alukset_Käynnit_Lask!O436*(Alukset_fx!$L$52)/1000),IF(AC436="HSD",((V436*Alukset_fx!$O$25)*Alukset_Käynnit_Lask!O436*(Alukset_fx!$L$55)/1000),0)))</f>
        <v>0</v>
      </c>
      <c r="AM436" s="207">
        <f>IF(AG436="Käytetty",0,Y436*O436*Alukset_fx!$K$61/1000)</f>
        <v>0</v>
      </c>
      <c r="AN436" s="213">
        <f t="shared" si="86"/>
        <v>0</v>
      </c>
    </row>
    <row r="437" spans="1:40" x14ac:dyDescent="0.25">
      <c r="A437" s="203">
        <f>Alukset_Käynnit!A444</f>
        <v>0</v>
      </c>
      <c r="B437" s="203">
        <f>Alukset_Käynnit!B444</f>
        <v>0</v>
      </c>
      <c r="C437" s="262">
        <f>Alukset_Käynnit!C444</f>
        <v>0</v>
      </c>
      <c r="D437" s="266">
        <f>Alukset_Käynnit!D444</f>
        <v>0</v>
      </c>
      <c r="E437" s="262">
        <f>Alukset_Käynnit!E444</f>
        <v>0</v>
      </c>
      <c r="F437" s="262">
        <f>Alukset_Käynnit!F444</f>
        <v>0</v>
      </c>
      <c r="G437" s="262">
        <f>Alukset_Käynnit!G444</f>
        <v>0</v>
      </c>
      <c r="H437" s="262">
        <f>Alukset_Käynnit!H444</f>
        <v>0</v>
      </c>
      <c r="I437" s="262">
        <f>Alukset_Käynnit!I444</f>
        <v>0</v>
      </c>
      <c r="J437" s="262">
        <f>Alukset_Käynnit!J444</f>
        <v>0</v>
      </c>
      <c r="K437" s="262">
        <f>Alukset_Käynnit!K444</f>
        <v>0</v>
      </c>
      <c r="L437" s="205">
        <f>Alukset_Käynnit!L444</f>
        <v>0</v>
      </c>
      <c r="N437" s="273">
        <f t="shared" si="87"/>
        <v>0</v>
      </c>
      <c r="O437" s="274">
        <f t="shared" si="88"/>
        <v>0</v>
      </c>
      <c r="Q437" s="204">
        <f t="shared" si="77"/>
        <v>0</v>
      </c>
      <c r="R437" s="202">
        <f>IF(Q437="Other dry cargo",L437*Alukset_fx!$B$71,IF(OR(Q437="Dry bulk",Q437="Bulk carrier"),L437*Alukset_fx!$B$69,IF(Q437="Tugboat",L437*Alukset_fx!$B$76,IF(OR(Q437="Tanker",Q437="Gas tanker",Q437="Chemical tanker",Q437="Oil tanker"),L437*Alukset_fx!$B$68,IF(OR(Q437="RoRo",Q437="Vehicle carrier"),L437*Alukset_fx!$B$72,IF(Q437="RoPax",L437*Alukset_fx!$B$73,IF(Q437="Container ship",L437*Alukset_fx!$B$70,IF(Q437="Barge",0,L437*Alukset_fx!$B$75))))))))</f>
        <v>0</v>
      </c>
      <c r="S437" s="210">
        <f>IF(L437=0,IF(Q437="Other dry cargo",Alukset_fx!$H$73*(Alukset_Käynnit_Lask!K437^Alukset_fx!$I$73),IF(OR(Q437="Dry Bulk",Q437="Bulk carrier"),Alukset_fx!$H$71*(Alukset_Käynnit_Lask!K437^Alukset_fx!$I$71),IF(Q437="Tugboat",Alukset_fx!$H$78*(Alukset_Käynnit_Lask!K437^Alukset_fx!$I$78),IF(OR(Q437="Tanker",Q437="Gas tanker",Q437="Chemical tanker",Q437="Oil tanker"),Alukset_fx!$H$70*(Alukset_Käynnit_Lask!K437^Alukset_fx!$I$70),IF(Q437="Container ship",Alukset_fx!$H$72*(Alukset_Käynnit_Lask!K437^Alukset_fx!$I$72),IF(Q437="Barge",0,IF(Q437="RoPax",Alukset_fx!$H$75*(Alukset_Käynnit_Lask!K437^Alukset_fx!$I$75),IF(OR(Q437="RoRo",Q437="Vehicle carrier"),Alukset_fx!$H$74*(Alukset_Käynnit_Lask!K437^Alukset_fx!$I$74),Alukset_fx!$H$77*(Alukset_Käynnit_Lask!K437^Alukset_fx!$I$77))))))))),"-")</f>
        <v>0</v>
      </c>
      <c r="T437" s="208">
        <f>IF(R437=0,IF(Q437="Other dry cargo",S437*Alukset_fx!$B$71,IF(OR(Q437="Dry bulk",Q437="Bulk carrier"),S437*Alukset_fx!$B$69,IF(Q437="Tugboat",S437*Alukset_fx!$B$76,IF(OR(Q437="Tanker",Q437="Gas tanker",Q437="Chemical tanker",Q437="Oil tanker"),S437*Alukset_fx!$B$68,IF(OR(Q437="RoRo",Q437="Vehicle carrier"),S437*Alukset_fx!$B$72,IF(Q437="RoPax",S437*Alukset_fx!$B$73,IF(Q437="Container ship",S437*Alukset_fx!$B$70,S437*Alukset_fx!$B$75))))))),"-")</f>
        <v>0</v>
      </c>
      <c r="U437" s="208">
        <f t="shared" si="78"/>
        <v>0</v>
      </c>
      <c r="V437" s="208">
        <f t="shared" si="79"/>
        <v>0</v>
      </c>
      <c r="W437" s="202">
        <f>Alukset_Käynnit!N444</f>
        <v>0</v>
      </c>
      <c r="X437" s="211">
        <f>IF(Q437="Other dry cargo", Alukset_fx!$C$52, IF(OR(Q437="Dry bulk",Q437="Bulk carrier"),Alukset_fx!$C$35,IF(OR(Q437="Tanker",Q437="Gas tanker",Q437="Oil tanker"),Alukset_fx!$C$57,IF(Q437="Chemical tanker",Alukset_fx!$C$56,IF(OR(Q437="Tugboat",Q437="Barge"),0,IF(Q437="Other vessel",Alukset_fx!$C$54,IF(Q437="Container ship",Alukset_fx!$C$37,IF(OR(Q437="RoPax",Q437="RoRo",Q437="Vehicle carrier"),Alukset_fx!$C$55,0))))))))</f>
        <v>0</v>
      </c>
      <c r="Y437" s="211">
        <f>IF(Q437="Other dry cargo", Alukset_fx!$Q$52, IF(OR(Q437="Dry bulk",Q437="Bulk carrier"),Alukset_fx!$Q$35,IF(OR(Q437="Tanker",Q437="Gas tanker",Q437="Oil tanker"),Alukset_fx!$Q$57,IF(Q437="Chemical tanker",Alukset_fx!$Q$56,IF(OR(Q437="Tugboat",Q437="Barge"),0,IF(Q437="Other vessel",Alukset_fx!$Q$54,IF(Q437="Container ship",Alukset_fx!$Q$37,IF(OR(Q437="RoPax",Q437="RoRo",Q437="Vehicle carrier"),Alukset_fx!$Q$55,0))))))))</f>
        <v>0</v>
      </c>
      <c r="Z437" t="str">
        <f t="shared" si="80"/>
        <v>MDO/MGO</v>
      </c>
      <c r="AA437" t="str">
        <f t="shared" si="81"/>
        <v>MSD</v>
      </c>
      <c r="AB437" t="str">
        <f t="shared" si="82"/>
        <v>MDO/MGO</v>
      </c>
      <c r="AC437" t="str">
        <f t="shared" si="83"/>
        <v>MSD</v>
      </c>
      <c r="AD437" t="str">
        <f t="shared" si="84"/>
        <v>MDO/MGO</v>
      </c>
      <c r="AE437" t="str">
        <f t="shared" si="85"/>
        <v>ST</v>
      </c>
      <c r="AG437">
        <f>Alukset_Käynnit!O444</f>
        <v>0</v>
      </c>
      <c r="AH437" s="207">
        <f>IF(AA437="SSD",((U437*Alukset_fx!$B$24)*Alukset_Käynnit_Lask!W437*(Alukset_fx!$K$49)/1000),IF(AA437="MSD",((U437*Alukset_fx!$B$24)*Alukset_Käynnit_Lask!W437*(Alukset_fx!$K$52)/1000),IF(AA437="HSD",((U437*Alukset_fx!$B$24)*Alukset_Käynnit_Lask!W437*(Alukset_fx!$K$55)/1000),0)))</f>
        <v>0</v>
      </c>
      <c r="AI437" s="207">
        <f>IF(AC437="MSD",((V437*Alukset_fx!$B$25)*Alukset_Käynnit_Lask!W437*(Alukset_fx!$L$52)/1000),IF(AC437="HSD",((V437*Alukset_fx!$B$25)*Alukset_Käynnit_Lask!W437*(Alukset_fx!$L$55)/1000),0))</f>
        <v>0</v>
      </c>
      <c r="AJ437" s="207">
        <f>X437*W437*Alukset_fx!$K$61/1000</f>
        <v>0</v>
      </c>
      <c r="AK437">
        <v>0</v>
      </c>
      <c r="AL437" s="207">
        <f>IF(AG437="Käytetty",0,IF(AC437="MSD",((V437*Alukset_fx!$O$25)*Alukset_Käynnit_Lask!O437*(Alukset_fx!$L$52)/1000),IF(AC437="HSD",((V437*Alukset_fx!$O$25)*Alukset_Käynnit_Lask!O437*(Alukset_fx!$L$55)/1000),0)))</f>
        <v>0</v>
      </c>
      <c r="AM437" s="207">
        <f>IF(AG437="Käytetty",0,Y437*O437*Alukset_fx!$K$61/1000)</f>
        <v>0</v>
      </c>
      <c r="AN437" s="213">
        <f t="shared" si="86"/>
        <v>0</v>
      </c>
    </row>
    <row r="438" spans="1:40" x14ac:dyDescent="0.25">
      <c r="A438" s="203">
        <f>Alukset_Käynnit!A445</f>
        <v>0</v>
      </c>
      <c r="B438" s="203">
        <f>Alukset_Käynnit!B445</f>
        <v>0</v>
      </c>
      <c r="C438" s="262">
        <f>Alukset_Käynnit!C445</f>
        <v>0</v>
      </c>
      <c r="D438" s="266">
        <f>Alukset_Käynnit!D445</f>
        <v>0</v>
      </c>
      <c r="E438" s="262">
        <f>Alukset_Käynnit!E445</f>
        <v>0</v>
      </c>
      <c r="F438" s="262">
        <f>Alukset_Käynnit!F445</f>
        <v>0</v>
      </c>
      <c r="G438" s="262">
        <f>Alukset_Käynnit!G445</f>
        <v>0</v>
      </c>
      <c r="H438" s="262">
        <f>Alukset_Käynnit!H445</f>
        <v>0</v>
      </c>
      <c r="I438" s="262">
        <f>Alukset_Käynnit!I445</f>
        <v>0</v>
      </c>
      <c r="J438" s="262">
        <f>Alukset_Käynnit!J445</f>
        <v>0</v>
      </c>
      <c r="K438" s="262">
        <f>Alukset_Käynnit!K445</f>
        <v>0</v>
      </c>
      <c r="L438" s="205">
        <f>Alukset_Käynnit!L445</f>
        <v>0</v>
      </c>
      <c r="N438" s="273">
        <f t="shared" si="87"/>
        <v>0</v>
      </c>
      <c r="O438" s="274">
        <f t="shared" si="88"/>
        <v>0</v>
      </c>
      <c r="Q438" s="204">
        <f t="shared" si="77"/>
        <v>0</v>
      </c>
      <c r="R438" s="202">
        <f>IF(Q438="Other dry cargo",L438*Alukset_fx!$B$71,IF(OR(Q438="Dry bulk",Q438="Bulk carrier"),L438*Alukset_fx!$B$69,IF(Q438="Tugboat",L438*Alukset_fx!$B$76,IF(OR(Q438="Tanker",Q438="Gas tanker",Q438="Chemical tanker",Q438="Oil tanker"),L438*Alukset_fx!$B$68,IF(OR(Q438="RoRo",Q438="Vehicle carrier"),L438*Alukset_fx!$B$72,IF(Q438="RoPax",L438*Alukset_fx!$B$73,IF(Q438="Container ship",L438*Alukset_fx!$B$70,IF(Q438="Barge",0,L438*Alukset_fx!$B$75))))))))</f>
        <v>0</v>
      </c>
      <c r="S438" s="210">
        <f>IF(L438=0,IF(Q438="Other dry cargo",Alukset_fx!$H$73*(Alukset_Käynnit_Lask!K438^Alukset_fx!$I$73),IF(OR(Q438="Dry Bulk",Q438="Bulk carrier"),Alukset_fx!$H$71*(Alukset_Käynnit_Lask!K438^Alukset_fx!$I$71),IF(Q438="Tugboat",Alukset_fx!$H$78*(Alukset_Käynnit_Lask!K438^Alukset_fx!$I$78),IF(OR(Q438="Tanker",Q438="Gas tanker",Q438="Chemical tanker",Q438="Oil tanker"),Alukset_fx!$H$70*(Alukset_Käynnit_Lask!K438^Alukset_fx!$I$70),IF(Q438="Container ship",Alukset_fx!$H$72*(Alukset_Käynnit_Lask!K438^Alukset_fx!$I$72),IF(Q438="Barge",0,IF(Q438="RoPax",Alukset_fx!$H$75*(Alukset_Käynnit_Lask!K438^Alukset_fx!$I$75),IF(OR(Q438="RoRo",Q438="Vehicle carrier"),Alukset_fx!$H$74*(Alukset_Käynnit_Lask!K438^Alukset_fx!$I$74),Alukset_fx!$H$77*(Alukset_Käynnit_Lask!K438^Alukset_fx!$I$77))))))))),"-")</f>
        <v>0</v>
      </c>
      <c r="T438" s="208">
        <f>IF(R438=0,IF(Q438="Other dry cargo",S438*Alukset_fx!$B$71,IF(OR(Q438="Dry bulk",Q438="Bulk carrier"),S438*Alukset_fx!$B$69,IF(Q438="Tugboat",S438*Alukset_fx!$B$76,IF(OR(Q438="Tanker",Q438="Gas tanker",Q438="Chemical tanker",Q438="Oil tanker"),S438*Alukset_fx!$B$68,IF(OR(Q438="RoRo",Q438="Vehicle carrier"),S438*Alukset_fx!$B$72,IF(Q438="RoPax",S438*Alukset_fx!$B$73,IF(Q438="Container ship",S438*Alukset_fx!$B$70,S438*Alukset_fx!$B$75))))))),"-")</f>
        <v>0</v>
      </c>
      <c r="U438" s="208">
        <f t="shared" si="78"/>
        <v>0</v>
      </c>
      <c r="V438" s="208">
        <f t="shared" si="79"/>
        <v>0</v>
      </c>
      <c r="W438" s="202">
        <f>Alukset_Käynnit!N445</f>
        <v>0</v>
      </c>
      <c r="X438" s="211">
        <f>IF(Q438="Other dry cargo", Alukset_fx!$C$52, IF(OR(Q438="Dry bulk",Q438="Bulk carrier"),Alukset_fx!$C$35,IF(OR(Q438="Tanker",Q438="Gas tanker",Q438="Oil tanker"),Alukset_fx!$C$57,IF(Q438="Chemical tanker",Alukset_fx!$C$56,IF(OR(Q438="Tugboat",Q438="Barge"),0,IF(Q438="Other vessel",Alukset_fx!$C$54,IF(Q438="Container ship",Alukset_fx!$C$37,IF(OR(Q438="RoPax",Q438="RoRo",Q438="Vehicle carrier"),Alukset_fx!$C$55,0))))))))</f>
        <v>0</v>
      </c>
      <c r="Y438" s="211">
        <f>IF(Q438="Other dry cargo", Alukset_fx!$Q$52, IF(OR(Q438="Dry bulk",Q438="Bulk carrier"),Alukset_fx!$Q$35,IF(OR(Q438="Tanker",Q438="Gas tanker",Q438="Oil tanker"),Alukset_fx!$Q$57,IF(Q438="Chemical tanker",Alukset_fx!$Q$56,IF(OR(Q438="Tugboat",Q438="Barge"),0,IF(Q438="Other vessel",Alukset_fx!$Q$54,IF(Q438="Container ship",Alukset_fx!$Q$37,IF(OR(Q438="RoPax",Q438="RoRo",Q438="Vehicle carrier"),Alukset_fx!$Q$55,0))))))))</f>
        <v>0</v>
      </c>
      <c r="Z438" t="str">
        <f t="shared" si="80"/>
        <v>MDO/MGO</v>
      </c>
      <c r="AA438" t="str">
        <f t="shared" si="81"/>
        <v>MSD</v>
      </c>
      <c r="AB438" t="str">
        <f t="shared" si="82"/>
        <v>MDO/MGO</v>
      </c>
      <c r="AC438" t="str">
        <f t="shared" si="83"/>
        <v>MSD</v>
      </c>
      <c r="AD438" t="str">
        <f t="shared" si="84"/>
        <v>MDO/MGO</v>
      </c>
      <c r="AE438" t="str">
        <f t="shared" si="85"/>
        <v>ST</v>
      </c>
      <c r="AG438">
        <f>Alukset_Käynnit!O445</f>
        <v>0</v>
      </c>
      <c r="AH438" s="207">
        <f>IF(AA438="SSD",((U438*Alukset_fx!$B$24)*Alukset_Käynnit_Lask!W438*(Alukset_fx!$K$49)/1000),IF(AA438="MSD",((U438*Alukset_fx!$B$24)*Alukset_Käynnit_Lask!W438*(Alukset_fx!$K$52)/1000),IF(AA438="HSD",((U438*Alukset_fx!$B$24)*Alukset_Käynnit_Lask!W438*(Alukset_fx!$K$55)/1000),0)))</f>
        <v>0</v>
      </c>
      <c r="AI438" s="207">
        <f>IF(AC438="MSD",((V438*Alukset_fx!$B$25)*Alukset_Käynnit_Lask!W438*(Alukset_fx!$L$52)/1000),IF(AC438="HSD",((V438*Alukset_fx!$B$25)*Alukset_Käynnit_Lask!W438*(Alukset_fx!$L$55)/1000),0))</f>
        <v>0</v>
      </c>
      <c r="AJ438" s="207">
        <f>X438*W438*Alukset_fx!$K$61/1000</f>
        <v>0</v>
      </c>
      <c r="AK438">
        <v>0</v>
      </c>
      <c r="AL438" s="207">
        <f>IF(AG438="Käytetty",0,IF(AC438="MSD",((V438*Alukset_fx!$O$25)*Alukset_Käynnit_Lask!O438*(Alukset_fx!$L$52)/1000),IF(AC438="HSD",((V438*Alukset_fx!$O$25)*Alukset_Käynnit_Lask!O438*(Alukset_fx!$L$55)/1000),0)))</f>
        <v>0</v>
      </c>
      <c r="AM438" s="207">
        <f>IF(AG438="Käytetty",0,Y438*O438*Alukset_fx!$K$61/1000)</f>
        <v>0</v>
      </c>
      <c r="AN438" s="213">
        <f t="shared" si="86"/>
        <v>0</v>
      </c>
    </row>
    <row r="439" spans="1:40" x14ac:dyDescent="0.25">
      <c r="A439" s="203">
        <f>Alukset_Käynnit!A446</f>
        <v>0</v>
      </c>
      <c r="B439" s="203">
        <f>Alukset_Käynnit!B446</f>
        <v>0</v>
      </c>
      <c r="C439" s="262">
        <f>Alukset_Käynnit!C446</f>
        <v>0</v>
      </c>
      <c r="D439" s="266">
        <f>Alukset_Käynnit!D446</f>
        <v>0</v>
      </c>
      <c r="E439" s="262">
        <f>Alukset_Käynnit!E446</f>
        <v>0</v>
      </c>
      <c r="F439" s="262">
        <f>Alukset_Käynnit!F446</f>
        <v>0</v>
      </c>
      <c r="G439" s="262">
        <f>Alukset_Käynnit!G446</f>
        <v>0</v>
      </c>
      <c r="H439" s="262">
        <f>Alukset_Käynnit!H446</f>
        <v>0</v>
      </c>
      <c r="I439" s="262">
        <f>Alukset_Käynnit!I446</f>
        <v>0</v>
      </c>
      <c r="J439" s="262">
        <f>Alukset_Käynnit!J446</f>
        <v>0</v>
      </c>
      <c r="K439" s="262">
        <f>Alukset_Käynnit!K446</f>
        <v>0</v>
      </c>
      <c r="L439" s="205">
        <f>Alukset_Käynnit!L446</f>
        <v>0</v>
      </c>
      <c r="N439" s="273">
        <f t="shared" si="87"/>
        <v>0</v>
      </c>
      <c r="O439" s="274">
        <f t="shared" si="88"/>
        <v>0</v>
      </c>
      <c r="Q439" s="204">
        <f t="shared" si="77"/>
        <v>0</v>
      </c>
      <c r="R439" s="202">
        <f>IF(Q439="Other dry cargo",L439*Alukset_fx!$B$71,IF(OR(Q439="Dry bulk",Q439="Bulk carrier"),L439*Alukset_fx!$B$69,IF(Q439="Tugboat",L439*Alukset_fx!$B$76,IF(OR(Q439="Tanker",Q439="Gas tanker",Q439="Chemical tanker",Q439="Oil tanker"),L439*Alukset_fx!$B$68,IF(OR(Q439="RoRo",Q439="Vehicle carrier"),L439*Alukset_fx!$B$72,IF(Q439="RoPax",L439*Alukset_fx!$B$73,IF(Q439="Container ship",L439*Alukset_fx!$B$70,IF(Q439="Barge",0,L439*Alukset_fx!$B$75))))))))</f>
        <v>0</v>
      </c>
      <c r="S439" s="210">
        <f>IF(L439=0,IF(Q439="Other dry cargo",Alukset_fx!$H$73*(Alukset_Käynnit_Lask!K439^Alukset_fx!$I$73),IF(OR(Q439="Dry Bulk",Q439="Bulk carrier"),Alukset_fx!$H$71*(Alukset_Käynnit_Lask!K439^Alukset_fx!$I$71),IF(Q439="Tugboat",Alukset_fx!$H$78*(Alukset_Käynnit_Lask!K439^Alukset_fx!$I$78),IF(OR(Q439="Tanker",Q439="Gas tanker",Q439="Chemical tanker",Q439="Oil tanker"),Alukset_fx!$H$70*(Alukset_Käynnit_Lask!K439^Alukset_fx!$I$70),IF(Q439="Container ship",Alukset_fx!$H$72*(Alukset_Käynnit_Lask!K439^Alukset_fx!$I$72),IF(Q439="Barge",0,IF(Q439="RoPax",Alukset_fx!$H$75*(Alukset_Käynnit_Lask!K439^Alukset_fx!$I$75),IF(OR(Q439="RoRo",Q439="Vehicle carrier"),Alukset_fx!$H$74*(Alukset_Käynnit_Lask!K439^Alukset_fx!$I$74),Alukset_fx!$H$77*(Alukset_Käynnit_Lask!K439^Alukset_fx!$I$77))))))))),"-")</f>
        <v>0</v>
      </c>
      <c r="T439" s="208">
        <f>IF(R439=0,IF(Q439="Other dry cargo",S439*Alukset_fx!$B$71,IF(OR(Q439="Dry bulk",Q439="Bulk carrier"),S439*Alukset_fx!$B$69,IF(Q439="Tugboat",S439*Alukset_fx!$B$76,IF(OR(Q439="Tanker",Q439="Gas tanker",Q439="Chemical tanker",Q439="Oil tanker"),S439*Alukset_fx!$B$68,IF(OR(Q439="RoRo",Q439="Vehicle carrier"),S439*Alukset_fx!$B$72,IF(Q439="RoPax",S439*Alukset_fx!$B$73,IF(Q439="Container ship",S439*Alukset_fx!$B$70,S439*Alukset_fx!$B$75))))))),"-")</f>
        <v>0</v>
      </c>
      <c r="U439" s="208">
        <f t="shared" si="78"/>
        <v>0</v>
      </c>
      <c r="V439" s="208">
        <f t="shared" si="79"/>
        <v>0</v>
      </c>
      <c r="W439" s="202">
        <f>Alukset_Käynnit!N446</f>
        <v>0</v>
      </c>
      <c r="X439" s="211">
        <f>IF(Q439="Other dry cargo", Alukset_fx!$C$52, IF(OR(Q439="Dry bulk",Q439="Bulk carrier"),Alukset_fx!$C$35,IF(OR(Q439="Tanker",Q439="Gas tanker",Q439="Oil tanker"),Alukset_fx!$C$57,IF(Q439="Chemical tanker",Alukset_fx!$C$56,IF(OR(Q439="Tugboat",Q439="Barge"),0,IF(Q439="Other vessel",Alukset_fx!$C$54,IF(Q439="Container ship",Alukset_fx!$C$37,IF(OR(Q439="RoPax",Q439="RoRo",Q439="Vehicle carrier"),Alukset_fx!$C$55,0))))))))</f>
        <v>0</v>
      </c>
      <c r="Y439" s="211">
        <f>IF(Q439="Other dry cargo", Alukset_fx!$Q$52, IF(OR(Q439="Dry bulk",Q439="Bulk carrier"),Alukset_fx!$Q$35,IF(OR(Q439="Tanker",Q439="Gas tanker",Q439="Oil tanker"),Alukset_fx!$Q$57,IF(Q439="Chemical tanker",Alukset_fx!$Q$56,IF(OR(Q439="Tugboat",Q439="Barge"),0,IF(Q439="Other vessel",Alukset_fx!$Q$54,IF(Q439="Container ship",Alukset_fx!$Q$37,IF(OR(Q439="RoPax",Q439="RoRo",Q439="Vehicle carrier"),Alukset_fx!$Q$55,0))))))))</f>
        <v>0</v>
      </c>
      <c r="Z439" t="str">
        <f t="shared" si="80"/>
        <v>MDO/MGO</v>
      </c>
      <c r="AA439" t="str">
        <f t="shared" si="81"/>
        <v>MSD</v>
      </c>
      <c r="AB439" t="str">
        <f t="shared" si="82"/>
        <v>MDO/MGO</v>
      </c>
      <c r="AC439" t="str">
        <f t="shared" si="83"/>
        <v>MSD</v>
      </c>
      <c r="AD439" t="str">
        <f t="shared" si="84"/>
        <v>MDO/MGO</v>
      </c>
      <c r="AE439" t="str">
        <f t="shared" si="85"/>
        <v>ST</v>
      </c>
      <c r="AG439">
        <f>Alukset_Käynnit!O446</f>
        <v>0</v>
      </c>
      <c r="AH439" s="207">
        <f>IF(AA439="SSD",((U439*Alukset_fx!$B$24)*Alukset_Käynnit_Lask!W439*(Alukset_fx!$K$49)/1000),IF(AA439="MSD",((U439*Alukset_fx!$B$24)*Alukset_Käynnit_Lask!W439*(Alukset_fx!$K$52)/1000),IF(AA439="HSD",((U439*Alukset_fx!$B$24)*Alukset_Käynnit_Lask!W439*(Alukset_fx!$K$55)/1000),0)))</f>
        <v>0</v>
      </c>
      <c r="AI439" s="207">
        <f>IF(AC439="MSD",((V439*Alukset_fx!$B$25)*Alukset_Käynnit_Lask!W439*(Alukset_fx!$L$52)/1000),IF(AC439="HSD",((V439*Alukset_fx!$B$25)*Alukset_Käynnit_Lask!W439*(Alukset_fx!$L$55)/1000),0))</f>
        <v>0</v>
      </c>
      <c r="AJ439" s="207">
        <f>X439*W439*Alukset_fx!$K$61/1000</f>
        <v>0</v>
      </c>
      <c r="AK439">
        <v>0</v>
      </c>
      <c r="AL439" s="207">
        <f>IF(AG439="Käytetty",0,IF(AC439="MSD",((V439*Alukset_fx!$O$25)*Alukset_Käynnit_Lask!O439*(Alukset_fx!$L$52)/1000),IF(AC439="HSD",((V439*Alukset_fx!$O$25)*Alukset_Käynnit_Lask!O439*(Alukset_fx!$L$55)/1000),0)))</f>
        <v>0</v>
      </c>
      <c r="AM439" s="207">
        <f>IF(AG439="Käytetty",0,Y439*O439*Alukset_fx!$K$61/1000)</f>
        <v>0</v>
      </c>
      <c r="AN439" s="213">
        <f t="shared" si="86"/>
        <v>0</v>
      </c>
    </row>
    <row r="440" spans="1:40" x14ac:dyDescent="0.25">
      <c r="A440" s="203">
        <f>Alukset_Käynnit!A447</f>
        <v>0</v>
      </c>
      <c r="B440" s="203">
        <f>Alukset_Käynnit!B447</f>
        <v>0</v>
      </c>
      <c r="C440" s="262">
        <f>Alukset_Käynnit!C447</f>
        <v>0</v>
      </c>
      <c r="D440" s="266">
        <f>Alukset_Käynnit!D447</f>
        <v>0</v>
      </c>
      <c r="E440" s="262">
        <f>Alukset_Käynnit!E447</f>
        <v>0</v>
      </c>
      <c r="F440" s="262">
        <f>Alukset_Käynnit!F447</f>
        <v>0</v>
      </c>
      <c r="G440" s="262">
        <f>Alukset_Käynnit!G447</f>
        <v>0</v>
      </c>
      <c r="H440" s="262">
        <f>Alukset_Käynnit!H447</f>
        <v>0</v>
      </c>
      <c r="I440" s="262">
        <f>Alukset_Käynnit!I447</f>
        <v>0</v>
      </c>
      <c r="J440" s="262">
        <f>Alukset_Käynnit!J447</f>
        <v>0</v>
      </c>
      <c r="K440" s="262">
        <f>Alukset_Käynnit!K447</f>
        <v>0</v>
      </c>
      <c r="L440" s="205">
        <f>Alukset_Käynnit!L447</f>
        <v>0</v>
      </c>
      <c r="N440" s="273">
        <f t="shared" si="87"/>
        <v>0</v>
      </c>
      <c r="O440" s="274">
        <f t="shared" si="88"/>
        <v>0</v>
      </c>
      <c r="Q440" s="204">
        <f t="shared" si="77"/>
        <v>0</v>
      </c>
      <c r="R440" s="202">
        <f>IF(Q440="Other dry cargo",L440*Alukset_fx!$B$71,IF(OR(Q440="Dry bulk",Q440="Bulk carrier"),L440*Alukset_fx!$B$69,IF(Q440="Tugboat",L440*Alukset_fx!$B$76,IF(OR(Q440="Tanker",Q440="Gas tanker",Q440="Chemical tanker",Q440="Oil tanker"),L440*Alukset_fx!$B$68,IF(OR(Q440="RoRo",Q440="Vehicle carrier"),L440*Alukset_fx!$B$72,IF(Q440="RoPax",L440*Alukset_fx!$B$73,IF(Q440="Container ship",L440*Alukset_fx!$B$70,IF(Q440="Barge",0,L440*Alukset_fx!$B$75))))))))</f>
        <v>0</v>
      </c>
      <c r="S440" s="210">
        <f>IF(L440=0,IF(Q440="Other dry cargo",Alukset_fx!$H$73*(Alukset_Käynnit_Lask!K440^Alukset_fx!$I$73),IF(OR(Q440="Dry Bulk",Q440="Bulk carrier"),Alukset_fx!$H$71*(Alukset_Käynnit_Lask!K440^Alukset_fx!$I$71),IF(Q440="Tugboat",Alukset_fx!$H$78*(Alukset_Käynnit_Lask!K440^Alukset_fx!$I$78),IF(OR(Q440="Tanker",Q440="Gas tanker",Q440="Chemical tanker",Q440="Oil tanker"),Alukset_fx!$H$70*(Alukset_Käynnit_Lask!K440^Alukset_fx!$I$70),IF(Q440="Container ship",Alukset_fx!$H$72*(Alukset_Käynnit_Lask!K440^Alukset_fx!$I$72),IF(Q440="Barge",0,IF(Q440="RoPax",Alukset_fx!$H$75*(Alukset_Käynnit_Lask!K440^Alukset_fx!$I$75),IF(OR(Q440="RoRo",Q440="Vehicle carrier"),Alukset_fx!$H$74*(Alukset_Käynnit_Lask!K440^Alukset_fx!$I$74),Alukset_fx!$H$77*(Alukset_Käynnit_Lask!K440^Alukset_fx!$I$77))))))))),"-")</f>
        <v>0</v>
      </c>
      <c r="T440" s="208">
        <f>IF(R440=0,IF(Q440="Other dry cargo",S440*Alukset_fx!$B$71,IF(OR(Q440="Dry bulk",Q440="Bulk carrier"),S440*Alukset_fx!$B$69,IF(Q440="Tugboat",S440*Alukset_fx!$B$76,IF(OR(Q440="Tanker",Q440="Gas tanker",Q440="Chemical tanker",Q440="Oil tanker"),S440*Alukset_fx!$B$68,IF(OR(Q440="RoRo",Q440="Vehicle carrier"),S440*Alukset_fx!$B$72,IF(Q440="RoPax",S440*Alukset_fx!$B$73,IF(Q440="Container ship",S440*Alukset_fx!$B$70,S440*Alukset_fx!$B$75))))))),"-")</f>
        <v>0</v>
      </c>
      <c r="U440" s="208">
        <f t="shared" si="78"/>
        <v>0</v>
      </c>
      <c r="V440" s="208">
        <f t="shared" si="79"/>
        <v>0</v>
      </c>
      <c r="W440" s="202">
        <f>Alukset_Käynnit!N447</f>
        <v>0</v>
      </c>
      <c r="X440" s="211">
        <f>IF(Q440="Other dry cargo", Alukset_fx!$C$52, IF(OR(Q440="Dry bulk",Q440="Bulk carrier"),Alukset_fx!$C$35,IF(OR(Q440="Tanker",Q440="Gas tanker",Q440="Oil tanker"),Alukset_fx!$C$57,IF(Q440="Chemical tanker",Alukset_fx!$C$56,IF(OR(Q440="Tugboat",Q440="Barge"),0,IF(Q440="Other vessel",Alukset_fx!$C$54,IF(Q440="Container ship",Alukset_fx!$C$37,IF(OR(Q440="RoPax",Q440="RoRo",Q440="Vehicle carrier"),Alukset_fx!$C$55,0))))))))</f>
        <v>0</v>
      </c>
      <c r="Y440" s="211">
        <f>IF(Q440="Other dry cargo", Alukset_fx!$Q$52, IF(OR(Q440="Dry bulk",Q440="Bulk carrier"),Alukset_fx!$Q$35,IF(OR(Q440="Tanker",Q440="Gas tanker",Q440="Oil tanker"),Alukset_fx!$Q$57,IF(Q440="Chemical tanker",Alukset_fx!$Q$56,IF(OR(Q440="Tugboat",Q440="Barge"),0,IF(Q440="Other vessel",Alukset_fx!$Q$54,IF(Q440="Container ship",Alukset_fx!$Q$37,IF(OR(Q440="RoPax",Q440="RoRo",Q440="Vehicle carrier"),Alukset_fx!$Q$55,0))))))))</f>
        <v>0</v>
      </c>
      <c r="Z440" t="str">
        <f t="shared" si="80"/>
        <v>MDO/MGO</v>
      </c>
      <c r="AA440" t="str">
        <f t="shared" si="81"/>
        <v>MSD</v>
      </c>
      <c r="AB440" t="str">
        <f t="shared" si="82"/>
        <v>MDO/MGO</v>
      </c>
      <c r="AC440" t="str">
        <f t="shared" si="83"/>
        <v>MSD</v>
      </c>
      <c r="AD440" t="str">
        <f t="shared" si="84"/>
        <v>MDO/MGO</v>
      </c>
      <c r="AE440" t="str">
        <f t="shared" si="85"/>
        <v>ST</v>
      </c>
      <c r="AG440">
        <f>Alukset_Käynnit!O447</f>
        <v>0</v>
      </c>
      <c r="AH440" s="207">
        <f>IF(AA440="SSD",((U440*Alukset_fx!$B$24)*Alukset_Käynnit_Lask!W440*(Alukset_fx!$K$49)/1000),IF(AA440="MSD",((U440*Alukset_fx!$B$24)*Alukset_Käynnit_Lask!W440*(Alukset_fx!$K$52)/1000),IF(AA440="HSD",((U440*Alukset_fx!$B$24)*Alukset_Käynnit_Lask!W440*(Alukset_fx!$K$55)/1000),0)))</f>
        <v>0</v>
      </c>
      <c r="AI440" s="207">
        <f>IF(AC440="MSD",((V440*Alukset_fx!$B$25)*Alukset_Käynnit_Lask!W440*(Alukset_fx!$L$52)/1000),IF(AC440="HSD",((V440*Alukset_fx!$B$25)*Alukset_Käynnit_Lask!W440*(Alukset_fx!$L$55)/1000),0))</f>
        <v>0</v>
      </c>
      <c r="AJ440" s="207">
        <f>X440*W440*Alukset_fx!$K$61/1000</f>
        <v>0</v>
      </c>
      <c r="AK440">
        <v>0</v>
      </c>
      <c r="AL440" s="207">
        <f>IF(AG440="Käytetty",0,IF(AC440="MSD",((V440*Alukset_fx!$O$25)*Alukset_Käynnit_Lask!O440*(Alukset_fx!$L$52)/1000),IF(AC440="HSD",((V440*Alukset_fx!$O$25)*Alukset_Käynnit_Lask!O440*(Alukset_fx!$L$55)/1000),0)))</f>
        <v>0</v>
      </c>
      <c r="AM440" s="207">
        <f>IF(AG440="Käytetty",0,Y440*O440*Alukset_fx!$K$61/1000)</f>
        <v>0</v>
      </c>
      <c r="AN440" s="213">
        <f t="shared" si="86"/>
        <v>0</v>
      </c>
    </row>
    <row r="441" spans="1:40" x14ac:dyDescent="0.25">
      <c r="A441" s="203">
        <f>Alukset_Käynnit!A448</f>
        <v>0</v>
      </c>
      <c r="B441" s="203">
        <f>Alukset_Käynnit!B448</f>
        <v>0</v>
      </c>
      <c r="C441" s="262">
        <f>Alukset_Käynnit!C448</f>
        <v>0</v>
      </c>
      <c r="D441" s="266">
        <f>Alukset_Käynnit!D448</f>
        <v>0</v>
      </c>
      <c r="E441" s="262">
        <f>Alukset_Käynnit!E448</f>
        <v>0</v>
      </c>
      <c r="F441" s="262">
        <f>Alukset_Käynnit!F448</f>
        <v>0</v>
      </c>
      <c r="G441" s="262">
        <f>Alukset_Käynnit!G448</f>
        <v>0</v>
      </c>
      <c r="H441" s="262">
        <f>Alukset_Käynnit!H448</f>
        <v>0</v>
      </c>
      <c r="I441" s="262">
        <f>Alukset_Käynnit!I448</f>
        <v>0</v>
      </c>
      <c r="J441" s="262">
        <f>Alukset_Käynnit!J448</f>
        <v>0</v>
      </c>
      <c r="K441" s="262">
        <f>Alukset_Käynnit!K448</f>
        <v>0</v>
      </c>
      <c r="L441" s="205">
        <f>Alukset_Käynnit!L448</f>
        <v>0</v>
      </c>
      <c r="N441" s="273">
        <f t="shared" si="87"/>
        <v>0</v>
      </c>
      <c r="O441" s="274">
        <f t="shared" si="88"/>
        <v>0</v>
      </c>
      <c r="Q441" s="204">
        <f t="shared" si="77"/>
        <v>0</v>
      </c>
      <c r="R441" s="202">
        <f>IF(Q441="Other dry cargo",L441*Alukset_fx!$B$71,IF(OR(Q441="Dry bulk",Q441="Bulk carrier"),L441*Alukset_fx!$B$69,IF(Q441="Tugboat",L441*Alukset_fx!$B$76,IF(OR(Q441="Tanker",Q441="Gas tanker",Q441="Chemical tanker",Q441="Oil tanker"),L441*Alukset_fx!$B$68,IF(OR(Q441="RoRo",Q441="Vehicle carrier"),L441*Alukset_fx!$B$72,IF(Q441="RoPax",L441*Alukset_fx!$B$73,IF(Q441="Container ship",L441*Alukset_fx!$B$70,IF(Q441="Barge",0,L441*Alukset_fx!$B$75))))))))</f>
        <v>0</v>
      </c>
      <c r="S441" s="210">
        <f>IF(L441=0,IF(Q441="Other dry cargo",Alukset_fx!$H$73*(Alukset_Käynnit_Lask!K441^Alukset_fx!$I$73),IF(OR(Q441="Dry Bulk",Q441="Bulk carrier"),Alukset_fx!$H$71*(Alukset_Käynnit_Lask!K441^Alukset_fx!$I$71),IF(Q441="Tugboat",Alukset_fx!$H$78*(Alukset_Käynnit_Lask!K441^Alukset_fx!$I$78),IF(OR(Q441="Tanker",Q441="Gas tanker",Q441="Chemical tanker",Q441="Oil tanker"),Alukset_fx!$H$70*(Alukset_Käynnit_Lask!K441^Alukset_fx!$I$70),IF(Q441="Container ship",Alukset_fx!$H$72*(Alukset_Käynnit_Lask!K441^Alukset_fx!$I$72),IF(Q441="Barge",0,IF(Q441="RoPax",Alukset_fx!$H$75*(Alukset_Käynnit_Lask!K441^Alukset_fx!$I$75),IF(OR(Q441="RoRo",Q441="Vehicle carrier"),Alukset_fx!$H$74*(Alukset_Käynnit_Lask!K441^Alukset_fx!$I$74),Alukset_fx!$H$77*(Alukset_Käynnit_Lask!K441^Alukset_fx!$I$77))))))))),"-")</f>
        <v>0</v>
      </c>
      <c r="T441" s="208">
        <f>IF(R441=0,IF(Q441="Other dry cargo",S441*Alukset_fx!$B$71,IF(OR(Q441="Dry bulk",Q441="Bulk carrier"),S441*Alukset_fx!$B$69,IF(Q441="Tugboat",S441*Alukset_fx!$B$76,IF(OR(Q441="Tanker",Q441="Gas tanker",Q441="Chemical tanker",Q441="Oil tanker"),S441*Alukset_fx!$B$68,IF(OR(Q441="RoRo",Q441="Vehicle carrier"),S441*Alukset_fx!$B$72,IF(Q441="RoPax",S441*Alukset_fx!$B$73,IF(Q441="Container ship",S441*Alukset_fx!$B$70,S441*Alukset_fx!$B$75))))))),"-")</f>
        <v>0</v>
      </c>
      <c r="U441" s="208">
        <f t="shared" si="78"/>
        <v>0</v>
      </c>
      <c r="V441" s="208">
        <f t="shared" si="79"/>
        <v>0</v>
      </c>
      <c r="W441" s="202">
        <f>Alukset_Käynnit!N448</f>
        <v>0</v>
      </c>
      <c r="X441" s="211">
        <f>IF(Q441="Other dry cargo", Alukset_fx!$C$52, IF(OR(Q441="Dry bulk",Q441="Bulk carrier"),Alukset_fx!$C$35,IF(OR(Q441="Tanker",Q441="Gas tanker",Q441="Oil tanker"),Alukset_fx!$C$57,IF(Q441="Chemical tanker",Alukset_fx!$C$56,IF(OR(Q441="Tugboat",Q441="Barge"),0,IF(Q441="Other vessel",Alukset_fx!$C$54,IF(Q441="Container ship",Alukset_fx!$C$37,IF(OR(Q441="RoPax",Q441="RoRo",Q441="Vehicle carrier"),Alukset_fx!$C$55,0))))))))</f>
        <v>0</v>
      </c>
      <c r="Y441" s="211">
        <f>IF(Q441="Other dry cargo", Alukset_fx!$Q$52, IF(OR(Q441="Dry bulk",Q441="Bulk carrier"),Alukset_fx!$Q$35,IF(OR(Q441="Tanker",Q441="Gas tanker",Q441="Oil tanker"),Alukset_fx!$Q$57,IF(Q441="Chemical tanker",Alukset_fx!$Q$56,IF(OR(Q441="Tugboat",Q441="Barge"),0,IF(Q441="Other vessel",Alukset_fx!$Q$54,IF(Q441="Container ship",Alukset_fx!$Q$37,IF(OR(Q441="RoPax",Q441="RoRo",Q441="Vehicle carrier"),Alukset_fx!$Q$55,0))))))))</f>
        <v>0</v>
      </c>
      <c r="Z441" t="str">
        <f t="shared" si="80"/>
        <v>MDO/MGO</v>
      </c>
      <c r="AA441" t="str">
        <f t="shared" si="81"/>
        <v>MSD</v>
      </c>
      <c r="AB441" t="str">
        <f t="shared" si="82"/>
        <v>MDO/MGO</v>
      </c>
      <c r="AC441" t="str">
        <f t="shared" si="83"/>
        <v>MSD</v>
      </c>
      <c r="AD441" t="str">
        <f t="shared" si="84"/>
        <v>MDO/MGO</v>
      </c>
      <c r="AE441" t="str">
        <f t="shared" si="85"/>
        <v>ST</v>
      </c>
      <c r="AG441">
        <f>Alukset_Käynnit!O448</f>
        <v>0</v>
      </c>
      <c r="AH441" s="207">
        <f>IF(AA441="SSD",((U441*Alukset_fx!$B$24)*Alukset_Käynnit_Lask!W441*(Alukset_fx!$K$49)/1000),IF(AA441="MSD",((U441*Alukset_fx!$B$24)*Alukset_Käynnit_Lask!W441*(Alukset_fx!$K$52)/1000),IF(AA441="HSD",((U441*Alukset_fx!$B$24)*Alukset_Käynnit_Lask!W441*(Alukset_fx!$K$55)/1000),0)))</f>
        <v>0</v>
      </c>
      <c r="AI441" s="207">
        <f>IF(AC441="MSD",((V441*Alukset_fx!$B$25)*Alukset_Käynnit_Lask!W441*(Alukset_fx!$L$52)/1000),IF(AC441="HSD",((V441*Alukset_fx!$B$25)*Alukset_Käynnit_Lask!W441*(Alukset_fx!$L$55)/1000),0))</f>
        <v>0</v>
      </c>
      <c r="AJ441" s="207">
        <f>X441*W441*Alukset_fx!$K$61/1000</f>
        <v>0</v>
      </c>
      <c r="AK441">
        <v>0</v>
      </c>
      <c r="AL441" s="207">
        <f>IF(AG441="Käytetty",0,IF(AC441="MSD",((V441*Alukset_fx!$O$25)*Alukset_Käynnit_Lask!O441*(Alukset_fx!$L$52)/1000),IF(AC441="HSD",((V441*Alukset_fx!$O$25)*Alukset_Käynnit_Lask!O441*(Alukset_fx!$L$55)/1000),0)))</f>
        <v>0</v>
      </c>
      <c r="AM441" s="207">
        <f>IF(AG441="Käytetty",0,Y441*O441*Alukset_fx!$K$61/1000)</f>
        <v>0</v>
      </c>
      <c r="AN441" s="213">
        <f t="shared" si="86"/>
        <v>0</v>
      </c>
    </row>
    <row r="442" spans="1:40" x14ac:dyDescent="0.25">
      <c r="A442" s="203">
        <f>Alukset_Käynnit!A449</f>
        <v>0</v>
      </c>
      <c r="B442" s="203">
        <f>Alukset_Käynnit!B449</f>
        <v>0</v>
      </c>
      <c r="C442" s="262">
        <f>Alukset_Käynnit!C449</f>
        <v>0</v>
      </c>
      <c r="D442" s="266">
        <f>Alukset_Käynnit!D449</f>
        <v>0</v>
      </c>
      <c r="E442" s="262">
        <f>Alukset_Käynnit!E449</f>
        <v>0</v>
      </c>
      <c r="F442" s="262">
        <f>Alukset_Käynnit!F449</f>
        <v>0</v>
      </c>
      <c r="G442" s="262">
        <f>Alukset_Käynnit!G449</f>
        <v>0</v>
      </c>
      <c r="H442" s="262">
        <f>Alukset_Käynnit!H449</f>
        <v>0</v>
      </c>
      <c r="I442" s="262">
        <f>Alukset_Käynnit!I449</f>
        <v>0</v>
      </c>
      <c r="J442" s="262">
        <f>Alukset_Käynnit!J449</f>
        <v>0</v>
      </c>
      <c r="K442" s="262">
        <f>Alukset_Käynnit!K449</f>
        <v>0</v>
      </c>
      <c r="L442" s="205">
        <f>Alukset_Käynnit!L449</f>
        <v>0</v>
      </c>
      <c r="N442" s="273">
        <f t="shared" si="87"/>
        <v>0</v>
      </c>
      <c r="O442" s="274">
        <f t="shared" si="88"/>
        <v>0</v>
      </c>
      <c r="Q442" s="204">
        <f t="shared" si="77"/>
        <v>0</v>
      </c>
      <c r="R442" s="202">
        <f>IF(Q442="Other dry cargo",L442*Alukset_fx!$B$71,IF(OR(Q442="Dry bulk",Q442="Bulk carrier"),L442*Alukset_fx!$B$69,IF(Q442="Tugboat",L442*Alukset_fx!$B$76,IF(OR(Q442="Tanker",Q442="Gas tanker",Q442="Chemical tanker",Q442="Oil tanker"),L442*Alukset_fx!$B$68,IF(OR(Q442="RoRo",Q442="Vehicle carrier"),L442*Alukset_fx!$B$72,IF(Q442="RoPax",L442*Alukset_fx!$B$73,IF(Q442="Container ship",L442*Alukset_fx!$B$70,IF(Q442="Barge",0,L442*Alukset_fx!$B$75))))))))</f>
        <v>0</v>
      </c>
      <c r="S442" s="210">
        <f>IF(L442=0,IF(Q442="Other dry cargo",Alukset_fx!$H$73*(Alukset_Käynnit_Lask!K442^Alukset_fx!$I$73),IF(OR(Q442="Dry Bulk",Q442="Bulk carrier"),Alukset_fx!$H$71*(Alukset_Käynnit_Lask!K442^Alukset_fx!$I$71),IF(Q442="Tugboat",Alukset_fx!$H$78*(Alukset_Käynnit_Lask!K442^Alukset_fx!$I$78),IF(OR(Q442="Tanker",Q442="Gas tanker",Q442="Chemical tanker",Q442="Oil tanker"),Alukset_fx!$H$70*(Alukset_Käynnit_Lask!K442^Alukset_fx!$I$70),IF(Q442="Container ship",Alukset_fx!$H$72*(Alukset_Käynnit_Lask!K442^Alukset_fx!$I$72),IF(Q442="Barge",0,IF(Q442="RoPax",Alukset_fx!$H$75*(Alukset_Käynnit_Lask!K442^Alukset_fx!$I$75),IF(OR(Q442="RoRo",Q442="Vehicle carrier"),Alukset_fx!$H$74*(Alukset_Käynnit_Lask!K442^Alukset_fx!$I$74),Alukset_fx!$H$77*(Alukset_Käynnit_Lask!K442^Alukset_fx!$I$77))))))))),"-")</f>
        <v>0</v>
      </c>
      <c r="T442" s="208">
        <f>IF(R442=0,IF(Q442="Other dry cargo",S442*Alukset_fx!$B$71,IF(OR(Q442="Dry bulk",Q442="Bulk carrier"),S442*Alukset_fx!$B$69,IF(Q442="Tugboat",S442*Alukset_fx!$B$76,IF(OR(Q442="Tanker",Q442="Gas tanker",Q442="Chemical tanker",Q442="Oil tanker"),S442*Alukset_fx!$B$68,IF(OR(Q442="RoRo",Q442="Vehicle carrier"),S442*Alukset_fx!$B$72,IF(Q442="RoPax",S442*Alukset_fx!$B$73,IF(Q442="Container ship",S442*Alukset_fx!$B$70,S442*Alukset_fx!$B$75))))))),"-")</f>
        <v>0</v>
      </c>
      <c r="U442" s="208">
        <f t="shared" si="78"/>
        <v>0</v>
      </c>
      <c r="V442" s="208">
        <f t="shared" si="79"/>
        <v>0</v>
      </c>
      <c r="W442" s="202">
        <f>Alukset_Käynnit!N449</f>
        <v>0</v>
      </c>
      <c r="X442" s="211">
        <f>IF(Q442="Other dry cargo", Alukset_fx!$C$52, IF(OR(Q442="Dry bulk",Q442="Bulk carrier"),Alukset_fx!$C$35,IF(OR(Q442="Tanker",Q442="Gas tanker",Q442="Oil tanker"),Alukset_fx!$C$57,IF(Q442="Chemical tanker",Alukset_fx!$C$56,IF(OR(Q442="Tugboat",Q442="Barge"),0,IF(Q442="Other vessel",Alukset_fx!$C$54,IF(Q442="Container ship",Alukset_fx!$C$37,IF(OR(Q442="RoPax",Q442="RoRo",Q442="Vehicle carrier"),Alukset_fx!$C$55,0))))))))</f>
        <v>0</v>
      </c>
      <c r="Y442" s="211">
        <f>IF(Q442="Other dry cargo", Alukset_fx!$Q$52, IF(OR(Q442="Dry bulk",Q442="Bulk carrier"),Alukset_fx!$Q$35,IF(OR(Q442="Tanker",Q442="Gas tanker",Q442="Oil tanker"),Alukset_fx!$Q$57,IF(Q442="Chemical tanker",Alukset_fx!$Q$56,IF(OR(Q442="Tugboat",Q442="Barge"),0,IF(Q442="Other vessel",Alukset_fx!$Q$54,IF(Q442="Container ship",Alukset_fx!$Q$37,IF(OR(Q442="RoPax",Q442="RoRo",Q442="Vehicle carrier"),Alukset_fx!$Q$55,0))))))))</f>
        <v>0</v>
      </c>
      <c r="Z442" t="str">
        <f t="shared" si="80"/>
        <v>MDO/MGO</v>
      </c>
      <c r="AA442" t="str">
        <f t="shared" si="81"/>
        <v>MSD</v>
      </c>
      <c r="AB442" t="str">
        <f t="shared" si="82"/>
        <v>MDO/MGO</v>
      </c>
      <c r="AC442" t="str">
        <f t="shared" si="83"/>
        <v>MSD</v>
      </c>
      <c r="AD442" t="str">
        <f t="shared" si="84"/>
        <v>MDO/MGO</v>
      </c>
      <c r="AE442" t="str">
        <f t="shared" si="85"/>
        <v>ST</v>
      </c>
      <c r="AG442">
        <f>Alukset_Käynnit!O449</f>
        <v>0</v>
      </c>
      <c r="AH442" s="207">
        <f>IF(AA442="SSD",((U442*Alukset_fx!$B$24)*Alukset_Käynnit_Lask!W442*(Alukset_fx!$K$49)/1000),IF(AA442="MSD",((U442*Alukset_fx!$B$24)*Alukset_Käynnit_Lask!W442*(Alukset_fx!$K$52)/1000),IF(AA442="HSD",((U442*Alukset_fx!$B$24)*Alukset_Käynnit_Lask!W442*(Alukset_fx!$K$55)/1000),0)))</f>
        <v>0</v>
      </c>
      <c r="AI442" s="207">
        <f>IF(AC442="MSD",((V442*Alukset_fx!$B$25)*Alukset_Käynnit_Lask!W442*(Alukset_fx!$L$52)/1000),IF(AC442="HSD",((V442*Alukset_fx!$B$25)*Alukset_Käynnit_Lask!W442*(Alukset_fx!$L$55)/1000),0))</f>
        <v>0</v>
      </c>
      <c r="AJ442" s="207">
        <f>X442*W442*Alukset_fx!$K$61/1000</f>
        <v>0</v>
      </c>
      <c r="AK442">
        <v>0</v>
      </c>
      <c r="AL442" s="207">
        <f>IF(AG442="Käytetty",0,IF(AC442="MSD",((V442*Alukset_fx!$O$25)*Alukset_Käynnit_Lask!O442*(Alukset_fx!$L$52)/1000),IF(AC442="HSD",((V442*Alukset_fx!$O$25)*Alukset_Käynnit_Lask!O442*(Alukset_fx!$L$55)/1000),0)))</f>
        <v>0</v>
      </c>
      <c r="AM442" s="207">
        <f>IF(AG442="Käytetty",0,Y442*O442*Alukset_fx!$K$61/1000)</f>
        <v>0</v>
      </c>
      <c r="AN442" s="213">
        <f t="shared" si="86"/>
        <v>0</v>
      </c>
    </row>
    <row r="443" spans="1:40" x14ac:dyDescent="0.25">
      <c r="A443" s="203">
        <f>Alukset_Käynnit!A450</f>
        <v>0</v>
      </c>
      <c r="B443" s="203">
        <f>Alukset_Käynnit!B450</f>
        <v>0</v>
      </c>
      <c r="C443" s="262">
        <f>Alukset_Käynnit!C450</f>
        <v>0</v>
      </c>
      <c r="D443" s="266">
        <f>Alukset_Käynnit!D450</f>
        <v>0</v>
      </c>
      <c r="E443" s="262">
        <f>Alukset_Käynnit!E450</f>
        <v>0</v>
      </c>
      <c r="F443" s="262">
        <f>Alukset_Käynnit!F450</f>
        <v>0</v>
      </c>
      <c r="G443" s="262">
        <f>Alukset_Käynnit!G450</f>
        <v>0</v>
      </c>
      <c r="H443" s="262">
        <f>Alukset_Käynnit!H450</f>
        <v>0</v>
      </c>
      <c r="I443" s="262">
        <f>Alukset_Käynnit!I450</f>
        <v>0</v>
      </c>
      <c r="J443" s="262">
        <f>Alukset_Käynnit!J450</f>
        <v>0</v>
      </c>
      <c r="K443" s="262">
        <f>Alukset_Käynnit!K450</f>
        <v>0</v>
      </c>
      <c r="L443" s="205">
        <f>Alukset_Käynnit!L450</f>
        <v>0</v>
      </c>
      <c r="N443" s="273">
        <f t="shared" si="87"/>
        <v>0</v>
      </c>
      <c r="O443" s="274">
        <f t="shared" si="88"/>
        <v>0</v>
      </c>
      <c r="Q443" s="204">
        <f t="shared" si="77"/>
        <v>0</v>
      </c>
      <c r="R443" s="202">
        <f>IF(Q443="Other dry cargo",L443*Alukset_fx!$B$71,IF(OR(Q443="Dry bulk",Q443="Bulk carrier"),L443*Alukset_fx!$B$69,IF(Q443="Tugboat",L443*Alukset_fx!$B$76,IF(OR(Q443="Tanker",Q443="Gas tanker",Q443="Chemical tanker",Q443="Oil tanker"),L443*Alukset_fx!$B$68,IF(OR(Q443="RoRo",Q443="Vehicle carrier"),L443*Alukset_fx!$B$72,IF(Q443="RoPax",L443*Alukset_fx!$B$73,IF(Q443="Container ship",L443*Alukset_fx!$B$70,IF(Q443="Barge",0,L443*Alukset_fx!$B$75))))))))</f>
        <v>0</v>
      </c>
      <c r="S443" s="210">
        <f>IF(L443=0,IF(Q443="Other dry cargo",Alukset_fx!$H$73*(Alukset_Käynnit_Lask!K443^Alukset_fx!$I$73),IF(OR(Q443="Dry Bulk",Q443="Bulk carrier"),Alukset_fx!$H$71*(Alukset_Käynnit_Lask!K443^Alukset_fx!$I$71),IF(Q443="Tugboat",Alukset_fx!$H$78*(Alukset_Käynnit_Lask!K443^Alukset_fx!$I$78),IF(OR(Q443="Tanker",Q443="Gas tanker",Q443="Chemical tanker",Q443="Oil tanker"),Alukset_fx!$H$70*(Alukset_Käynnit_Lask!K443^Alukset_fx!$I$70),IF(Q443="Container ship",Alukset_fx!$H$72*(Alukset_Käynnit_Lask!K443^Alukset_fx!$I$72),IF(Q443="Barge",0,IF(Q443="RoPax",Alukset_fx!$H$75*(Alukset_Käynnit_Lask!K443^Alukset_fx!$I$75),IF(OR(Q443="RoRo",Q443="Vehicle carrier"),Alukset_fx!$H$74*(Alukset_Käynnit_Lask!K443^Alukset_fx!$I$74),Alukset_fx!$H$77*(Alukset_Käynnit_Lask!K443^Alukset_fx!$I$77))))))))),"-")</f>
        <v>0</v>
      </c>
      <c r="T443" s="208">
        <f>IF(R443=0,IF(Q443="Other dry cargo",S443*Alukset_fx!$B$71,IF(OR(Q443="Dry bulk",Q443="Bulk carrier"),S443*Alukset_fx!$B$69,IF(Q443="Tugboat",S443*Alukset_fx!$B$76,IF(OR(Q443="Tanker",Q443="Gas tanker",Q443="Chemical tanker",Q443="Oil tanker"),S443*Alukset_fx!$B$68,IF(OR(Q443="RoRo",Q443="Vehicle carrier"),S443*Alukset_fx!$B$72,IF(Q443="RoPax",S443*Alukset_fx!$B$73,IF(Q443="Container ship",S443*Alukset_fx!$B$70,S443*Alukset_fx!$B$75))))))),"-")</f>
        <v>0</v>
      </c>
      <c r="U443" s="208">
        <f t="shared" si="78"/>
        <v>0</v>
      </c>
      <c r="V443" s="208">
        <f t="shared" si="79"/>
        <v>0</v>
      </c>
      <c r="W443" s="202">
        <f>Alukset_Käynnit!N450</f>
        <v>0</v>
      </c>
      <c r="X443" s="211">
        <f>IF(Q443="Other dry cargo", Alukset_fx!$C$52, IF(OR(Q443="Dry bulk",Q443="Bulk carrier"),Alukset_fx!$C$35,IF(OR(Q443="Tanker",Q443="Gas tanker",Q443="Oil tanker"),Alukset_fx!$C$57,IF(Q443="Chemical tanker",Alukset_fx!$C$56,IF(OR(Q443="Tugboat",Q443="Barge"),0,IF(Q443="Other vessel",Alukset_fx!$C$54,IF(Q443="Container ship",Alukset_fx!$C$37,IF(OR(Q443="RoPax",Q443="RoRo",Q443="Vehicle carrier"),Alukset_fx!$C$55,0))))))))</f>
        <v>0</v>
      </c>
      <c r="Y443" s="211">
        <f>IF(Q443="Other dry cargo", Alukset_fx!$Q$52, IF(OR(Q443="Dry bulk",Q443="Bulk carrier"),Alukset_fx!$Q$35,IF(OR(Q443="Tanker",Q443="Gas tanker",Q443="Oil tanker"),Alukset_fx!$Q$57,IF(Q443="Chemical tanker",Alukset_fx!$Q$56,IF(OR(Q443="Tugboat",Q443="Barge"),0,IF(Q443="Other vessel",Alukset_fx!$Q$54,IF(Q443="Container ship",Alukset_fx!$Q$37,IF(OR(Q443="RoPax",Q443="RoRo",Q443="Vehicle carrier"),Alukset_fx!$Q$55,0))))))))</f>
        <v>0</v>
      </c>
      <c r="Z443" t="str">
        <f t="shared" si="80"/>
        <v>MDO/MGO</v>
      </c>
      <c r="AA443" t="str">
        <f t="shared" si="81"/>
        <v>MSD</v>
      </c>
      <c r="AB443" t="str">
        <f t="shared" si="82"/>
        <v>MDO/MGO</v>
      </c>
      <c r="AC443" t="str">
        <f t="shared" si="83"/>
        <v>MSD</v>
      </c>
      <c r="AD443" t="str">
        <f t="shared" si="84"/>
        <v>MDO/MGO</v>
      </c>
      <c r="AE443" t="str">
        <f t="shared" si="85"/>
        <v>ST</v>
      </c>
      <c r="AG443">
        <f>Alukset_Käynnit!O450</f>
        <v>0</v>
      </c>
      <c r="AH443" s="207">
        <f>IF(AA443="SSD",((U443*Alukset_fx!$B$24)*Alukset_Käynnit_Lask!W443*(Alukset_fx!$K$49)/1000),IF(AA443="MSD",((U443*Alukset_fx!$B$24)*Alukset_Käynnit_Lask!W443*(Alukset_fx!$K$52)/1000),IF(AA443="HSD",((U443*Alukset_fx!$B$24)*Alukset_Käynnit_Lask!W443*(Alukset_fx!$K$55)/1000),0)))</f>
        <v>0</v>
      </c>
      <c r="AI443" s="207">
        <f>IF(AC443="MSD",((V443*Alukset_fx!$B$25)*Alukset_Käynnit_Lask!W443*(Alukset_fx!$L$52)/1000),IF(AC443="HSD",((V443*Alukset_fx!$B$25)*Alukset_Käynnit_Lask!W443*(Alukset_fx!$L$55)/1000),0))</f>
        <v>0</v>
      </c>
      <c r="AJ443" s="207">
        <f>X443*W443*Alukset_fx!$K$61/1000</f>
        <v>0</v>
      </c>
      <c r="AK443">
        <v>0</v>
      </c>
      <c r="AL443" s="207">
        <f>IF(AG443="Käytetty",0,IF(AC443="MSD",((V443*Alukset_fx!$O$25)*Alukset_Käynnit_Lask!O443*(Alukset_fx!$L$52)/1000),IF(AC443="HSD",((V443*Alukset_fx!$O$25)*Alukset_Käynnit_Lask!O443*(Alukset_fx!$L$55)/1000),0)))</f>
        <v>0</v>
      </c>
      <c r="AM443" s="207">
        <f>IF(AG443="Käytetty",0,Y443*O443*Alukset_fx!$K$61/1000)</f>
        <v>0</v>
      </c>
      <c r="AN443" s="213">
        <f t="shared" si="86"/>
        <v>0</v>
      </c>
    </row>
    <row r="444" spans="1:40" x14ac:dyDescent="0.25">
      <c r="A444" s="203">
        <f>Alukset_Käynnit!A451</f>
        <v>0</v>
      </c>
      <c r="B444" s="203">
        <f>Alukset_Käynnit!B451</f>
        <v>0</v>
      </c>
      <c r="C444" s="262">
        <f>Alukset_Käynnit!C451</f>
        <v>0</v>
      </c>
      <c r="D444" s="266">
        <f>Alukset_Käynnit!D451</f>
        <v>0</v>
      </c>
      <c r="E444" s="262">
        <f>Alukset_Käynnit!E451</f>
        <v>0</v>
      </c>
      <c r="F444" s="262">
        <f>Alukset_Käynnit!F451</f>
        <v>0</v>
      </c>
      <c r="G444" s="262">
        <f>Alukset_Käynnit!G451</f>
        <v>0</v>
      </c>
      <c r="H444" s="262">
        <f>Alukset_Käynnit!H451</f>
        <v>0</v>
      </c>
      <c r="I444" s="262">
        <f>Alukset_Käynnit!I451</f>
        <v>0</v>
      </c>
      <c r="J444" s="262">
        <f>Alukset_Käynnit!J451</f>
        <v>0</v>
      </c>
      <c r="K444" s="262">
        <f>Alukset_Käynnit!K451</f>
        <v>0</v>
      </c>
      <c r="L444" s="205">
        <f>Alukset_Käynnit!L451</f>
        <v>0</v>
      </c>
      <c r="N444" s="273">
        <f t="shared" si="87"/>
        <v>0</v>
      </c>
      <c r="O444" s="274">
        <f t="shared" si="88"/>
        <v>0</v>
      </c>
      <c r="Q444" s="204">
        <f t="shared" si="77"/>
        <v>0</v>
      </c>
      <c r="R444" s="202">
        <f>IF(Q444="Other dry cargo",L444*Alukset_fx!$B$71,IF(OR(Q444="Dry bulk",Q444="Bulk carrier"),L444*Alukset_fx!$B$69,IF(Q444="Tugboat",L444*Alukset_fx!$B$76,IF(OR(Q444="Tanker",Q444="Gas tanker",Q444="Chemical tanker",Q444="Oil tanker"),L444*Alukset_fx!$B$68,IF(OR(Q444="RoRo",Q444="Vehicle carrier"),L444*Alukset_fx!$B$72,IF(Q444="RoPax",L444*Alukset_fx!$B$73,IF(Q444="Container ship",L444*Alukset_fx!$B$70,IF(Q444="Barge",0,L444*Alukset_fx!$B$75))))))))</f>
        <v>0</v>
      </c>
      <c r="S444" s="210">
        <f>IF(L444=0,IF(Q444="Other dry cargo",Alukset_fx!$H$73*(Alukset_Käynnit_Lask!K444^Alukset_fx!$I$73),IF(OR(Q444="Dry Bulk",Q444="Bulk carrier"),Alukset_fx!$H$71*(Alukset_Käynnit_Lask!K444^Alukset_fx!$I$71),IF(Q444="Tugboat",Alukset_fx!$H$78*(Alukset_Käynnit_Lask!K444^Alukset_fx!$I$78),IF(OR(Q444="Tanker",Q444="Gas tanker",Q444="Chemical tanker",Q444="Oil tanker"),Alukset_fx!$H$70*(Alukset_Käynnit_Lask!K444^Alukset_fx!$I$70),IF(Q444="Container ship",Alukset_fx!$H$72*(Alukset_Käynnit_Lask!K444^Alukset_fx!$I$72),IF(Q444="Barge",0,IF(Q444="RoPax",Alukset_fx!$H$75*(Alukset_Käynnit_Lask!K444^Alukset_fx!$I$75),IF(OR(Q444="RoRo",Q444="Vehicle carrier"),Alukset_fx!$H$74*(Alukset_Käynnit_Lask!K444^Alukset_fx!$I$74),Alukset_fx!$H$77*(Alukset_Käynnit_Lask!K444^Alukset_fx!$I$77))))))))),"-")</f>
        <v>0</v>
      </c>
      <c r="T444" s="208">
        <f>IF(R444=0,IF(Q444="Other dry cargo",S444*Alukset_fx!$B$71,IF(OR(Q444="Dry bulk",Q444="Bulk carrier"),S444*Alukset_fx!$B$69,IF(Q444="Tugboat",S444*Alukset_fx!$B$76,IF(OR(Q444="Tanker",Q444="Gas tanker",Q444="Chemical tanker",Q444="Oil tanker"),S444*Alukset_fx!$B$68,IF(OR(Q444="RoRo",Q444="Vehicle carrier"),S444*Alukset_fx!$B$72,IF(Q444="RoPax",S444*Alukset_fx!$B$73,IF(Q444="Container ship",S444*Alukset_fx!$B$70,S444*Alukset_fx!$B$75))))))),"-")</f>
        <v>0</v>
      </c>
      <c r="U444" s="208">
        <f t="shared" si="78"/>
        <v>0</v>
      </c>
      <c r="V444" s="208">
        <f t="shared" si="79"/>
        <v>0</v>
      </c>
      <c r="W444" s="202">
        <f>Alukset_Käynnit!N451</f>
        <v>0</v>
      </c>
      <c r="X444" s="211">
        <f>IF(Q444="Other dry cargo", Alukset_fx!$C$52, IF(OR(Q444="Dry bulk",Q444="Bulk carrier"),Alukset_fx!$C$35,IF(OR(Q444="Tanker",Q444="Gas tanker",Q444="Oil tanker"),Alukset_fx!$C$57,IF(Q444="Chemical tanker",Alukset_fx!$C$56,IF(OR(Q444="Tugboat",Q444="Barge"),0,IF(Q444="Other vessel",Alukset_fx!$C$54,IF(Q444="Container ship",Alukset_fx!$C$37,IF(OR(Q444="RoPax",Q444="RoRo",Q444="Vehicle carrier"),Alukset_fx!$C$55,0))))))))</f>
        <v>0</v>
      </c>
      <c r="Y444" s="211">
        <f>IF(Q444="Other dry cargo", Alukset_fx!$Q$52, IF(OR(Q444="Dry bulk",Q444="Bulk carrier"),Alukset_fx!$Q$35,IF(OR(Q444="Tanker",Q444="Gas tanker",Q444="Oil tanker"),Alukset_fx!$Q$57,IF(Q444="Chemical tanker",Alukset_fx!$Q$56,IF(OR(Q444="Tugboat",Q444="Barge"),0,IF(Q444="Other vessel",Alukset_fx!$Q$54,IF(Q444="Container ship",Alukset_fx!$Q$37,IF(OR(Q444="RoPax",Q444="RoRo",Q444="Vehicle carrier"),Alukset_fx!$Q$55,0))))))))</f>
        <v>0</v>
      </c>
      <c r="Z444" t="str">
        <f t="shared" si="80"/>
        <v>MDO/MGO</v>
      </c>
      <c r="AA444" t="str">
        <f t="shared" si="81"/>
        <v>MSD</v>
      </c>
      <c r="AB444" t="str">
        <f t="shared" si="82"/>
        <v>MDO/MGO</v>
      </c>
      <c r="AC444" t="str">
        <f t="shared" si="83"/>
        <v>MSD</v>
      </c>
      <c r="AD444" t="str">
        <f t="shared" si="84"/>
        <v>MDO/MGO</v>
      </c>
      <c r="AE444" t="str">
        <f t="shared" si="85"/>
        <v>ST</v>
      </c>
      <c r="AG444">
        <f>Alukset_Käynnit!O451</f>
        <v>0</v>
      </c>
      <c r="AH444" s="207">
        <f>IF(AA444="SSD",((U444*Alukset_fx!$B$24)*Alukset_Käynnit_Lask!W444*(Alukset_fx!$K$49)/1000),IF(AA444="MSD",((U444*Alukset_fx!$B$24)*Alukset_Käynnit_Lask!W444*(Alukset_fx!$K$52)/1000),IF(AA444="HSD",((U444*Alukset_fx!$B$24)*Alukset_Käynnit_Lask!W444*(Alukset_fx!$K$55)/1000),0)))</f>
        <v>0</v>
      </c>
      <c r="AI444" s="207">
        <f>IF(AC444="MSD",((V444*Alukset_fx!$B$25)*Alukset_Käynnit_Lask!W444*(Alukset_fx!$L$52)/1000),IF(AC444="HSD",((V444*Alukset_fx!$B$25)*Alukset_Käynnit_Lask!W444*(Alukset_fx!$L$55)/1000),0))</f>
        <v>0</v>
      </c>
      <c r="AJ444" s="207">
        <f>X444*W444*Alukset_fx!$K$61/1000</f>
        <v>0</v>
      </c>
      <c r="AK444">
        <v>0</v>
      </c>
      <c r="AL444" s="207">
        <f>IF(AG444="Käytetty",0,IF(AC444="MSD",((V444*Alukset_fx!$O$25)*Alukset_Käynnit_Lask!O444*(Alukset_fx!$L$52)/1000),IF(AC444="HSD",((V444*Alukset_fx!$O$25)*Alukset_Käynnit_Lask!O444*(Alukset_fx!$L$55)/1000),0)))</f>
        <v>0</v>
      </c>
      <c r="AM444" s="207">
        <f>IF(AG444="Käytetty",0,Y444*O444*Alukset_fx!$K$61/1000)</f>
        <v>0</v>
      </c>
      <c r="AN444" s="213">
        <f t="shared" si="86"/>
        <v>0</v>
      </c>
    </row>
    <row r="445" spans="1:40" x14ac:dyDescent="0.25">
      <c r="A445" s="203">
        <f>Alukset_Käynnit!A452</f>
        <v>0</v>
      </c>
      <c r="B445" s="203">
        <f>Alukset_Käynnit!B452</f>
        <v>0</v>
      </c>
      <c r="C445" s="262">
        <f>Alukset_Käynnit!C452</f>
        <v>0</v>
      </c>
      <c r="D445" s="266">
        <f>Alukset_Käynnit!D452</f>
        <v>0</v>
      </c>
      <c r="E445" s="262">
        <f>Alukset_Käynnit!E452</f>
        <v>0</v>
      </c>
      <c r="F445" s="262">
        <f>Alukset_Käynnit!F452</f>
        <v>0</v>
      </c>
      <c r="G445" s="262">
        <f>Alukset_Käynnit!G452</f>
        <v>0</v>
      </c>
      <c r="H445" s="262">
        <f>Alukset_Käynnit!H452</f>
        <v>0</v>
      </c>
      <c r="I445" s="262">
        <f>Alukset_Käynnit!I452</f>
        <v>0</v>
      </c>
      <c r="J445" s="262">
        <f>Alukset_Käynnit!J452</f>
        <v>0</v>
      </c>
      <c r="K445" s="262">
        <f>Alukset_Käynnit!K452</f>
        <v>0</v>
      </c>
      <c r="L445" s="205">
        <f>Alukset_Käynnit!L452</f>
        <v>0</v>
      </c>
      <c r="N445" s="273">
        <f t="shared" si="87"/>
        <v>0</v>
      </c>
      <c r="O445" s="274">
        <f t="shared" si="88"/>
        <v>0</v>
      </c>
      <c r="Q445" s="204">
        <f t="shared" si="77"/>
        <v>0</v>
      </c>
      <c r="R445" s="202">
        <f>IF(Q445="Other dry cargo",L445*Alukset_fx!$B$71,IF(OR(Q445="Dry bulk",Q445="Bulk carrier"),L445*Alukset_fx!$B$69,IF(Q445="Tugboat",L445*Alukset_fx!$B$76,IF(OR(Q445="Tanker",Q445="Gas tanker",Q445="Chemical tanker",Q445="Oil tanker"),L445*Alukset_fx!$B$68,IF(OR(Q445="RoRo",Q445="Vehicle carrier"),L445*Alukset_fx!$B$72,IF(Q445="RoPax",L445*Alukset_fx!$B$73,IF(Q445="Container ship",L445*Alukset_fx!$B$70,IF(Q445="Barge",0,L445*Alukset_fx!$B$75))))))))</f>
        <v>0</v>
      </c>
      <c r="S445" s="210">
        <f>IF(L445=0,IF(Q445="Other dry cargo",Alukset_fx!$H$73*(Alukset_Käynnit_Lask!K445^Alukset_fx!$I$73),IF(OR(Q445="Dry Bulk",Q445="Bulk carrier"),Alukset_fx!$H$71*(Alukset_Käynnit_Lask!K445^Alukset_fx!$I$71),IF(Q445="Tugboat",Alukset_fx!$H$78*(Alukset_Käynnit_Lask!K445^Alukset_fx!$I$78),IF(OR(Q445="Tanker",Q445="Gas tanker",Q445="Chemical tanker",Q445="Oil tanker"),Alukset_fx!$H$70*(Alukset_Käynnit_Lask!K445^Alukset_fx!$I$70),IF(Q445="Container ship",Alukset_fx!$H$72*(Alukset_Käynnit_Lask!K445^Alukset_fx!$I$72),IF(Q445="Barge",0,IF(Q445="RoPax",Alukset_fx!$H$75*(Alukset_Käynnit_Lask!K445^Alukset_fx!$I$75),IF(OR(Q445="RoRo",Q445="Vehicle carrier"),Alukset_fx!$H$74*(Alukset_Käynnit_Lask!K445^Alukset_fx!$I$74),Alukset_fx!$H$77*(Alukset_Käynnit_Lask!K445^Alukset_fx!$I$77))))))))),"-")</f>
        <v>0</v>
      </c>
      <c r="T445" s="208">
        <f>IF(R445=0,IF(Q445="Other dry cargo",S445*Alukset_fx!$B$71,IF(OR(Q445="Dry bulk",Q445="Bulk carrier"),S445*Alukset_fx!$B$69,IF(Q445="Tugboat",S445*Alukset_fx!$B$76,IF(OR(Q445="Tanker",Q445="Gas tanker",Q445="Chemical tanker",Q445="Oil tanker"),S445*Alukset_fx!$B$68,IF(OR(Q445="RoRo",Q445="Vehicle carrier"),S445*Alukset_fx!$B$72,IF(Q445="RoPax",S445*Alukset_fx!$B$73,IF(Q445="Container ship",S445*Alukset_fx!$B$70,S445*Alukset_fx!$B$75))))))),"-")</f>
        <v>0</v>
      </c>
      <c r="U445" s="208">
        <f t="shared" si="78"/>
        <v>0</v>
      </c>
      <c r="V445" s="208">
        <f t="shared" si="79"/>
        <v>0</v>
      </c>
      <c r="W445" s="202">
        <f>Alukset_Käynnit!N452</f>
        <v>0</v>
      </c>
      <c r="X445" s="211">
        <f>IF(Q445="Other dry cargo", Alukset_fx!$C$52, IF(OR(Q445="Dry bulk",Q445="Bulk carrier"),Alukset_fx!$C$35,IF(OR(Q445="Tanker",Q445="Gas tanker",Q445="Oil tanker"),Alukset_fx!$C$57,IF(Q445="Chemical tanker",Alukset_fx!$C$56,IF(OR(Q445="Tugboat",Q445="Barge"),0,IF(Q445="Other vessel",Alukset_fx!$C$54,IF(Q445="Container ship",Alukset_fx!$C$37,IF(OR(Q445="RoPax",Q445="RoRo",Q445="Vehicle carrier"),Alukset_fx!$C$55,0))))))))</f>
        <v>0</v>
      </c>
      <c r="Y445" s="211">
        <f>IF(Q445="Other dry cargo", Alukset_fx!$Q$52, IF(OR(Q445="Dry bulk",Q445="Bulk carrier"),Alukset_fx!$Q$35,IF(OR(Q445="Tanker",Q445="Gas tanker",Q445="Oil tanker"),Alukset_fx!$Q$57,IF(Q445="Chemical tanker",Alukset_fx!$Q$56,IF(OR(Q445="Tugboat",Q445="Barge"),0,IF(Q445="Other vessel",Alukset_fx!$Q$54,IF(Q445="Container ship",Alukset_fx!$Q$37,IF(OR(Q445="RoPax",Q445="RoRo",Q445="Vehicle carrier"),Alukset_fx!$Q$55,0))))))))</f>
        <v>0</v>
      </c>
      <c r="Z445" t="str">
        <f t="shared" si="80"/>
        <v>MDO/MGO</v>
      </c>
      <c r="AA445" t="str">
        <f t="shared" si="81"/>
        <v>MSD</v>
      </c>
      <c r="AB445" t="str">
        <f t="shared" si="82"/>
        <v>MDO/MGO</v>
      </c>
      <c r="AC445" t="str">
        <f t="shared" si="83"/>
        <v>MSD</v>
      </c>
      <c r="AD445" t="str">
        <f t="shared" si="84"/>
        <v>MDO/MGO</v>
      </c>
      <c r="AE445" t="str">
        <f t="shared" si="85"/>
        <v>ST</v>
      </c>
      <c r="AG445">
        <f>Alukset_Käynnit!O452</f>
        <v>0</v>
      </c>
      <c r="AH445" s="207">
        <f>IF(AA445="SSD",((U445*Alukset_fx!$B$24)*Alukset_Käynnit_Lask!W445*(Alukset_fx!$K$49)/1000),IF(AA445="MSD",((U445*Alukset_fx!$B$24)*Alukset_Käynnit_Lask!W445*(Alukset_fx!$K$52)/1000),IF(AA445="HSD",((U445*Alukset_fx!$B$24)*Alukset_Käynnit_Lask!W445*(Alukset_fx!$K$55)/1000),0)))</f>
        <v>0</v>
      </c>
      <c r="AI445" s="207">
        <f>IF(AC445="MSD",((V445*Alukset_fx!$B$25)*Alukset_Käynnit_Lask!W445*(Alukset_fx!$L$52)/1000),IF(AC445="HSD",((V445*Alukset_fx!$B$25)*Alukset_Käynnit_Lask!W445*(Alukset_fx!$L$55)/1000),0))</f>
        <v>0</v>
      </c>
      <c r="AJ445" s="207">
        <f>X445*W445*Alukset_fx!$K$61/1000</f>
        <v>0</v>
      </c>
      <c r="AK445">
        <v>0</v>
      </c>
      <c r="AL445" s="207">
        <f>IF(AG445="Käytetty",0,IF(AC445="MSD",((V445*Alukset_fx!$O$25)*Alukset_Käynnit_Lask!O445*(Alukset_fx!$L$52)/1000),IF(AC445="HSD",((V445*Alukset_fx!$O$25)*Alukset_Käynnit_Lask!O445*(Alukset_fx!$L$55)/1000),0)))</f>
        <v>0</v>
      </c>
      <c r="AM445" s="207">
        <f>IF(AG445="Käytetty",0,Y445*O445*Alukset_fx!$K$61/1000)</f>
        <v>0</v>
      </c>
      <c r="AN445" s="213">
        <f t="shared" si="86"/>
        <v>0</v>
      </c>
    </row>
    <row r="446" spans="1:40" x14ac:dyDescent="0.25">
      <c r="A446" s="203">
        <f>Alukset_Käynnit!A453</f>
        <v>0</v>
      </c>
      <c r="B446" s="203">
        <f>Alukset_Käynnit!B453</f>
        <v>0</v>
      </c>
      <c r="C446" s="262">
        <f>Alukset_Käynnit!C453</f>
        <v>0</v>
      </c>
      <c r="D446" s="266">
        <f>Alukset_Käynnit!D453</f>
        <v>0</v>
      </c>
      <c r="E446" s="262">
        <f>Alukset_Käynnit!E453</f>
        <v>0</v>
      </c>
      <c r="F446" s="262">
        <f>Alukset_Käynnit!F453</f>
        <v>0</v>
      </c>
      <c r="G446" s="262">
        <f>Alukset_Käynnit!G453</f>
        <v>0</v>
      </c>
      <c r="H446" s="262">
        <f>Alukset_Käynnit!H453</f>
        <v>0</v>
      </c>
      <c r="I446" s="262">
        <f>Alukset_Käynnit!I453</f>
        <v>0</v>
      </c>
      <c r="J446" s="262">
        <f>Alukset_Käynnit!J453</f>
        <v>0</v>
      </c>
      <c r="K446" s="262">
        <f>Alukset_Käynnit!K453</f>
        <v>0</v>
      </c>
      <c r="L446" s="205">
        <f>Alukset_Käynnit!L453</f>
        <v>0</v>
      </c>
      <c r="N446" s="273">
        <f t="shared" si="87"/>
        <v>0</v>
      </c>
      <c r="O446" s="274">
        <f t="shared" si="88"/>
        <v>0</v>
      </c>
      <c r="Q446" s="204">
        <f t="shared" si="77"/>
        <v>0</v>
      </c>
      <c r="R446" s="202">
        <f>IF(Q446="Other dry cargo",L446*Alukset_fx!$B$71,IF(OR(Q446="Dry bulk",Q446="Bulk carrier"),L446*Alukset_fx!$B$69,IF(Q446="Tugboat",L446*Alukset_fx!$B$76,IF(OR(Q446="Tanker",Q446="Gas tanker",Q446="Chemical tanker",Q446="Oil tanker"),L446*Alukset_fx!$B$68,IF(OR(Q446="RoRo",Q446="Vehicle carrier"),L446*Alukset_fx!$B$72,IF(Q446="RoPax",L446*Alukset_fx!$B$73,IF(Q446="Container ship",L446*Alukset_fx!$B$70,IF(Q446="Barge",0,L446*Alukset_fx!$B$75))))))))</f>
        <v>0</v>
      </c>
      <c r="S446" s="210">
        <f>IF(L446=0,IF(Q446="Other dry cargo",Alukset_fx!$H$73*(Alukset_Käynnit_Lask!K446^Alukset_fx!$I$73),IF(OR(Q446="Dry Bulk",Q446="Bulk carrier"),Alukset_fx!$H$71*(Alukset_Käynnit_Lask!K446^Alukset_fx!$I$71),IF(Q446="Tugboat",Alukset_fx!$H$78*(Alukset_Käynnit_Lask!K446^Alukset_fx!$I$78),IF(OR(Q446="Tanker",Q446="Gas tanker",Q446="Chemical tanker",Q446="Oil tanker"),Alukset_fx!$H$70*(Alukset_Käynnit_Lask!K446^Alukset_fx!$I$70),IF(Q446="Container ship",Alukset_fx!$H$72*(Alukset_Käynnit_Lask!K446^Alukset_fx!$I$72),IF(Q446="Barge",0,IF(Q446="RoPax",Alukset_fx!$H$75*(Alukset_Käynnit_Lask!K446^Alukset_fx!$I$75),IF(OR(Q446="RoRo",Q446="Vehicle carrier"),Alukset_fx!$H$74*(Alukset_Käynnit_Lask!K446^Alukset_fx!$I$74),Alukset_fx!$H$77*(Alukset_Käynnit_Lask!K446^Alukset_fx!$I$77))))))))),"-")</f>
        <v>0</v>
      </c>
      <c r="T446" s="208">
        <f>IF(R446=0,IF(Q446="Other dry cargo",S446*Alukset_fx!$B$71,IF(OR(Q446="Dry bulk",Q446="Bulk carrier"),S446*Alukset_fx!$B$69,IF(Q446="Tugboat",S446*Alukset_fx!$B$76,IF(OR(Q446="Tanker",Q446="Gas tanker",Q446="Chemical tanker",Q446="Oil tanker"),S446*Alukset_fx!$B$68,IF(OR(Q446="RoRo",Q446="Vehicle carrier"),S446*Alukset_fx!$B$72,IF(Q446="RoPax",S446*Alukset_fx!$B$73,IF(Q446="Container ship",S446*Alukset_fx!$B$70,S446*Alukset_fx!$B$75))))))),"-")</f>
        <v>0</v>
      </c>
      <c r="U446" s="208">
        <f t="shared" si="78"/>
        <v>0</v>
      </c>
      <c r="V446" s="208">
        <f t="shared" si="79"/>
        <v>0</v>
      </c>
      <c r="W446" s="202">
        <f>Alukset_Käynnit!N453</f>
        <v>0</v>
      </c>
      <c r="X446" s="211">
        <f>IF(Q446="Other dry cargo", Alukset_fx!$C$52, IF(OR(Q446="Dry bulk",Q446="Bulk carrier"),Alukset_fx!$C$35,IF(OR(Q446="Tanker",Q446="Gas tanker",Q446="Oil tanker"),Alukset_fx!$C$57,IF(Q446="Chemical tanker",Alukset_fx!$C$56,IF(OR(Q446="Tugboat",Q446="Barge"),0,IF(Q446="Other vessel",Alukset_fx!$C$54,IF(Q446="Container ship",Alukset_fx!$C$37,IF(OR(Q446="RoPax",Q446="RoRo",Q446="Vehicle carrier"),Alukset_fx!$C$55,0))))))))</f>
        <v>0</v>
      </c>
      <c r="Y446" s="211">
        <f>IF(Q446="Other dry cargo", Alukset_fx!$Q$52, IF(OR(Q446="Dry bulk",Q446="Bulk carrier"),Alukset_fx!$Q$35,IF(OR(Q446="Tanker",Q446="Gas tanker",Q446="Oil tanker"),Alukset_fx!$Q$57,IF(Q446="Chemical tanker",Alukset_fx!$Q$56,IF(OR(Q446="Tugboat",Q446="Barge"),0,IF(Q446="Other vessel",Alukset_fx!$Q$54,IF(Q446="Container ship",Alukset_fx!$Q$37,IF(OR(Q446="RoPax",Q446="RoRo",Q446="Vehicle carrier"),Alukset_fx!$Q$55,0))))))))</f>
        <v>0</v>
      </c>
      <c r="Z446" t="str">
        <f t="shared" si="80"/>
        <v>MDO/MGO</v>
      </c>
      <c r="AA446" t="str">
        <f t="shared" si="81"/>
        <v>MSD</v>
      </c>
      <c r="AB446" t="str">
        <f t="shared" si="82"/>
        <v>MDO/MGO</v>
      </c>
      <c r="AC446" t="str">
        <f t="shared" si="83"/>
        <v>MSD</v>
      </c>
      <c r="AD446" t="str">
        <f t="shared" si="84"/>
        <v>MDO/MGO</v>
      </c>
      <c r="AE446" t="str">
        <f t="shared" si="85"/>
        <v>ST</v>
      </c>
      <c r="AG446">
        <f>Alukset_Käynnit!O453</f>
        <v>0</v>
      </c>
      <c r="AH446" s="207">
        <f>IF(AA446="SSD",((U446*Alukset_fx!$B$24)*Alukset_Käynnit_Lask!W446*(Alukset_fx!$K$49)/1000),IF(AA446="MSD",((U446*Alukset_fx!$B$24)*Alukset_Käynnit_Lask!W446*(Alukset_fx!$K$52)/1000),IF(AA446="HSD",((U446*Alukset_fx!$B$24)*Alukset_Käynnit_Lask!W446*(Alukset_fx!$K$55)/1000),0)))</f>
        <v>0</v>
      </c>
      <c r="AI446" s="207">
        <f>IF(AC446="MSD",((V446*Alukset_fx!$B$25)*Alukset_Käynnit_Lask!W446*(Alukset_fx!$L$52)/1000),IF(AC446="HSD",((V446*Alukset_fx!$B$25)*Alukset_Käynnit_Lask!W446*(Alukset_fx!$L$55)/1000),0))</f>
        <v>0</v>
      </c>
      <c r="AJ446" s="207">
        <f>X446*W446*Alukset_fx!$K$61/1000</f>
        <v>0</v>
      </c>
      <c r="AK446">
        <v>0</v>
      </c>
      <c r="AL446" s="207">
        <f>IF(AG446="Käytetty",0,IF(AC446="MSD",((V446*Alukset_fx!$O$25)*Alukset_Käynnit_Lask!O446*(Alukset_fx!$L$52)/1000),IF(AC446="HSD",((V446*Alukset_fx!$O$25)*Alukset_Käynnit_Lask!O446*(Alukset_fx!$L$55)/1000),0)))</f>
        <v>0</v>
      </c>
      <c r="AM446" s="207">
        <f>IF(AG446="Käytetty",0,Y446*O446*Alukset_fx!$K$61/1000)</f>
        <v>0</v>
      </c>
      <c r="AN446" s="213">
        <f t="shared" si="86"/>
        <v>0</v>
      </c>
    </row>
    <row r="447" spans="1:40" x14ac:dyDescent="0.25">
      <c r="A447" s="203">
        <f>Alukset_Käynnit!A454</f>
        <v>0</v>
      </c>
      <c r="B447" s="203">
        <f>Alukset_Käynnit!B454</f>
        <v>0</v>
      </c>
      <c r="C447" s="262">
        <f>Alukset_Käynnit!C454</f>
        <v>0</v>
      </c>
      <c r="D447" s="266">
        <f>Alukset_Käynnit!D454</f>
        <v>0</v>
      </c>
      <c r="E447" s="262">
        <f>Alukset_Käynnit!E454</f>
        <v>0</v>
      </c>
      <c r="F447" s="262">
        <f>Alukset_Käynnit!F454</f>
        <v>0</v>
      </c>
      <c r="G447" s="262">
        <f>Alukset_Käynnit!G454</f>
        <v>0</v>
      </c>
      <c r="H447" s="262">
        <f>Alukset_Käynnit!H454</f>
        <v>0</v>
      </c>
      <c r="I447" s="262">
        <f>Alukset_Käynnit!I454</f>
        <v>0</v>
      </c>
      <c r="J447" s="262">
        <f>Alukset_Käynnit!J454</f>
        <v>0</v>
      </c>
      <c r="K447" s="262">
        <f>Alukset_Käynnit!K454</f>
        <v>0</v>
      </c>
      <c r="L447" s="205">
        <f>Alukset_Käynnit!L454</f>
        <v>0</v>
      </c>
      <c r="N447" s="273">
        <f t="shared" si="87"/>
        <v>0</v>
      </c>
      <c r="O447" s="274">
        <f t="shared" si="88"/>
        <v>0</v>
      </c>
      <c r="Q447" s="204">
        <f t="shared" si="77"/>
        <v>0</v>
      </c>
      <c r="R447" s="202">
        <f>IF(Q447="Other dry cargo",L447*Alukset_fx!$B$71,IF(OR(Q447="Dry bulk",Q447="Bulk carrier"),L447*Alukset_fx!$B$69,IF(Q447="Tugboat",L447*Alukset_fx!$B$76,IF(OR(Q447="Tanker",Q447="Gas tanker",Q447="Chemical tanker",Q447="Oil tanker"),L447*Alukset_fx!$B$68,IF(OR(Q447="RoRo",Q447="Vehicle carrier"),L447*Alukset_fx!$B$72,IF(Q447="RoPax",L447*Alukset_fx!$B$73,IF(Q447="Container ship",L447*Alukset_fx!$B$70,IF(Q447="Barge",0,L447*Alukset_fx!$B$75))))))))</f>
        <v>0</v>
      </c>
      <c r="S447" s="210">
        <f>IF(L447=0,IF(Q447="Other dry cargo",Alukset_fx!$H$73*(Alukset_Käynnit_Lask!K447^Alukset_fx!$I$73),IF(OR(Q447="Dry Bulk",Q447="Bulk carrier"),Alukset_fx!$H$71*(Alukset_Käynnit_Lask!K447^Alukset_fx!$I$71),IF(Q447="Tugboat",Alukset_fx!$H$78*(Alukset_Käynnit_Lask!K447^Alukset_fx!$I$78),IF(OR(Q447="Tanker",Q447="Gas tanker",Q447="Chemical tanker",Q447="Oil tanker"),Alukset_fx!$H$70*(Alukset_Käynnit_Lask!K447^Alukset_fx!$I$70),IF(Q447="Container ship",Alukset_fx!$H$72*(Alukset_Käynnit_Lask!K447^Alukset_fx!$I$72),IF(Q447="Barge",0,IF(Q447="RoPax",Alukset_fx!$H$75*(Alukset_Käynnit_Lask!K447^Alukset_fx!$I$75),IF(OR(Q447="RoRo",Q447="Vehicle carrier"),Alukset_fx!$H$74*(Alukset_Käynnit_Lask!K447^Alukset_fx!$I$74),Alukset_fx!$H$77*(Alukset_Käynnit_Lask!K447^Alukset_fx!$I$77))))))))),"-")</f>
        <v>0</v>
      </c>
      <c r="T447" s="208">
        <f>IF(R447=0,IF(Q447="Other dry cargo",S447*Alukset_fx!$B$71,IF(OR(Q447="Dry bulk",Q447="Bulk carrier"),S447*Alukset_fx!$B$69,IF(Q447="Tugboat",S447*Alukset_fx!$B$76,IF(OR(Q447="Tanker",Q447="Gas tanker",Q447="Chemical tanker",Q447="Oil tanker"),S447*Alukset_fx!$B$68,IF(OR(Q447="RoRo",Q447="Vehicle carrier"),S447*Alukset_fx!$B$72,IF(Q447="RoPax",S447*Alukset_fx!$B$73,IF(Q447="Container ship",S447*Alukset_fx!$B$70,S447*Alukset_fx!$B$75))))))),"-")</f>
        <v>0</v>
      </c>
      <c r="U447" s="208">
        <f t="shared" si="78"/>
        <v>0</v>
      </c>
      <c r="V447" s="208">
        <f t="shared" si="79"/>
        <v>0</v>
      </c>
      <c r="W447" s="202">
        <f>Alukset_Käynnit!N454</f>
        <v>0</v>
      </c>
      <c r="X447" s="211">
        <f>IF(Q447="Other dry cargo", Alukset_fx!$C$52, IF(OR(Q447="Dry bulk",Q447="Bulk carrier"),Alukset_fx!$C$35,IF(OR(Q447="Tanker",Q447="Gas tanker",Q447="Oil tanker"),Alukset_fx!$C$57,IF(Q447="Chemical tanker",Alukset_fx!$C$56,IF(OR(Q447="Tugboat",Q447="Barge"),0,IF(Q447="Other vessel",Alukset_fx!$C$54,IF(Q447="Container ship",Alukset_fx!$C$37,IF(OR(Q447="RoPax",Q447="RoRo",Q447="Vehicle carrier"),Alukset_fx!$C$55,0))))))))</f>
        <v>0</v>
      </c>
      <c r="Y447" s="211">
        <f>IF(Q447="Other dry cargo", Alukset_fx!$Q$52, IF(OR(Q447="Dry bulk",Q447="Bulk carrier"),Alukset_fx!$Q$35,IF(OR(Q447="Tanker",Q447="Gas tanker",Q447="Oil tanker"),Alukset_fx!$Q$57,IF(Q447="Chemical tanker",Alukset_fx!$Q$56,IF(OR(Q447="Tugboat",Q447="Barge"),0,IF(Q447="Other vessel",Alukset_fx!$Q$54,IF(Q447="Container ship",Alukset_fx!$Q$37,IF(OR(Q447="RoPax",Q447="RoRo",Q447="Vehicle carrier"),Alukset_fx!$Q$55,0))))))))</f>
        <v>0</v>
      </c>
      <c r="Z447" t="str">
        <f t="shared" si="80"/>
        <v>MDO/MGO</v>
      </c>
      <c r="AA447" t="str">
        <f t="shared" si="81"/>
        <v>MSD</v>
      </c>
      <c r="AB447" t="str">
        <f t="shared" si="82"/>
        <v>MDO/MGO</v>
      </c>
      <c r="AC447" t="str">
        <f t="shared" si="83"/>
        <v>MSD</v>
      </c>
      <c r="AD447" t="str">
        <f t="shared" si="84"/>
        <v>MDO/MGO</v>
      </c>
      <c r="AE447" t="str">
        <f t="shared" si="85"/>
        <v>ST</v>
      </c>
      <c r="AG447">
        <f>Alukset_Käynnit!O454</f>
        <v>0</v>
      </c>
      <c r="AH447" s="207">
        <f>IF(AA447="SSD",((U447*Alukset_fx!$B$24)*Alukset_Käynnit_Lask!W447*(Alukset_fx!$K$49)/1000),IF(AA447="MSD",((U447*Alukset_fx!$B$24)*Alukset_Käynnit_Lask!W447*(Alukset_fx!$K$52)/1000),IF(AA447="HSD",((U447*Alukset_fx!$B$24)*Alukset_Käynnit_Lask!W447*(Alukset_fx!$K$55)/1000),0)))</f>
        <v>0</v>
      </c>
      <c r="AI447" s="207">
        <f>IF(AC447="MSD",((V447*Alukset_fx!$B$25)*Alukset_Käynnit_Lask!W447*(Alukset_fx!$L$52)/1000),IF(AC447="HSD",((V447*Alukset_fx!$B$25)*Alukset_Käynnit_Lask!W447*(Alukset_fx!$L$55)/1000),0))</f>
        <v>0</v>
      </c>
      <c r="AJ447" s="207">
        <f>X447*W447*Alukset_fx!$K$61/1000</f>
        <v>0</v>
      </c>
      <c r="AK447">
        <v>0</v>
      </c>
      <c r="AL447" s="207">
        <f>IF(AG447="Käytetty",0,IF(AC447="MSD",((V447*Alukset_fx!$O$25)*Alukset_Käynnit_Lask!O447*(Alukset_fx!$L$52)/1000),IF(AC447="HSD",((V447*Alukset_fx!$O$25)*Alukset_Käynnit_Lask!O447*(Alukset_fx!$L$55)/1000),0)))</f>
        <v>0</v>
      </c>
      <c r="AM447" s="207">
        <f>IF(AG447="Käytetty",0,Y447*O447*Alukset_fx!$K$61/1000)</f>
        <v>0</v>
      </c>
      <c r="AN447" s="213">
        <f t="shared" si="86"/>
        <v>0</v>
      </c>
    </row>
    <row r="448" spans="1:40" x14ac:dyDescent="0.25">
      <c r="A448" s="203">
        <f>Alukset_Käynnit!A455</f>
        <v>0</v>
      </c>
      <c r="B448" s="203">
        <f>Alukset_Käynnit!B455</f>
        <v>0</v>
      </c>
      <c r="C448" s="262">
        <f>Alukset_Käynnit!C455</f>
        <v>0</v>
      </c>
      <c r="D448" s="266">
        <f>Alukset_Käynnit!D455</f>
        <v>0</v>
      </c>
      <c r="E448" s="262">
        <f>Alukset_Käynnit!E455</f>
        <v>0</v>
      </c>
      <c r="F448" s="262">
        <f>Alukset_Käynnit!F455</f>
        <v>0</v>
      </c>
      <c r="G448" s="262">
        <f>Alukset_Käynnit!G455</f>
        <v>0</v>
      </c>
      <c r="H448" s="262">
        <f>Alukset_Käynnit!H455</f>
        <v>0</v>
      </c>
      <c r="I448" s="262">
        <f>Alukset_Käynnit!I455</f>
        <v>0</v>
      </c>
      <c r="J448" s="262">
        <f>Alukset_Käynnit!J455</f>
        <v>0</v>
      </c>
      <c r="K448" s="262">
        <f>Alukset_Käynnit!K455</f>
        <v>0</v>
      </c>
      <c r="L448" s="205">
        <f>Alukset_Käynnit!L455</f>
        <v>0</v>
      </c>
      <c r="N448" s="273">
        <f t="shared" si="87"/>
        <v>0</v>
      </c>
      <c r="O448" s="274">
        <f t="shared" si="88"/>
        <v>0</v>
      </c>
      <c r="Q448" s="204">
        <f t="shared" si="77"/>
        <v>0</v>
      </c>
      <c r="R448" s="202">
        <f>IF(Q448="Other dry cargo",L448*Alukset_fx!$B$71,IF(OR(Q448="Dry bulk",Q448="Bulk carrier"),L448*Alukset_fx!$B$69,IF(Q448="Tugboat",L448*Alukset_fx!$B$76,IF(OR(Q448="Tanker",Q448="Gas tanker",Q448="Chemical tanker",Q448="Oil tanker"),L448*Alukset_fx!$B$68,IF(OR(Q448="RoRo",Q448="Vehicle carrier"),L448*Alukset_fx!$B$72,IF(Q448="RoPax",L448*Alukset_fx!$B$73,IF(Q448="Container ship",L448*Alukset_fx!$B$70,IF(Q448="Barge",0,L448*Alukset_fx!$B$75))))))))</f>
        <v>0</v>
      </c>
      <c r="S448" s="210">
        <f>IF(L448=0,IF(Q448="Other dry cargo",Alukset_fx!$H$73*(Alukset_Käynnit_Lask!K448^Alukset_fx!$I$73),IF(OR(Q448="Dry Bulk",Q448="Bulk carrier"),Alukset_fx!$H$71*(Alukset_Käynnit_Lask!K448^Alukset_fx!$I$71),IF(Q448="Tugboat",Alukset_fx!$H$78*(Alukset_Käynnit_Lask!K448^Alukset_fx!$I$78),IF(OR(Q448="Tanker",Q448="Gas tanker",Q448="Chemical tanker",Q448="Oil tanker"),Alukset_fx!$H$70*(Alukset_Käynnit_Lask!K448^Alukset_fx!$I$70),IF(Q448="Container ship",Alukset_fx!$H$72*(Alukset_Käynnit_Lask!K448^Alukset_fx!$I$72),IF(Q448="Barge",0,IF(Q448="RoPax",Alukset_fx!$H$75*(Alukset_Käynnit_Lask!K448^Alukset_fx!$I$75),IF(OR(Q448="RoRo",Q448="Vehicle carrier"),Alukset_fx!$H$74*(Alukset_Käynnit_Lask!K448^Alukset_fx!$I$74),Alukset_fx!$H$77*(Alukset_Käynnit_Lask!K448^Alukset_fx!$I$77))))))))),"-")</f>
        <v>0</v>
      </c>
      <c r="T448" s="208">
        <f>IF(R448=0,IF(Q448="Other dry cargo",S448*Alukset_fx!$B$71,IF(OR(Q448="Dry bulk",Q448="Bulk carrier"),S448*Alukset_fx!$B$69,IF(Q448="Tugboat",S448*Alukset_fx!$B$76,IF(OR(Q448="Tanker",Q448="Gas tanker",Q448="Chemical tanker",Q448="Oil tanker"),S448*Alukset_fx!$B$68,IF(OR(Q448="RoRo",Q448="Vehicle carrier"),S448*Alukset_fx!$B$72,IF(Q448="RoPax",S448*Alukset_fx!$B$73,IF(Q448="Container ship",S448*Alukset_fx!$B$70,S448*Alukset_fx!$B$75))))))),"-")</f>
        <v>0</v>
      </c>
      <c r="U448" s="208">
        <f t="shared" si="78"/>
        <v>0</v>
      </c>
      <c r="V448" s="208">
        <f t="shared" si="79"/>
        <v>0</v>
      </c>
      <c r="W448" s="202">
        <f>Alukset_Käynnit!N455</f>
        <v>0</v>
      </c>
      <c r="X448" s="211">
        <f>IF(Q448="Other dry cargo", Alukset_fx!$C$52, IF(OR(Q448="Dry bulk",Q448="Bulk carrier"),Alukset_fx!$C$35,IF(OR(Q448="Tanker",Q448="Gas tanker",Q448="Oil tanker"),Alukset_fx!$C$57,IF(Q448="Chemical tanker",Alukset_fx!$C$56,IF(OR(Q448="Tugboat",Q448="Barge"),0,IF(Q448="Other vessel",Alukset_fx!$C$54,IF(Q448="Container ship",Alukset_fx!$C$37,IF(OR(Q448="RoPax",Q448="RoRo",Q448="Vehicle carrier"),Alukset_fx!$C$55,0))))))))</f>
        <v>0</v>
      </c>
      <c r="Y448" s="211">
        <f>IF(Q448="Other dry cargo", Alukset_fx!$Q$52, IF(OR(Q448="Dry bulk",Q448="Bulk carrier"),Alukset_fx!$Q$35,IF(OR(Q448="Tanker",Q448="Gas tanker",Q448="Oil tanker"),Alukset_fx!$Q$57,IF(Q448="Chemical tanker",Alukset_fx!$Q$56,IF(OR(Q448="Tugboat",Q448="Barge"),0,IF(Q448="Other vessel",Alukset_fx!$Q$54,IF(Q448="Container ship",Alukset_fx!$Q$37,IF(OR(Q448="RoPax",Q448="RoRo",Q448="Vehicle carrier"),Alukset_fx!$Q$55,0))))))))</f>
        <v>0</v>
      </c>
      <c r="Z448" t="str">
        <f t="shared" si="80"/>
        <v>MDO/MGO</v>
      </c>
      <c r="AA448" t="str">
        <f t="shared" si="81"/>
        <v>MSD</v>
      </c>
      <c r="AB448" t="str">
        <f t="shared" si="82"/>
        <v>MDO/MGO</v>
      </c>
      <c r="AC448" t="str">
        <f t="shared" si="83"/>
        <v>MSD</v>
      </c>
      <c r="AD448" t="str">
        <f t="shared" si="84"/>
        <v>MDO/MGO</v>
      </c>
      <c r="AE448" t="str">
        <f t="shared" si="85"/>
        <v>ST</v>
      </c>
      <c r="AG448">
        <f>Alukset_Käynnit!O455</f>
        <v>0</v>
      </c>
      <c r="AH448" s="207">
        <f>IF(AA448="SSD",((U448*Alukset_fx!$B$24)*Alukset_Käynnit_Lask!W448*(Alukset_fx!$K$49)/1000),IF(AA448="MSD",((U448*Alukset_fx!$B$24)*Alukset_Käynnit_Lask!W448*(Alukset_fx!$K$52)/1000),IF(AA448="HSD",((U448*Alukset_fx!$B$24)*Alukset_Käynnit_Lask!W448*(Alukset_fx!$K$55)/1000),0)))</f>
        <v>0</v>
      </c>
      <c r="AI448" s="207">
        <f>IF(AC448="MSD",((V448*Alukset_fx!$B$25)*Alukset_Käynnit_Lask!W448*(Alukset_fx!$L$52)/1000),IF(AC448="HSD",((V448*Alukset_fx!$B$25)*Alukset_Käynnit_Lask!W448*(Alukset_fx!$L$55)/1000),0))</f>
        <v>0</v>
      </c>
      <c r="AJ448" s="207">
        <f>X448*W448*Alukset_fx!$K$61/1000</f>
        <v>0</v>
      </c>
      <c r="AK448">
        <v>0</v>
      </c>
      <c r="AL448" s="207">
        <f>IF(AG448="Käytetty",0,IF(AC448="MSD",((V448*Alukset_fx!$O$25)*Alukset_Käynnit_Lask!O448*(Alukset_fx!$L$52)/1000),IF(AC448="HSD",((V448*Alukset_fx!$O$25)*Alukset_Käynnit_Lask!O448*(Alukset_fx!$L$55)/1000),0)))</f>
        <v>0</v>
      </c>
      <c r="AM448" s="207">
        <f>IF(AG448="Käytetty",0,Y448*O448*Alukset_fx!$K$61/1000)</f>
        <v>0</v>
      </c>
      <c r="AN448" s="213">
        <f t="shared" si="86"/>
        <v>0</v>
      </c>
    </row>
    <row r="449" spans="1:40" x14ac:dyDescent="0.25">
      <c r="A449" s="203">
        <f>Alukset_Käynnit!A456</f>
        <v>0</v>
      </c>
      <c r="B449" s="203">
        <f>Alukset_Käynnit!B456</f>
        <v>0</v>
      </c>
      <c r="C449" s="262">
        <f>Alukset_Käynnit!C456</f>
        <v>0</v>
      </c>
      <c r="D449" s="266">
        <f>Alukset_Käynnit!D456</f>
        <v>0</v>
      </c>
      <c r="E449" s="262">
        <f>Alukset_Käynnit!E456</f>
        <v>0</v>
      </c>
      <c r="F449" s="262">
        <f>Alukset_Käynnit!F456</f>
        <v>0</v>
      </c>
      <c r="G449" s="262">
        <f>Alukset_Käynnit!G456</f>
        <v>0</v>
      </c>
      <c r="H449" s="262">
        <f>Alukset_Käynnit!H456</f>
        <v>0</v>
      </c>
      <c r="I449" s="262">
        <f>Alukset_Käynnit!I456</f>
        <v>0</v>
      </c>
      <c r="J449" s="262">
        <f>Alukset_Käynnit!J456</f>
        <v>0</v>
      </c>
      <c r="K449" s="262">
        <f>Alukset_Käynnit!K456</f>
        <v>0</v>
      </c>
      <c r="L449" s="205">
        <f>Alukset_Käynnit!L456</f>
        <v>0</v>
      </c>
      <c r="N449" s="273">
        <f t="shared" si="87"/>
        <v>0</v>
      </c>
      <c r="O449" s="274">
        <f t="shared" si="88"/>
        <v>0</v>
      </c>
      <c r="Q449" s="204">
        <f t="shared" si="77"/>
        <v>0</v>
      </c>
      <c r="R449" s="202">
        <f>IF(Q449="Other dry cargo",L449*Alukset_fx!$B$71,IF(OR(Q449="Dry bulk",Q449="Bulk carrier"),L449*Alukset_fx!$B$69,IF(Q449="Tugboat",L449*Alukset_fx!$B$76,IF(OR(Q449="Tanker",Q449="Gas tanker",Q449="Chemical tanker",Q449="Oil tanker"),L449*Alukset_fx!$B$68,IF(OR(Q449="RoRo",Q449="Vehicle carrier"),L449*Alukset_fx!$B$72,IF(Q449="RoPax",L449*Alukset_fx!$B$73,IF(Q449="Container ship",L449*Alukset_fx!$B$70,IF(Q449="Barge",0,L449*Alukset_fx!$B$75))))))))</f>
        <v>0</v>
      </c>
      <c r="S449" s="210">
        <f>IF(L449=0,IF(Q449="Other dry cargo",Alukset_fx!$H$73*(Alukset_Käynnit_Lask!K449^Alukset_fx!$I$73),IF(OR(Q449="Dry Bulk",Q449="Bulk carrier"),Alukset_fx!$H$71*(Alukset_Käynnit_Lask!K449^Alukset_fx!$I$71),IF(Q449="Tugboat",Alukset_fx!$H$78*(Alukset_Käynnit_Lask!K449^Alukset_fx!$I$78),IF(OR(Q449="Tanker",Q449="Gas tanker",Q449="Chemical tanker",Q449="Oil tanker"),Alukset_fx!$H$70*(Alukset_Käynnit_Lask!K449^Alukset_fx!$I$70),IF(Q449="Container ship",Alukset_fx!$H$72*(Alukset_Käynnit_Lask!K449^Alukset_fx!$I$72),IF(Q449="Barge",0,IF(Q449="RoPax",Alukset_fx!$H$75*(Alukset_Käynnit_Lask!K449^Alukset_fx!$I$75),IF(OR(Q449="RoRo",Q449="Vehicle carrier"),Alukset_fx!$H$74*(Alukset_Käynnit_Lask!K449^Alukset_fx!$I$74),Alukset_fx!$H$77*(Alukset_Käynnit_Lask!K449^Alukset_fx!$I$77))))))))),"-")</f>
        <v>0</v>
      </c>
      <c r="T449" s="208">
        <f>IF(R449=0,IF(Q449="Other dry cargo",S449*Alukset_fx!$B$71,IF(OR(Q449="Dry bulk",Q449="Bulk carrier"),S449*Alukset_fx!$B$69,IF(Q449="Tugboat",S449*Alukset_fx!$B$76,IF(OR(Q449="Tanker",Q449="Gas tanker",Q449="Chemical tanker",Q449="Oil tanker"),S449*Alukset_fx!$B$68,IF(OR(Q449="RoRo",Q449="Vehicle carrier"),S449*Alukset_fx!$B$72,IF(Q449="RoPax",S449*Alukset_fx!$B$73,IF(Q449="Container ship",S449*Alukset_fx!$B$70,S449*Alukset_fx!$B$75))))))),"-")</f>
        <v>0</v>
      </c>
      <c r="U449" s="208">
        <f t="shared" si="78"/>
        <v>0</v>
      </c>
      <c r="V449" s="208">
        <f t="shared" si="79"/>
        <v>0</v>
      </c>
      <c r="W449" s="202">
        <f>Alukset_Käynnit!N456</f>
        <v>0</v>
      </c>
      <c r="X449" s="211">
        <f>IF(Q449="Other dry cargo", Alukset_fx!$C$52, IF(OR(Q449="Dry bulk",Q449="Bulk carrier"),Alukset_fx!$C$35,IF(OR(Q449="Tanker",Q449="Gas tanker",Q449="Oil tanker"),Alukset_fx!$C$57,IF(Q449="Chemical tanker",Alukset_fx!$C$56,IF(OR(Q449="Tugboat",Q449="Barge"),0,IF(Q449="Other vessel",Alukset_fx!$C$54,IF(Q449="Container ship",Alukset_fx!$C$37,IF(OR(Q449="RoPax",Q449="RoRo",Q449="Vehicle carrier"),Alukset_fx!$C$55,0))))))))</f>
        <v>0</v>
      </c>
      <c r="Y449" s="211">
        <f>IF(Q449="Other dry cargo", Alukset_fx!$Q$52, IF(OR(Q449="Dry bulk",Q449="Bulk carrier"),Alukset_fx!$Q$35,IF(OR(Q449="Tanker",Q449="Gas tanker",Q449="Oil tanker"),Alukset_fx!$Q$57,IF(Q449="Chemical tanker",Alukset_fx!$Q$56,IF(OR(Q449="Tugboat",Q449="Barge"),0,IF(Q449="Other vessel",Alukset_fx!$Q$54,IF(Q449="Container ship",Alukset_fx!$Q$37,IF(OR(Q449="RoPax",Q449="RoRo",Q449="Vehicle carrier"),Alukset_fx!$Q$55,0))))))))</f>
        <v>0</v>
      </c>
      <c r="Z449" t="str">
        <f t="shared" si="80"/>
        <v>MDO/MGO</v>
      </c>
      <c r="AA449" t="str">
        <f t="shared" si="81"/>
        <v>MSD</v>
      </c>
      <c r="AB449" t="str">
        <f t="shared" si="82"/>
        <v>MDO/MGO</v>
      </c>
      <c r="AC449" t="str">
        <f t="shared" si="83"/>
        <v>MSD</v>
      </c>
      <c r="AD449" t="str">
        <f t="shared" si="84"/>
        <v>MDO/MGO</v>
      </c>
      <c r="AE449" t="str">
        <f t="shared" si="85"/>
        <v>ST</v>
      </c>
      <c r="AG449">
        <f>Alukset_Käynnit!O456</f>
        <v>0</v>
      </c>
      <c r="AH449" s="207">
        <f>IF(AA449="SSD",((U449*Alukset_fx!$B$24)*Alukset_Käynnit_Lask!W449*(Alukset_fx!$K$49)/1000),IF(AA449="MSD",((U449*Alukset_fx!$B$24)*Alukset_Käynnit_Lask!W449*(Alukset_fx!$K$52)/1000),IF(AA449="HSD",((U449*Alukset_fx!$B$24)*Alukset_Käynnit_Lask!W449*(Alukset_fx!$K$55)/1000),0)))</f>
        <v>0</v>
      </c>
      <c r="AI449" s="207">
        <f>IF(AC449="MSD",((V449*Alukset_fx!$B$25)*Alukset_Käynnit_Lask!W449*(Alukset_fx!$L$52)/1000),IF(AC449="HSD",((V449*Alukset_fx!$B$25)*Alukset_Käynnit_Lask!W449*(Alukset_fx!$L$55)/1000),0))</f>
        <v>0</v>
      </c>
      <c r="AJ449" s="207">
        <f>X449*W449*Alukset_fx!$K$61/1000</f>
        <v>0</v>
      </c>
      <c r="AK449">
        <v>0</v>
      </c>
      <c r="AL449" s="207">
        <f>IF(AG449="Käytetty",0,IF(AC449="MSD",((V449*Alukset_fx!$O$25)*Alukset_Käynnit_Lask!O449*(Alukset_fx!$L$52)/1000),IF(AC449="HSD",((V449*Alukset_fx!$O$25)*Alukset_Käynnit_Lask!O449*(Alukset_fx!$L$55)/1000),0)))</f>
        <v>0</v>
      </c>
      <c r="AM449" s="207">
        <f>IF(AG449="Käytetty",0,Y449*O449*Alukset_fx!$K$61/1000)</f>
        <v>0</v>
      </c>
      <c r="AN449" s="213">
        <f t="shared" si="86"/>
        <v>0</v>
      </c>
    </row>
    <row r="450" spans="1:40" x14ac:dyDescent="0.25">
      <c r="A450" s="203">
        <f>Alukset_Käynnit!A457</f>
        <v>0</v>
      </c>
      <c r="B450" s="203">
        <f>Alukset_Käynnit!B457</f>
        <v>0</v>
      </c>
      <c r="C450" s="262">
        <f>Alukset_Käynnit!C457</f>
        <v>0</v>
      </c>
      <c r="D450" s="266">
        <f>Alukset_Käynnit!D457</f>
        <v>0</v>
      </c>
      <c r="E450" s="262">
        <f>Alukset_Käynnit!E457</f>
        <v>0</v>
      </c>
      <c r="F450" s="262">
        <f>Alukset_Käynnit!F457</f>
        <v>0</v>
      </c>
      <c r="G450" s="262">
        <f>Alukset_Käynnit!G457</f>
        <v>0</v>
      </c>
      <c r="H450" s="262">
        <f>Alukset_Käynnit!H457</f>
        <v>0</v>
      </c>
      <c r="I450" s="262">
        <f>Alukset_Käynnit!I457</f>
        <v>0</v>
      </c>
      <c r="J450" s="262">
        <f>Alukset_Käynnit!J457</f>
        <v>0</v>
      </c>
      <c r="K450" s="262">
        <f>Alukset_Käynnit!K457</f>
        <v>0</v>
      </c>
      <c r="L450" s="205">
        <f>Alukset_Käynnit!L457</f>
        <v>0</v>
      </c>
      <c r="N450" s="273">
        <f t="shared" si="87"/>
        <v>0</v>
      </c>
      <c r="O450" s="274">
        <f t="shared" si="88"/>
        <v>0</v>
      </c>
      <c r="Q450" s="204">
        <f t="shared" si="77"/>
        <v>0</v>
      </c>
      <c r="R450" s="202">
        <f>IF(Q450="Other dry cargo",L450*Alukset_fx!$B$71,IF(OR(Q450="Dry bulk",Q450="Bulk carrier"),L450*Alukset_fx!$B$69,IF(Q450="Tugboat",L450*Alukset_fx!$B$76,IF(OR(Q450="Tanker",Q450="Gas tanker",Q450="Chemical tanker",Q450="Oil tanker"),L450*Alukset_fx!$B$68,IF(OR(Q450="RoRo",Q450="Vehicle carrier"),L450*Alukset_fx!$B$72,IF(Q450="RoPax",L450*Alukset_fx!$B$73,IF(Q450="Container ship",L450*Alukset_fx!$B$70,IF(Q450="Barge",0,L450*Alukset_fx!$B$75))))))))</f>
        <v>0</v>
      </c>
      <c r="S450" s="210">
        <f>IF(L450=0,IF(Q450="Other dry cargo",Alukset_fx!$H$73*(Alukset_Käynnit_Lask!K450^Alukset_fx!$I$73),IF(OR(Q450="Dry Bulk",Q450="Bulk carrier"),Alukset_fx!$H$71*(Alukset_Käynnit_Lask!K450^Alukset_fx!$I$71),IF(Q450="Tugboat",Alukset_fx!$H$78*(Alukset_Käynnit_Lask!K450^Alukset_fx!$I$78),IF(OR(Q450="Tanker",Q450="Gas tanker",Q450="Chemical tanker",Q450="Oil tanker"),Alukset_fx!$H$70*(Alukset_Käynnit_Lask!K450^Alukset_fx!$I$70),IF(Q450="Container ship",Alukset_fx!$H$72*(Alukset_Käynnit_Lask!K450^Alukset_fx!$I$72),IF(Q450="Barge",0,IF(Q450="RoPax",Alukset_fx!$H$75*(Alukset_Käynnit_Lask!K450^Alukset_fx!$I$75),IF(OR(Q450="RoRo",Q450="Vehicle carrier"),Alukset_fx!$H$74*(Alukset_Käynnit_Lask!K450^Alukset_fx!$I$74),Alukset_fx!$H$77*(Alukset_Käynnit_Lask!K450^Alukset_fx!$I$77))))))))),"-")</f>
        <v>0</v>
      </c>
      <c r="T450" s="208">
        <f>IF(R450=0,IF(Q450="Other dry cargo",S450*Alukset_fx!$B$71,IF(OR(Q450="Dry bulk",Q450="Bulk carrier"),S450*Alukset_fx!$B$69,IF(Q450="Tugboat",S450*Alukset_fx!$B$76,IF(OR(Q450="Tanker",Q450="Gas tanker",Q450="Chemical tanker",Q450="Oil tanker"),S450*Alukset_fx!$B$68,IF(OR(Q450="RoRo",Q450="Vehicle carrier"),S450*Alukset_fx!$B$72,IF(Q450="RoPax",S450*Alukset_fx!$B$73,IF(Q450="Container ship",S450*Alukset_fx!$B$70,S450*Alukset_fx!$B$75))))))),"-")</f>
        <v>0</v>
      </c>
      <c r="U450" s="208">
        <f t="shared" si="78"/>
        <v>0</v>
      </c>
      <c r="V450" s="208">
        <f t="shared" si="79"/>
        <v>0</v>
      </c>
      <c r="W450" s="202">
        <f>Alukset_Käynnit!N457</f>
        <v>0</v>
      </c>
      <c r="X450" s="211">
        <f>IF(Q450="Other dry cargo", Alukset_fx!$C$52, IF(OR(Q450="Dry bulk",Q450="Bulk carrier"),Alukset_fx!$C$35,IF(OR(Q450="Tanker",Q450="Gas tanker",Q450="Oil tanker"),Alukset_fx!$C$57,IF(Q450="Chemical tanker",Alukset_fx!$C$56,IF(OR(Q450="Tugboat",Q450="Barge"),0,IF(Q450="Other vessel",Alukset_fx!$C$54,IF(Q450="Container ship",Alukset_fx!$C$37,IF(OR(Q450="RoPax",Q450="RoRo",Q450="Vehicle carrier"),Alukset_fx!$C$55,0))))))))</f>
        <v>0</v>
      </c>
      <c r="Y450" s="211">
        <f>IF(Q450="Other dry cargo", Alukset_fx!$Q$52, IF(OR(Q450="Dry bulk",Q450="Bulk carrier"),Alukset_fx!$Q$35,IF(OR(Q450="Tanker",Q450="Gas tanker",Q450="Oil tanker"),Alukset_fx!$Q$57,IF(Q450="Chemical tanker",Alukset_fx!$Q$56,IF(OR(Q450="Tugboat",Q450="Barge"),0,IF(Q450="Other vessel",Alukset_fx!$Q$54,IF(Q450="Container ship",Alukset_fx!$Q$37,IF(OR(Q450="RoPax",Q450="RoRo",Q450="Vehicle carrier"),Alukset_fx!$Q$55,0))))))))</f>
        <v>0</v>
      </c>
      <c r="Z450" t="str">
        <f t="shared" si="80"/>
        <v>MDO/MGO</v>
      </c>
      <c r="AA450" t="str">
        <f t="shared" si="81"/>
        <v>MSD</v>
      </c>
      <c r="AB450" t="str">
        <f t="shared" si="82"/>
        <v>MDO/MGO</v>
      </c>
      <c r="AC450" t="str">
        <f t="shared" si="83"/>
        <v>MSD</v>
      </c>
      <c r="AD450" t="str">
        <f t="shared" si="84"/>
        <v>MDO/MGO</v>
      </c>
      <c r="AE450" t="str">
        <f t="shared" si="85"/>
        <v>ST</v>
      </c>
      <c r="AG450">
        <f>Alukset_Käynnit!O457</f>
        <v>0</v>
      </c>
      <c r="AH450" s="207">
        <f>IF(AA450="SSD",((U450*Alukset_fx!$B$24)*Alukset_Käynnit_Lask!W450*(Alukset_fx!$K$49)/1000),IF(AA450="MSD",((U450*Alukset_fx!$B$24)*Alukset_Käynnit_Lask!W450*(Alukset_fx!$K$52)/1000),IF(AA450="HSD",((U450*Alukset_fx!$B$24)*Alukset_Käynnit_Lask!W450*(Alukset_fx!$K$55)/1000),0)))</f>
        <v>0</v>
      </c>
      <c r="AI450" s="207">
        <f>IF(AC450="MSD",((V450*Alukset_fx!$B$25)*Alukset_Käynnit_Lask!W450*(Alukset_fx!$L$52)/1000),IF(AC450="HSD",((V450*Alukset_fx!$B$25)*Alukset_Käynnit_Lask!W450*(Alukset_fx!$L$55)/1000),0))</f>
        <v>0</v>
      </c>
      <c r="AJ450" s="207">
        <f>X450*W450*Alukset_fx!$K$61/1000</f>
        <v>0</v>
      </c>
      <c r="AK450">
        <v>0</v>
      </c>
      <c r="AL450" s="207">
        <f>IF(AG450="Käytetty",0,IF(AC450="MSD",((V450*Alukset_fx!$O$25)*Alukset_Käynnit_Lask!O450*(Alukset_fx!$L$52)/1000),IF(AC450="HSD",((V450*Alukset_fx!$O$25)*Alukset_Käynnit_Lask!O450*(Alukset_fx!$L$55)/1000),0)))</f>
        <v>0</v>
      </c>
      <c r="AM450" s="207">
        <f>IF(AG450="Käytetty",0,Y450*O450*Alukset_fx!$K$61/1000)</f>
        <v>0</v>
      </c>
      <c r="AN450" s="213">
        <f t="shared" si="86"/>
        <v>0</v>
      </c>
    </row>
    <row r="451" spans="1:40" x14ac:dyDescent="0.25">
      <c r="A451" s="203">
        <f>Alukset_Käynnit!A458</f>
        <v>0</v>
      </c>
      <c r="B451" s="203">
        <f>Alukset_Käynnit!B458</f>
        <v>0</v>
      </c>
      <c r="C451" s="262">
        <f>Alukset_Käynnit!C458</f>
        <v>0</v>
      </c>
      <c r="D451" s="266">
        <f>Alukset_Käynnit!D458</f>
        <v>0</v>
      </c>
      <c r="E451" s="262">
        <f>Alukset_Käynnit!E458</f>
        <v>0</v>
      </c>
      <c r="F451" s="262">
        <f>Alukset_Käynnit!F458</f>
        <v>0</v>
      </c>
      <c r="G451" s="262">
        <f>Alukset_Käynnit!G458</f>
        <v>0</v>
      </c>
      <c r="H451" s="262">
        <f>Alukset_Käynnit!H458</f>
        <v>0</v>
      </c>
      <c r="I451" s="262">
        <f>Alukset_Käynnit!I458</f>
        <v>0</v>
      </c>
      <c r="J451" s="262">
        <f>Alukset_Käynnit!J458</f>
        <v>0</v>
      </c>
      <c r="K451" s="262">
        <f>Alukset_Käynnit!K458</f>
        <v>0</v>
      </c>
      <c r="L451" s="205">
        <f>Alukset_Käynnit!L458</f>
        <v>0</v>
      </c>
      <c r="N451" s="273">
        <f t="shared" si="87"/>
        <v>0</v>
      </c>
      <c r="O451" s="274">
        <f t="shared" si="88"/>
        <v>0</v>
      </c>
      <c r="Q451" s="204">
        <f t="shared" si="77"/>
        <v>0</v>
      </c>
      <c r="R451" s="202">
        <f>IF(Q451="Other dry cargo",L451*Alukset_fx!$B$71,IF(OR(Q451="Dry bulk",Q451="Bulk carrier"),L451*Alukset_fx!$B$69,IF(Q451="Tugboat",L451*Alukset_fx!$B$76,IF(OR(Q451="Tanker",Q451="Gas tanker",Q451="Chemical tanker",Q451="Oil tanker"),L451*Alukset_fx!$B$68,IF(OR(Q451="RoRo",Q451="Vehicle carrier"),L451*Alukset_fx!$B$72,IF(Q451="RoPax",L451*Alukset_fx!$B$73,IF(Q451="Container ship",L451*Alukset_fx!$B$70,IF(Q451="Barge",0,L451*Alukset_fx!$B$75))))))))</f>
        <v>0</v>
      </c>
      <c r="S451" s="210">
        <f>IF(L451=0,IF(Q451="Other dry cargo",Alukset_fx!$H$73*(Alukset_Käynnit_Lask!K451^Alukset_fx!$I$73),IF(OR(Q451="Dry Bulk",Q451="Bulk carrier"),Alukset_fx!$H$71*(Alukset_Käynnit_Lask!K451^Alukset_fx!$I$71),IF(Q451="Tugboat",Alukset_fx!$H$78*(Alukset_Käynnit_Lask!K451^Alukset_fx!$I$78),IF(OR(Q451="Tanker",Q451="Gas tanker",Q451="Chemical tanker",Q451="Oil tanker"),Alukset_fx!$H$70*(Alukset_Käynnit_Lask!K451^Alukset_fx!$I$70),IF(Q451="Container ship",Alukset_fx!$H$72*(Alukset_Käynnit_Lask!K451^Alukset_fx!$I$72),IF(Q451="Barge",0,IF(Q451="RoPax",Alukset_fx!$H$75*(Alukset_Käynnit_Lask!K451^Alukset_fx!$I$75),IF(OR(Q451="RoRo",Q451="Vehicle carrier"),Alukset_fx!$H$74*(Alukset_Käynnit_Lask!K451^Alukset_fx!$I$74),Alukset_fx!$H$77*(Alukset_Käynnit_Lask!K451^Alukset_fx!$I$77))))))))),"-")</f>
        <v>0</v>
      </c>
      <c r="T451" s="208">
        <f>IF(R451=0,IF(Q451="Other dry cargo",S451*Alukset_fx!$B$71,IF(OR(Q451="Dry bulk",Q451="Bulk carrier"),S451*Alukset_fx!$B$69,IF(Q451="Tugboat",S451*Alukset_fx!$B$76,IF(OR(Q451="Tanker",Q451="Gas tanker",Q451="Chemical tanker",Q451="Oil tanker"),S451*Alukset_fx!$B$68,IF(OR(Q451="RoRo",Q451="Vehicle carrier"),S451*Alukset_fx!$B$72,IF(Q451="RoPax",S451*Alukset_fx!$B$73,IF(Q451="Container ship",S451*Alukset_fx!$B$70,S451*Alukset_fx!$B$75))))))),"-")</f>
        <v>0</v>
      </c>
      <c r="U451" s="208">
        <f t="shared" si="78"/>
        <v>0</v>
      </c>
      <c r="V451" s="208">
        <f t="shared" si="79"/>
        <v>0</v>
      </c>
      <c r="W451" s="202">
        <f>Alukset_Käynnit!N458</f>
        <v>0</v>
      </c>
      <c r="X451" s="211">
        <f>IF(Q451="Other dry cargo", Alukset_fx!$C$52, IF(OR(Q451="Dry bulk",Q451="Bulk carrier"),Alukset_fx!$C$35,IF(OR(Q451="Tanker",Q451="Gas tanker",Q451="Oil tanker"),Alukset_fx!$C$57,IF(Q451="Chemical tanker",Alukset_fx!$C$56,IF(OR(Q451="Tugboat",Q451="Barge"),0,IF(Q451="Other vessel",Alukset_fx!$C$54,IF(Q451="Container ship",Alukset_fx!$C$37,IF(OR(Q451="RoPax",Q451="RoRo",Q451="Vehicle carrier"),Alukset_fx!$C$55,0))))))))</f>
        <v>0</v>
      </c>
      <c r="Y451" s="211">
        <f>IF(Q451="Other dry cargo", Alukset_fx!$Q$52, IF(OR(Q451="Dry bulk",Q451="Bulk carrier"),Alukset_fx!$Q$35,IF(OR(Q451="Tanker",Q451="Gas tanker",Q451="Oil tanker"),Alukset_fx!$Q$57,IF(Q451="Chemical tanker",Alukset_fx!$Q$56,IF(OR(Q451="Tugboat",Q451="Barge"),0,IF(Q451="Other vessel",Alukset_fx!$Q$54,IF(Q451="Container ship",Alukset_fx!$Q$37,IF(OR(Q451="RoPax",Q451="RoRo",Q451="Vehicle carrier"),Alukset_fx!$Q$55,0))))))))</f>
        <v>0</v>
      </c>
      <c r="Z451" t="str">
        <f t="shared" si="80"/>
        <v>MDO/MGO</v>
      </c>
      <c r="AA451" t="str">
        <f t="shared" si="81"/>
        <v>MSD</v>
      </c>
      <c r="AB451" t="str">
        <f t="shared" si="82"/>
        <v>MDO/MGO</v>
      </c>
      <c r="AC451" t="str">
        <f t="shared" si="83"/>
        <v>MSD</v>
      </c>
      <c r="AD451" t="str">
        <f t="shared" si="84"/>
        <v>MDO/MGO</v>
      </c>
      <c r="AE451" t="str">
        <f t="shared" si="85"/>
        <v>ST</v>
      </c>
      <c r="AG451">
        <f>Alukset_Käynnit!O458</f>
        <v>0</v>
      </c>
      <c r="AH451" s="207">
        <f>IF(AA451="SSD",((U451*Alukset_fx!$B$24)*Alukset_Käynnit_Lask!W451*(Alukset_fx!$K$49)/1000),IF(AA451="MSD",((U451*Alukset_fx!$B$24)*Alukset_Käynnit_Lask!W451*(Alukset_fx!$K$52)/1000),IF(AA451="HSD",((U451*Alukset_fx!$B$24)*Alukset_Käynnit_Lask!W451*(Alukset_fx!$K$55)/1000),0)))</f>
        <v>0</v>
      </c>
      <c r="AI451" s="207">
        <f>IF(AC451="MSD",((V451*Alukset_fx!$B$25)*Alukset_Käynnit_Lask!W451*(Alukset_fx!$L$52)/1000),IF(AC451="HSD",((V451*Alukset_fx!$B$25)*Alukset_Käynnit_Lask!W451*(Alukset_fx!$L$55)/1000),0))</f>
        <v>0</v>
      </c>
      <c r="AJ451" s="207">
        <f>X451*W451*Alukset_fx!$K$61/1000</f>
        <v>0</v>
      </c>
      <c r="AK451">
        <v>0</v>
      </c>
      <c r="AL451" s="207">
        <f>IF(AG451="Käytetty",0,IF(AC451="MSD",((V451*Alukset_fx!$O$25)*Alukset_Käynnit_Lask!O451*(Alukset_fx!$L$52)/1000),IF(AC451="HSD",((V451*Alukset_fx!$O$25)*Alukset_Käynnit_Lask!O451*(Alukset_fx!$L$55)/1000),0)))</f>
        <v>0</v>
      </c>
      <c r="AM451" s="207">
        <f>IF(AG451="Käytetty",0,Y451*O451*Alukset_fx!$K$61/1000)</f>
        <v>0</v>
      </c>
      <c r="AN451" s="213">
        <f t="shared" si="86"/>
        <v>0</v>
      </c>
    </row>
    <row r="452" spans="1:40" x14ac:dyDescent="0.25">
      <c r="A452" s="203">
        <f>Alukset_Käynnit!A459</f>
        <v>0</v>
      </c>
      <c r="B452" s="203">
        <f>Alukset_Käynnit!B459</f>
        <v>0</v>
      </c>
      <c r="C452" s="262">
        <f>Alukset_Käynnit!C459</f>
        <v>0</v>
      </c>
      <c r="D452" s="266">
        <f>Alukset_Käynnit!D459</f>
        <v>0</v>
      </c>
      <c r="E452" s="262">
        <f>Alukset_Käynnit!E459</f>
        <v>0</v>
      </c>
      <c r="F452" s="262">
        <f>Alukset_Käynnit!F459</f>
        <v>0</v>
      </c>
      <c r="G452" s="262">
        <f>Alukset_Käynnit!G459</f>
        <v>0</v>
      </c>
      <c r="H452" s="262">
        <f>Alukset_Käynnit!H459</f>
        <v>0</v>
      </c>
      <c r="I452" s="262">
        <f>Alukset_Käynnit!I459</f>
        <v>0</v>
      </c>
      <c r="J452" s="262">
        <f>Alukset_Käynnit!J459</f>
        <v>0</v>
      </c>
      <c r="K452" s="262">
        <f>Alukset_Käynnit!K459</f>
        <v>0</v>
      </c>
      <c r="L452" s="205">
        <f>Alukset_Käynnit!L459</f>
        <v>0</v>
      </c>
      <c r="N452" s="273">
        <f t="shared" si="87"/>
        <v>0</v>
      </c>
      <c r="O452" s="274">
        <f t="shared" si="88"/>
        <v>0</v>
      </c>
      <c r="Q452" s="204">
        <f t="shared" si="77"/>
        <v>0</v>
      </c>
      <c r="R452" s="202">
        <f>IF(Q452="Other dry cargo",L452*Alukset_fx!$B$71,IF(OR(Q452="Dry bulk",Q452="Bulk carrier"),L452*Alukset_fx!$B$69,IF(Q452="Tugboat",L452*Alukset_fx!$B$76,IF(OR(Q452="Tanker",Q452="Gas tanker",Q452="Chemical tanker",Q452="Oil tanker"),L452*Alukset_fx!$B$68,IF(OR(Q452="RoRo",Q452="Vehicle carrier"),L452*Alukset_fx!$B$72,IF(Q452="RoPax",L452*Alukset_fx!$B$73,IF(Q452="Container ship",L452*Alukset_fx!$B$70,IF(Q452="Barge",0,L452*Alukset_fx!$B$75))))))))</f>
        <v>0</v>
      </c>
      <c r="S452" s="210">
        <f>IF(L452=0,IF(Q452="Other dry cargo",Alukset_fx!$H$73*(Alukset_Käynnit_Lask!K452^Alukset_fx!$I$73),IF(OR(Q452="Dry Bulk",Q452="Bulk carrier"),Alukset_fx!$H$71*(Alukset_Käynnit_Lask!K452^Alukset_fx!$I$71),IF(Q452="Tugboat",Alukset_fx!$H$78*(Alukset_Käynnit_Lask!K452^Alukset_fx!$I$78),IF(OR(Q452="Tanker",Q452="Gas tanker",Q452="Chemical tanker",Q452="Oil tanker"),Alukset_fx!$H$70*(Alukset_Käynnit_Lask!K452^Alukset_fx!$I$70),IF(Q452="Container ship",Alukset_fx!$H$72*(Alukset_Käynnit_Lask!K452^Alukset_fx!$I$72),IF(Q452="Barge",0,IF(Q452="RoPax",Alukset_fx!$H$75*(Alukset_Käynnit_Lask!K452^Alukset_fx!$I$75),IF(OR(Q452="RoRo",Q452="Vehicle carrier"),Alukset_fx!$H$74*(Alukset_Käynnit_Lask!K452^Alukset_fx!$I$74),Alukset_fx!$H$77*(Alukset_Käynnit_Lask!K452^Alukset_fx!$I$77))))))))),"-")</f>
        <v>0</v>
      </c>
      <c r="T452" s="208">
        <f>IF(R452=0,IF(Q452="Other dry cargo",S452*Alukset_fx!$B$71,IF(OR(Q452="Dry bulk",Q452="Bulk carrier"),S452*Alukset_fx!$B$69,IF(Q452="Tugboat",S452*Alukset_fx!$B$76,IF(OR(Q452="Tanker",Q452="Gas tanker",Q452="Chemical tanker",Q452="Oil tanker"),S452*Alukset_fx!$B$68,IF(OR(Q452="RoRo",Q452="Vehicle carrier"),S452*Alukset_fx!$B$72,IF(Q452="RoPax",S452*Alukset_fx!$B$73,IF(Q452="Container ship",S452*Alukset_fx!$B$70,S452*Alukset_fx!$B$75))))))),"-")</f>
        <v>0</v>
      </c>
      <c r="U452" s="208">
        <f t="shared" si="78"/>
        <v>0</v>
      </c>
      <c r="V452" s="208">
        <f t="shared" si="79"/>
        <v>0</v>
      </c>
      <c r="W452" s="202">
        <f>Alukset_Käynnit!N459</f>
        <v>0</v>
      </c>
      <c r="X452" s="211">
        <f>IF(Q452="Other dry cargo", Alukset_fx!$C$52, IF(OR(Q452="Dry bulk",Q452="Bulk carrier"),Alukset_fx!$C$35,IF(OR(Q452="Tanker",Q452="Gas tanker",Q452="Oil tanker"),Alukset_fx!$C$57,IF(Q452="Chemical tanker",Alukset_fx!$C$56,IF(OR(Q452="Tugboat",Q452="Barge"),0,IF(Q452="Other vessel",Alukset_fx!$C$54,IF(Q452="Container ship",Alukset_fx!$C$37,IF(OR(Q452="RoPax",Q452="RoRo",Q452="Vehicle carrier"),Alukset_fx!$C$55,0))))))))</f>
        <v>0</v>
      </c>
      <c r="Y452" s="211">
        <f>IF(Q452="Other dry cargo", Alukset_fx!$Q$52, IF(OR(Q452="Dry bulk",Q452="Bulk carrier"),Alukset_fx!$Q$35,IF(OR(Q452="Tanker",Q452="Gas tanker",Q452="Oil tanker"),Alukset_fx!$Q$57,IF(Q452="Chemical tanker",Alukset_fx!$Q$56,IF(OR(Q452="Tugboat",Q452="Barge"),0,IF(Q452="Other vessel",Alukset_fx!$Q$54,IF(Q452="Container ship",Alukset_fx!$Q$37,IF(OR(Q452="RoPax",Q452="RoRo",Q452="Vehicle carrier"),Alukset_fx!$Q$55,0))))))))</f>
        <v>0</v>
      </c>
      <c r="Z452" t="str">
        <f t="shared" si="80"/>
        <v>MDO/MGO</v>
      </c>
      <c r="AA452" t="str">
        <f t="shared" si="81"/>
        <v>MSD</v>
      </c>
      <c r="AB452" t="str">
        <f t="shared" si="82"/>
        <v>MDO/MGO</v>
      </c>
      <c r="AC452" t="str">
        <f t="shared" si="83"/>
        <v>MSD</v>
      </c>
      <c r="AD452" t="str">
        <f t="shared" si="84"/>
        <v>MDO/MGO</v>
      </c>
      <c r="AE452" t="str">
        <f t="shared" si="85"/>
        <v>ST</v>
      </c>
      <c r="AG452">
        <f>Alukset_Käynnit!O459</f>
        <v>0</v>
      </c>
      <c r="AH452" s="207">
        <f>IF(AA452="SSD",((U452*Alukset_fx!$B$24)*Alukset_Käynnit_Lask!W452*(Alukset_fx!$K$49)/1000),IF(AA452="MSD",((U452*Alukset_fx!$B$24)*Alukset_Käynnit_Lask!W452*(Alukset_fx!$K$52)/1000),IF(AA452="HSD",((U452*Alukset_fx!$B$24)*Alukset_Käynnit_Lask!W452*(Alukset_fx!$K$55)/1000),0)))</f>
        <v>0</v>
      </c>
      <c r="AI452" s="207">
        <f>IF(AC452="MSD",((V452*Alukset_fx!$B$25)*Alukset_Käynnit_Lask!W452*(Alukset_fx!$L$52)/1000),IF(AC452="HSD",((V452*Alukset_fx!$B$25)*Alukset_Käynnit_Lask!W452*(Alukset_fx!$L$55)/1000),0))</f>
        <v>0</v>
      </c>
      <c r="AJ452" s="207">
        <f>X452*W452*Alukset_fx!$K$61/1000</f>
        <v>0</v>
      </c>
      <c r="AK452">
        <v>0</v>
      </c>
      <c r="AL452" s="207">
        <f>IF(AG452="Käytetty",0,IF(AC452="MSD",((V452*Alukset_fx!$O$25)*Alukset_Käynnit_Lask!O452*(Alukset_fx!$L$52)/1000),IF(AC452="HSD",((V452*Alukset_fx!$O$25)*Alukset_Käynnit_Lask!O452*(Alukset_fx!$L$55)/1000),0)))</f>
        <v>0</v>
      </c>
      <c r="AM452" s="207">
        <f>IF(AG452="Käytetty",0,Y452*O452*Alukset_fx!$K$61/1000)</f>
        <v>0</v>
      </c>
      <c r="AN452" s="213">
        <f t="shared" si="86"/>
        <v>0</v>
      </c>
    </row>
    <row r="453" spans="1:40" x14ac:dyDescent="0.25">
      <c r="A453" s="203">
        <f>Alukset_Käynnit!A460</f>
        <v>0</v>
      </c>
      <c r="B453" s="203">
        <f>Alukset_Käynnit!B460</f>
        <v>0</v>
      </c>
      <c r="C453" s="262">
        <f>Alukset_Käynnit!C460</f>
        <v>0</v>
      </c>
      <c r="D453" s="266">
        <f>Alukset_Käynnit!D460</f>
        <v>0</v>
      </c>
      <c r="E453" s="262">
        <f>Alukset_Käynnit!E460</f>
        <v>0</v>
      </c>
      <c r="F453" s="262">
        <f>Alukset_Käynnit!F460</f>
        <v>0</v>
      </c>
      <c r="G453" s="262">
        <f>Alukset_Käynnit!G460</f>
        <v>0</v>
      </c>
      <c r="H453" s="262">
        <f>Alukset_Käynnit!H460</f>
        <v>0</v>
      </c>
      <c r="I453" s="262">
        <f>Alukset_Käynnit!I460</f>
        <v>0</v>
      </c>
      <c r="J453" s="262">
        <f>Alukset_Käynnit!J460</f>
        <v>0</v>
      </c>
      <c r="K453" s="262">
        <f>Alukset_Käynnit!K460</f>
        <v>0</v>
      </c>
      <c r="L453" s="205">
        <f>Alukset_Käynnit!L460</f>
        <v>0</v>
      </c>
      <c r="N453" s="273">
        <f t="shared" si="87"/>
        <v>0</v>
      </c>
      <c r="O453" s="274">
        <f t="shared" si="88"/>
        <v>0</v>
      </c>
      <c r="Q453" s="204">
        <f t="shared" si="77"/>
        <v>0</v>
      </c>
      <c r="R453" s="202">
        <f>IF(Q453="Other dry cargo",L453*Alukset_fx!$B$71,IF(OR(Q453="Dry bulk",Q453="Bulk carrier"),L453*Alukset_fx!$B$69,IF(Q453="Tugboat",L453*Alukset_fx!$B$76,IF(OR(Q453="Tanker",Q453="Gas tanker",Q453="Chemical tanker",Q453="Oil tanker"),L453*Alukset_fx!$B$68,IF(OR(Q453="RoRo",Q453="Vehicle carrier"),L453*Alukset_fx!$B$72,IF(Q453="RoPax",L453*Alukset_fx!$B$73,IF(Q453="Container ship",L453*Alukset_fx!$B$70,IF(Q453="Barge",0,L453*Alukset_fx!$B$75))))))))</f>
        <v>0</v>
      </c>
      <c r="S453" s="210">
        <f>IF(L453=0,IF(Q453="Other dry cargo",Alukset_fx!$H$73*(Alukset_Käynnit_Lask!K453^Alukset_fx!$I$73),IF(OR(Q453="Dry Bulk",Q453="Bulk carrier"),Alukset_fx!$H$71*(Alukset_Käynnit_Lask!K453^Alukset_fx!$I$71),IF(Q453="Tugboat",Alukset_fx!$H$78*(Alukset_Käynnit_Lask!K453^Alukset_fx!$I$78),IF(OR(Q453="Tanker",Q453="Gas tanker",Q453="Chemical tanker",Q453="Oil tanker"),Alukset_fx!$H$70*(Alukset_Käynnit_Lask!K453^Alukset_fx!$I$70),IF(Q453="Container ship",Alukset_fx!$H$72*(Alukset_Käynnit_Lask!K453^Alukset_fx!$I$72),IF(Q453="Barge",0,IF(Q453="RoPax",Alukset_fx!$H$75*(Alukset_Käynnit_Lask!K453^Alukset_fx!$I$75),IF(OR(Q453="RoRo",Q453="Vehicle carrier"),Alukset_fx!$H$74*(Alukset_Käynnit_Lask!K453^Alukset_fx!$I$74),Alukset_fx!$H$77*(Alukset_Käynnit_Lask!K453^Alukset_fx!$I$77))))))))),"-")</f>
        <v>0</v>
      </c>
      <c r="T453" s="208">
        <f>IF(R453=0,IF(Q453="Other dry cargo",S453*Alukset_fx!$B$71,IF(OR(Q453="Dry bulk",Q453="Bulk carrier"),S453*Alukset_fx!$B$69,IF(Q453="Tugboat",S453*Alukset_fx!$B$76,IF(OR(Q453="Tanker",Q453="Gas tanker",Q453="Chemical tanker",Q453="Oil tanker"),S453*Alukset_fx!$B$68,IF(OR(Q453="RoRo",Q453="Vehicle carrier"),S453*Alukset_fx!$B$72,IF(Q453="RoPax",S453*Alukset_fx!$B$73,IF(Q453="Container ship",S453*Alukset_fx!$B$70,S453*Alukset_fx!$B$75))))))),"-")</f>
        <v>0</v>
      </c>
      <c r="U453" s="208">
        <f t="shared" si="78"/>
        <v>0</v>
      </c>
      <c r="V453" s="208">
        <f t="shared" si="79"/>
        <v>0</v>
      </c>
      <c r="W453" s="202">
        <f>Alukset_Käynnit!N460</f>
        <v>0</v>
      </c>
      <c r="X453" s="211">
        <f>IF(Q453="Other dry cargo", Alukset_fx!$C$52, IF(OR(Q453="Dry bulk",Q453="Bulk carrier"),Alukset_fx!$C$35,IF(OR(Q453="Tanker",Q453="Gas tanker",Q453="Oil tanker"),Alukset_fx!$C$57,IF(Q453="Chemical tanker",Alukset_fx!$C$56,IF(OR(Q453="Tugboat",Q453="Barge"),0,IF(Q453="Other vessel",Alukset_fx!$C$54,IF(Q453="Container ship",Alukset_fx!$C$37,IF(OR(Q453="RoPax",Q453="RoRo",Q453="Vehicle carrier"),Alukset_fx!$C$55,0))))))))</f>
        <v>0</v>
      </c>
      <c r="Y453" s="211">
        <f>IF(Q453="Other dry cargo", Alukset_fx!$Q$52, IF(OR(Q453="Dry bulk",Q453="Bulk carrier"),Alukset_fx!$Q$35,IF(OR(Q453="Tanker",Q453="Gas tanker",Q453="Oil tanker"),Alukset_fx!$Q$57,IF(Q453="Chemical tanker",Alukset_fx!$Q$56,IF(OR(Q453="Tugboat",Q453="Barge"),0,IF(Q453="Other vessel",Alukset_fx!$Q$54,IF(Q453="Container ship",Alukset_fx!$Q$37,IF(OR(Q453="RoPax",Q453="RoRo",Q453="Vehicle carrier"),Alukset_fx!$Q$55,0))))))))</f>
        <v>0</v>
      </c>
      <c r="Z453" t="str">
        <f t="shared" si="80"/>
        <v>MDO/MGO</v>
      </c>
      <c r="AA453" t="str">
        <f t="shared" si="81"/>
        <v>MSD</v>
      </c>
      <c r="AB453" t="str">
        <f t="shared" si="82"/>
        <v>MDO/MGO</v>
      </c>
      <c r="AC453" t="str">
        <f t="shared" si="83"/>
        <v>MSD</v>
      </c>
      <c r="AD453" t="str">
        <f t="shared" si="84"/>
        <v>MDO/MGO</v>
      </c>
      <c r="AE453" t="str">
        <f t="shared" si="85"/>
        <v>ST</v>
      </c>
      <c r="AG453">
        <f>Alukset_Käynnit!O460</f>
        <v>0</v>
      </c>
      <c r="AH453" s="207">
        <f>IF(AA453="SSD",((U453*Alukset_fx!$B$24)*Alukset_Käynnit_Lask!W453*(Alukset_fx!$K$49)/1000),IF(AA453="MSD",((U453*Alukset_fx!$B$24)*Alukset_Käynnit_Lask!W453*(Alukset_fx!$K$52)/1000),IF(AA453="HSD",((U453*Alukset_fx!$B$24)*Alukset_Käynnit_Lask!W453*(Alukset_fx!$K$55)/1000),0)))</f>
        <v>0</v>
      </c>
      <c r="AI453" s="207">
        <f>IF(AC453="MSD",((V453*Alukset_fx!$B$25)*Alukset_Käynnit_Lask!W453*(Alukset_fx!$L$52)/1000),IF(AC453="HSD",((V453*Alukset_fx!$B$25)*Alukset_Käynnit_Lask!W453*(Alukset_fx!$L$55)/1000),0))</f>
        <v>0</v>
      </c>
      <c r="AJ453" s="207">
        <f>X453*W453*Alukset_fx!$K$61/1000</f>
        <v>0</v>
      </c>
      <c r="AK453">
        <v>0</v>
      </c>
      <c r="AL453" s="207">
        <f>IF(AG453="Käytetty",0,IF(AC453="MSD",((V453*Alukset_fx!$O$25)*Alukset_Käynnit_Lask!O453*(Alukset_fx!$L$52)/1000),IF(AC453="HSD",((V453*Alukset_fx!$O$25)*Alukset_Käynnit_Lask!O453*(Alukset_fx!$L$55)/1000),0)))</f>
        <v>0</v>
      </c>
      <c r="AM453" s="207">
        <f>IF(AG453="Käytetty",0,Y453*O453*Alukset_fx!$K$61/1000)</f>
        <v>0</v>
      </c>
      <c r="AN453" s="213">
        <f t="shared" si="86"/>
        <v>0</v>
      </c>
    </row>
    <row r="454" spans="1:40" x14ac:dyDescent="0.25">
      <c r="A454" s="203">
        <f>Alukset_Käynnit!A461</f>
        <v>0</v>
      </c>
      <c r="B454" s="203">
        <f>Alukset_Käynnit!B461</f>
        <v>0</v>
      </c>
      <c r="C454" s="262">
        <f>Alukset_Käynnit!C461</f>
        <v>0</v>
      </c>
      <c r="D454" s="266">
        <f>Alukset_Käynnit!D461</f>
        <v>0</v>
      </c>
      <c r="E454" s="262">
        <f>Alukset_Käynnit!E461</f>
        <v>0</v>
      </c>
      <c r="F454" s="262">
        <f>Alukset_Käynnit!F461</f>
        <v>0</v>
      </c>
      <c r="G454" s="262">
        <f>Alukset_Käynnit!G461</f>
        <v>0</v>
      </c>
      <c r="H454" s="262">
        <f>Alukset_Käynnit!H461</f>
        <v>0</v>
      </c>
      <c r="I454" s="262">
        <f>Alukset_Käynnit!I461</f>
        <v>0</v>
      </c>
      <c r="J454" s="262">
        <f>Alukset_Käynnit!J461</f>
        <v>0</v>
      </c>
      <c r="K454" s="262">
        <f>Alukset_Käynnit!K461</f>
        <v>0</v>
      </c>
      <c r="L454" s="205">
        <f>Alukset_Käynnit!L461</f>
        <v>0</v>
      </c>
      <c r="N454" s="273">
        <f t="shared" si="87"/>
        <v>0</v>
      </c>
      <c r="O454" s="274">
        <f t="shared" si="88"/>
        <v>0</v>
      </c>
      <c r="Q454" s="204">
        <f t="shared" si="77"/>
        <v>0</v>
      </c>
      <c r="R454" s="202">
        <f>IF(Q454="Other dry cargo",L454*Alukset_fx!$B$71,IF(OR(Q454="Dry bulk",Q454="Bulk carrier"),L454*Alukset_fx!$B$69,IF(Q454="Tugboat",L454*Alukset_fx!$B$76,IF(OR(Q454="Tanker",Q454="Gas tanker",Q454="Chemical tanker",Q454="Oil tanker"),L454*Alukset_fx!$B$68,IF(OR(Q454="RoRo",Q454="Vehicle carrier"),L454*Alukset_fx!$B$72,IF(Q454="RoPax",L454*Alukset_fx!$B$73,IF(Q454="Container ship",L454*Alukset_fx!$B$70,IF(Q454="Barge",0,L454*Alukset_fx!$B$75))))))))</f>
        <v>0</v>
      </c>
      <c r="S454" s="210">
        <f>IF(L454=0,IF(Q454="Other dry cargo",Alukset_fx!$H$73*(Alukset_Käynnit_Lask!K454^Alukset_fx!$I$73),IF(OR(Q454="Dry Bulk",Q454="Bulk carrier"),Alukset_fx!$H$71*(Alukset_Käynnit_Lask!K454^Alukset_fx!$I$71),IF(Q454="Tugboat",Alukset_fx!$H$78*(Alukset_Käynnit_Lask!K454^Alukset_fx!$I$78),IF(OR(Q454="Tanker",Q454="Gas tanker",Q454="Chemical tanker",Q454="Oil tanker"),Alukset_fx!$H$70*(Alukset_Käynnit_Lask!K454^Alukset_fx!$I$70),IF(Q454="Container ship",Alukset_fx!$H$72*(Alukset_Käynnit_Lask!K454^Alukset_fx!$I$72),IF(Q454="Barge",0,IF(Q454="RoPax",Alukset_fx!$H$75*(Alukset_Käynnit_Lask!K454^Alukset_fx!$I$75),IF(OR(Q454="RoRo",Q454="Vehicle carrier"),Alukset_fx!$H$74*(Alukset_Käynnit_Lask!K454^Alukset_fx!$I$74),Alukset_fx!$H$77*(Alukset_Käynnit_Lask!K454^Alukset_fx!$I$77))))))))),"-")</f>
        <v>0</v>
      </c>
      <c r="T454" s="208">
        <f>IF(R454=0,IF(Q454="Other dry cargo",S454*Alukset_fx!$B$71,IF(OR(Q454="Dry bulk",Q454="Bulk carrier"),S454*Alukset_fx!$B$69,IF(Q454="Tugboat",S454*Alukset_fx!$B$76,IF(OR(Q454="Tanker",Q454="Gas tanker",Q454="Chemical tanker",Q454="Oil tanker"),S454*Alukset_fx!$B$68,IF(OR(Q454="RoRo",Q454="Vehicle carrier"),S454*Alukset_fx!$B$72,IF(Q454="RoPax",S454*Alukset_fx!$B$73,IF(Q454="Container ship",S454*Alukset_fx!$B$70,S454*Alukset_fx!$B$75))))))),"-")</f>
        <v>0</v>
      </c>
      <c r="U454" s="208">
        <f t="shared" si="78"/>
        <v>0</v>
      </c>
      <c r="V454" s="208">
        <f t="shared" si="79"/>
        <v>0</v>
      </c>
      <c r="W454" s="202">
        <f>Alukset_Käynnit!N461</f>
        <v>0</v>
      </c>
      <c r="X454" s="211">
        <f>IF(Q454="Other dry cargo", Alukset_fx!$C$52, IF(OR(Q454="Dry bulk",Q454="Bulk carrier"),Alukset_fx!$C$35,IF(OR(Q454="Tanker",Q454="Gas tanker",Q454="Oil tanker"),Alukset_fx!$C$57,IF(Q454="Chemical tanker",Alukset_fx!$C$56,IF(OR(Q454="Tugboat",Q454="Barge"),0,IF(Q454="Other vessel",Alukset_fx!$C$54,IF(Q454="Container ship",Alukset_fx!$C$37,IF(OR(Q454="RoPax",Q454="RoRo",Q454="Vehicle carrier"),Alukset_fx!$C$55,0))))))))</f>
        <v>0</v>
      </c>
      <c r="Y454" s="211">
        <f>IF(Q454="Other dry cargo", Alukset_fx!$Q$52, IF(OR(Q454="Dry bulk",Q454="Bulk carrier"),Alukset_fx!$Q$35,IF(OR(Q454="Tanker",Q454="Gas tanker",Q454="Oil tanker"),Alukset_fx!$Q$57,IF(Q454="Chemical tanker",Alukset_fx!$Q$56,IF(OR(Q454="Tugboat",Q454="Barge"),0,IF(Q454="Other vessel",Alukset_fx!$Q$54,IF(Q454="Container ship",Alukset_fx!$Q$37,IF(OR(Q454="RoPax",Q454="RoRo",Q454="Vehicle carrier"),Alukset_fx!$Q$55,0))))))))</f>
        <v>0</v>
      </c>
      <c r="Z454" t="str">
        <f t="shared" si="80"/>
        <v>MDO/MGO</v>
      </c>
      <c r="AA454" t="str">
        <f t="shared" si="81"/>
        <v>MSD</v>
      </c>
      <c r="AB454" t="str">
        <f t="shared" si="82"/>
        <v>MDO/MGO</v>
      </c>
      <c r="AC454" t="str">
        <f t="shared" si="83"/>
        <v>MSD</v>
      </c>
      <c r="AD454" t="str">
        <f t="shared" si="84"/>
        <v>MDO/MGO</v>
      </c>
      <c r="AE454" t="str">
        <f t="shared" si="85"/>
        <v>ST</v>
      </c>
      <c r="AG454">
        <f>Alukset_Käynnit!O461</f>
        <v>0</v>
      </c>
      <c r="AH454" s="207">
        <f>IF(AA454="SSD",((U454*Alukset_fx!$B$24)*Alukset_Käynnit_Lask!W454*(Alukset_fx!$K$49)/1000),IF(AA454="MSD",((U454*Alukset_fx!$B$24)*Alukset_Käynnit_Lask!W454*(Alukset_fx!$K$52)/1000),IF(AA454="HSD",((U454*Alukset_fx!$B$24)*Alukset_Käynnit_Lask!W454*(Alukset_fx!$K$55)/1000),0)))</f>
        <v>0</v>
      </c>
      <c r="AI454" s="207">
        <f>IF(AC454="MSD",((V454*Alukset_fx!$B$25)*Alukset_Käynnit_Lask!W454*(Alukset_fx!$L$52)/1000),IF(AC454="HSD",((V454*Alukset_fx!$B$25)*Alukset_Käynnit_Lask!W454*(Alukset_fx!$L$55)/1000),0))</f>
        <v>0</v>
      </c>
      <c r="AJ454" s="207">
        <f>X454*W454*Alukset_fx!$K$61/1000</f>
        <v>0</v>
      </c>
      <c r="AK454">
        <v>0</v>
      </c>
      <c r="AL454" s="207">
        <f>IF(AG454="Käytetty",0,IF(AC454="MSD",((V454*Alukset_fx!$O$25)*Alukset_Käynnit_Lask!O454*(Alukset_fx!$L$52)/1000),IF(AC454="HSD",((V454*Alukset_fx!$O$25)*Alukset_Käynnit_Lask!O454*(Alukset_fx!$L$55)/1000),0)))</f>
        <v>0</v>
      </c>
      <c r="AM454" s="207">
        <f>IF(AG454="Käytetty",0,Y454*O454*Alukset_fx!$K$61/1000)</f>
        <v>0</v>
      </c>
      <c r="AN454" s="213">
        <f t="shared" si="86"/>
        <v>0</v>
      </c>
    </row>
    <row r="455" spans="1:40" x14ac:dyDescent="0.25">
      <c r="A455" s="203">
        <f>Alukset_Käynnit!A462</f>
        <v>0</v>
      </c>
      <c r="B455" s="203">
        <f>Alukset_Käynnit!B462</f>
        <v>0</v>
      </c>
      <c r="C455" s="262">
        <f>Alukset_Käynnit!C462</f>
        <v>0</v>
      </c>
      <c r="D455" s="266">
        <f>Alukset_Käynnit!D462</f>
        <v>0</v>
      </c>
      <c r="E455" s="262">
        <f>Alukset_Käynnit!E462</f>
        <v>0</v>
      </c>
      <c r="F455" s="262">
        <f>Alukset_Käynnit!F462</f>
        <v>0</v>
      </c>
      <c r="G455" s="262">
        <f>Alukset_Käynnit!G462</f>
        <v>0</v>
      </c>
      <c r="H455" s="262">
        <f>Alukset_Käynnit!H462</f>
        <v>0</v>
      </c>
      <c r="I455" s="262">
        <f>Alukset_Käynnit!I462</f>
        <v>0</v>
      </c>
      <c r="J455" s="262">
        <f>Alukset_Käynnit!J462</f>
        <v>0</v>
      </c>
      <c r="K455" s="262">
        <f>Alukset_Käynnit!K462</f>
        <v>0</v>
      </c>
      <c r="L455" s="205">
        <f>Alukset_Käynnit!L462</f>
        <v>0</v>
      </c>
      <c r="N455" s="273">
        <f t="shared" si="87"/>
        <v>0</v>
      </c>
      <c r="O455" s="274">
        <f t="shared" si="88"/>
        <v>0</v>
      </c>
      <c r="Q455" s="204">
        <f t="shared" si="77"/>
        <v>0</v>
      </c>
      <c r="R455" s="202">
        <f>IF(Q455="Other dry cargo",L455*Alukset_fx!$B$71,IF(OR(Q455="Dry bulk",Q455="Bulk carrier"),L455*Alukset_fx!$B$69,IF(Q455="Tugboat",L455*Alukset_fx!$B$76,IF(OR(Q455="Tanker",Q455="Gas tanker",Q455="Chemical tanker",Q455="Oil tanker"),L455*Alukset_fx!$B$68,IF(OR(Q455="RoRo",Q455="Vehicle carrier"),L455*Alukset_fx!$B$72,IF(Q455="RoPax",L455*Alukset_fx!$B$73,IF(Q455="Container ship",L455*Alukset_fx!$B$70,IF(Q455="Barge",0,L455*Alukset_fx!$B$75))))))))</f>
        <v>0</v>
      </c>
      <c r="S455" s="210">
        <f>IF(L455=0,IF(Q455="Other dry cargo",Alukset_fx!$H$73*(Alukset_Käynnit_Lask!K455^Alukset_fx!$I$73),IF(OR(Q455="Dry Bulk",Q455="Bulk carrier"),Alukset_fx!$H$71*(Alukset_Käynnit_Lask!K455^Alukset_fx!$I$71),IF(Q455="Tugboat",Alukset_fx!$H$78*(Alukset_Käynnit_Lask!K455^Alukset_fx!$I$78),IF(OR(Q455="Tanker",Q455="Gas tanker",Q455="Chemical tanker",Q455="Oil tanker"),Alukset_fx!$H$70*(Alukset_Käynnit_Lask!K455^Alukset_fx!$I$70),IF(Q455="Container ship",Alukset_fx!$H$72*(Alukset_Käynnit_Lask!K455^Alukset_fx!$I$72),IF(Q455="Barge",0,IF(Q455="RoPax",Alukset_fx!$H$75*(Alukset_Käynnit_Lask!K455^Alukset_fx!$I$75),IF(OR(Q455="RoRo",Q455="Vehicle carrier"),Alukset_fx!$H$74*(Alukset_Käynnit_Lask!K455^Alukset_fx!$I$74),Alukset_fx!$H$77*(Alukset_Käynnit_Lask!K455^Alukset_fx!$I$77))))))))),"-")</f>
        <v>0</v>
      </c>
      <c r="T455" s="208">
        <f>IF(R455=0,IF(Q455="Other dry cargo",S455*Alukset_fx!$B$71,IF(OR(Q455="Dry bulk",Q455="Bulk carrier"),S455*Alukset_fx!$B$69,IF(Q455="Tugboat",S455*Alukset_fx!$B$76,IF(OR(Q455="Tanker",Q455="Gas tanker",Q455="Chemical tanker",Q455="Oil tanker"),S455*Alukset_fx!$B$68,IF(OR(Q455="RoRo",Q455="Vehicle carrier"),S455*Alukset_fx!$B$72,IF(Q455="RoPax",S455*Alukset_fx!$B$73,IF(Q455="Container ship",S455*Alukset_fx!$B$70,S455*Alukset_fx!$B$75))))))),"-")</f>
        <v>0</v>
      </c>
      <c r="U455" s="208">
        <f t="shared" si="78"/>
        <v>0</v>
      </c>
      <c r="V455" s="208">
        <f t="shared" si="79"/>
        <v>0</v>
      </c>
      <c r="W455" s="202">
        <f>Alukset_Käynnit!N462</f>
        <v>0</v>
      </c>
      <c r="X455" s="211">
        <f>IF(Q455="Other dry cargo", Alukset_fx!$C$52, IF(OR(Q455="Dry bulk",Q455="Bulk carrier"),Alukset_fx!$C$35,IF(OR(Q455="Tanker",Q455="Gas tanker",Q455="Oil tanker"),Alukset_fx!$C$57,IF(Q455="Chemical tanker",Alukset_fx!$C$56,IF(OR(Q455="Tugboat",Q455="Barge"),0,IF(Q455="Other vessel",Alukset_fx!$C$54,IF(Q455="Container ship",Alukset_fx!$C$37,IF(OR(Q455="RoPax",Q455="RoRo",Q455="Vehicle carrier"),Alukset_fx!$C$55,0))))))))</f>
        <v>0</v>
      </c>
      <c r="Y455" s="211">
        <f>IF(Q455="Other dry cargo", Alukset_fx!$Q$52, IF(OR(Q455="Dry bulk",Q455="Bulk carrier"),Alukset_fx!$Q$35,IF(OR(Q455="Tanker",Q455="Gas tanker",Q455="Oil tanker"),Alukset_fx!$Q$57,IF(Q455="Chemical tanker",Alukset_fx!$Q$56,IF(OR(Q455="Tugboat",Q455="Barge"),0,IF(Q455="Other vessel",Alukset_fx!$Q$54,IF(Q455="Container ship",Alukset_fx!$Q$37,IF(OR(Q455="RoPax",Q455="RoRo",Q455="Vehicle carrier"),Alukset_fx!$Q$55,0))))))))</f>
        <v>0</v>
      </c>
      <c r="Z455" t="str">
        <f t="shared" si="80"/>
        <v>MDO/MGO</v>
      </c>
      <c r="AA455" t="str">
        <f t="shared" si="81"/>
        <v>MSD</v>
      </c>
      <c r="AB455" t="str">
        <f t="shared" si="82"/>
        <v>MDO/MGO</v>
      </c>
      <c r="AC455" t="str">
        <f t="shared" si="83"/>
        <v>MSD</v>
      </c>
      <c r="AD455" t="str">
        <f t="shared" si="84"/>
        <v>MDO/MGO</v>
      </c>
      <c r="AE455" t="str">
        <f t="shared" si="85"/>
        <v>ST</v>
      </c>
      <c r="AG455">
        <f>Alukset_Käynnit!O462</f>
        <v>0</v>
      </c>
      <c r="AH455" s="207">
        <f>IF(AA455="SSD",((U455*Alukset_fx!$B$24)*Alukset_Käynnit_Lask!W455*(Alukset_fx!$K$49)/1000),IF(AA455="MSD",((U455*Alukset_fx!$B$24)*Alukset_Käynnit_Lask!W455*(Alukset_fx!$K$52)/1000),IF(AA455="HSD",((U455*Alukset_fx!$B$24)*Alukset_Käynnit_Lask!W455*(Alukset_fx!$K$55)/1000),0)))</f>
        <v>0</v>
      </c>
      <c r="AI455" s="207">
        <f>IF(AC455="MSD",((V455*Alukset_fx!$B$25)*Alukset_Käynnit_Lask!W455*(Alukset_fx!$L$52)/1000),IF(AC455="HSD",((V455*Alukset_fx!$B$25)*Alukset_Käynnit_Lask!W455*(Alukset_fx!$L$55)/1000),0))</f>
        <v>0</v>
      </c>
      <c r="AJ455" s="207">
        <f>X455*W455*Alukset_fx!$K$61/1000</f>
        <v>0</v>
      </c>
      <c r="AK455">
        <v>0</v>
      </c>
      <c r="AL455" s="207">
        <f>IF(AG455="Käytetty",0,IF(AC455="MSD",((V455*Alukset_fx!$O$25)*Alukset_Käynnit_Lask!O455*(Alukset_fx!$L$52)/1000),IF(AC455="HSD",((V455*Alukset_fx!$O$25)*Alukset_Käynnit_Lask!O455*(Alukset_fx!$L$55)/1000),0)))</f>
        <v>0</v>
      </c>
      <c r="AM455" s="207">
        <f>IF(AG455="Käytetty",0,Y455*O455*Alukset_fx!$K$61/1000)</f>
        <v>0</v>
      </c>
      <c r="AN455" s="213">
        <f t="shared" si="86"/>
        <v>0</v>
      </c>
    </row>
    <row r="456" spans="1:40" x14ac:dyDescent="0.25">
      <c r="A456" s="203">
        <f>Alukset_Käynnit!A463</f>
        <v>0</v>
      </c>
      <c r="B456" s="203">
        <f>Alukset_Käynnit!B463</f>
        <v>0</v>
      </c>
      <c r="C456" s="262">
        <f>Alukset_Käynnit!C463</f>
        <v>0</v>
      </c>
      <c r="D456" s="266">
        <f>Alukset_Käynnit!D463</f>
        <v>0</v>
      </c>
      <c r="E456" s="262">
        <f>Alukset_Käynnit!E463</f>
        <v>0</v>
      </c>
      <c r="F456" s="262">
        <f>Alukset_Käynnit!F463</f>
        <v>0</v>
      </c>
      <c r="G456" s="262">
        <f>Alukset_Käynnit!G463</f>
        <v>0</v>
      </c>
      <c r="H456" s="262">
        <f>Alukset_Käynnit!H463</f>
        <v>0</v>
      </c>
      <c r="I456" s="262">
        <f>Alukset_Käynnit!I463</f>
        <v>0</v>
      </c>
      <c r="J456" s="262">
        <f>Alukset_Käynnit!J463</f>
        <v>0</v>
      </c>
      <c r="K456" s="262">
        <f>Alukset_Käynnit!K463</f>
        <v>0</v>
      </c>
      <c r="L456" s="205">
        <f>Alukset_Käynnit!L463</f>
        <v>0</v>
      </c>
      <c r="N456" s="273">
        <f t="shared" si="87"/>
        <v>0</v>
      </c>
      <c r="O456" s="274">
        <f t="shared" si="88"/>
        <v>0</v>
      </c>
      <c r="Q456" s="204">
        <f t="shared" si="77"/>
        <v>0</v>
      </c>
      <c r="R456" s="202">
        <f>IF(Q456="Other dry cargo",L456*Alukset_fx!$B$71,IF(OR(Q456="Dry bulk",Q456="Bulk carrier"),L456*Alukset_fx!$B$69,IF(Q456="Tugboat",L456*Alukset_fx!$B$76,IF(OR(Q456="Tanker",Q456="Gas tanker",Q456="Chemical tanker",Q456="Oil tanker"),L456*Alukset_fx!$B$68,IF(OR(Q456="RoRo",Q456="Vehicle carrier"),L456*Alukset_fx!$B$72,IF(Q456="RoPax",L456*Alukset_fx!$B$73,IF(Q456="Container ship",L456*Alukset_fx!$B$70,IF(Q456="Barge",0,L456*Alukset_fx!$B$75))))))))</f>
        <v>0</v>
      </c>
      <c r="S456" s="210">
        <f>IF(L456=0,IF(Q456="Other dry cargo",Alukset_fx!$H$73*(Alukset_Käynnit_Lask!K456^Alukset_fx!$I$73),IF(OR(Q456="Dry Bulk",Q456="Bulk carrier"),Alukset_fx!$H$71*(Alukset_Käynnit_Lask!K456^Alukset_fx!$I$71),IF(Q456="Tugboat",Alukset_fx!$H$78*(Alukset_Käynnit_Lask!K456^Alukset_fx!$I$78),IF(OR(Q456="Tanker",Q456="Gas tanker",Q456="Chemical tanker",Q456="Oil tanker"),Alukset_fx!$H$70*(Alukset_Käynnit_Lask!K456^Alukset_fx!$I$70),IF(Q456="Container ship",Alukset_fx!$H$72*(Alukset_Käynnit_Lask!K456^Alukset_fx!$I$72),IF(Q456="Barge",0,IF(Q456="RoPax",Alukset_fx!$H$75*(Alukset_Käynnit_Lask!K456^Alukset_fx!$I$75),IF(OR(Q456="RoRo",Q456="Vehicle carrier"),Alukset_fx!$H$74*(Alukset_Käynnit_Lask!K456^Alukset_fx!$I$74),Alukset_fx!$H$77*(Alukset_Käynnit_Lask!K456^Alukset_fx!$I$77))))))))),"-")</f>
        <v>0</v>
      </c>
      <c r="T456" s="208">
        <f>IF(R456=0,IF(Q456="Other dry cargo",S456*Alukset_fx!$B$71,IF(OR(Q456="Dry bulk",Q456="Bulk carrier"),S456*Alukset_fx!$B$69,IF(Q456="Tugboat",S456*Alukset_fx!$B$76,IF(OR(Q456="Tanker",Q456="Gas tanker",Q456="Chemical tanker",Q456="Oil tanker"),S456*Alukset_fx!$B$68,IF(OR(Q456="RoRo",Q456="Vehicle carrier"),S456*Alukset_fx!$B$72,IF(Q456="RoPax",S456*Alukset_fx!$B$73,IF(Q456="Container ship",S456*Alukset_fx!$B$70,S456*Alukset_fx!$B$75))))))),"-")</f>
        <v>0</v>
      </c>
      <c r="U456" s="208">
        <f t="shared" si="78"/>
        <v>0</v>
      </c>
      <c r="V456" s="208">
        <f t="shared" si="79"/>
        <v>0</v>
      </c>
      <c r="W456" s="202">
        <f>Alukset_Käynnit!N463</f>
        <v>0</v>
      </c>
      <c r="X456" s="211">
        <f>IF(Q456="Other dry cargo", Alukset_fx!$C$52, IF(OR(Q456="Dry bulk",Q456="Bulk carrier"),Alukset_fx!$C$35,IF(OR(Q456="Tanker",Q456="Gas tanker",Q456="Oil tanker"),Alukset_fx!$C$57,IF(Q456="Chemical tanker",Alukset_fx!$C$56,IF(OR(Q456="Tugboat",Q456="Barge"),0,IF(Q456="Other vessel",Alukset_fx!$C$54,IF(Q456="Container ship",Alukset_fx!$C$37,IF(OR(Q456="RoPax",Q456="RoRo",Q456="Vehicle carrier"),Alukset_fx!$C$55,0))))))))</f>
        <v>0</v>
      </c>
      <c r="Y456" s="211">
        <f>IF(Q456="Other dry cargo", Alukset_fx!$Q$52, IF(OR(Q456="Dry bulk",Q456="Bulk carrier"),Alukset_fx!$Q$35,IF(OR(Q456="Tanker",Q456="Gas tanker",Q456="Oil tanker"),Alukset_fx!$Q$57,IF(Q456="Chemical tanker",Alukset_fx!$Q$56,IF(OR(Q456="Tugboat",Q456="Barge"),0,IF(Q456="Other vessel",Alukset_fx!$Q$54,IF(Q456="Container ship",Alukset_fx!$Q$37,IF(OR(Q456="RoPax",Q456="RoRo",Q456="Vehicle carrier"),Alukset_fx!$Q$55,0))))))))</f>
        <v>0</v>
      </c>
      <c r="Z456" t="str">
        <f t="shared" si="80"/>
        <v>MDO/MGO</v>
      </c>
      <c r="AA456" t="str">
        <f t="shared" si="81"/>
        <v>MSD</v>
      </c>
      <c r="AB456" t="str">
        <f t="shared" si="82"/>
        <v>MDO/MGO</v>
      </c>
      <c r="AC456" t="str">
        <f t="shared" si="83"/>
        <v>MSD</v>
      </c>
      <c r="AD456" t="str">
        <f t="shared" si="84"/>
        <v>MDO/MGO</v>
      </c>
      <c r="AE456" t="str">
        <f t="shared" si="85"/>
        <v>ST</v>
      </c>
      <c r="AG456">
        <f>Alukset_Käynnit!O463</f>
        <v>0</v>
      </c>
      <c r="AH456" s="207">
        <f>IF(AA456="SSD",((U456*Alukset_fx!$B$24)*Alukset_Käynnit_Lask!W456*(Alukset_fx!$K$49)/1000),IF(AA456="MSD",((U456*Alukset_fx!$B$24)*Alukset_Käynnit_Lask!W456*(Alukset_fx!$K$52)/1000),IF(AA456="HSD",((U456*Alukset_fx!$B$24)*Alukset_Käynnit_Lask!W456*(Alukset_fx!$K$55)/1000),0)))</f>
        <v>0</v>
      </c>
      <c r="AI456" s="207">
        <f>IF(AC456="MSD",((V456*Alukset_fx!$B$25)*Alukset_Käynnit_Lask!W456*(Alukset_fx!$L$52)/1000),IF(AC456="HSD",((V456*Alukset_fx!$B$25)*Alukset_Käynnit_Lask!W456*(Alukset_fx!$L$55)/1000),0))</f>
        <v>0</v>
      </c>
      <c r="AJ456" s="207">
        <f>X456*W456*Alukset_fx!$K$61/1000</f>
        <v>0</v>
      </c>
      <c r="AK456">
        <v>0</v>
      </c>
      <c r="AL456" s="207">
        <f>IF(AG456="Käytetty",0,IF(AC456="MSD",((V456*Alukset_fx!$O$25)*Alukset_Käynnit_Lask!O456*(Alukset_fx!$L$52)/1000),IF(AC456="HSD",((V456*Alukset_fx!$O$25)*Alukset_Käynnit_Lask!O456*(Alukset_fx!$L$55)/1000),0)))</f>
        <v>0</v>
      </c>
      <c r="AM456" s="207">
        <f>IF(AG456="Käytetty",0,Y456*O456*Alukset_fx!$K$61/1000)</f>
        <v>0</v>
      </c>
      <c r="AN456" s="213">
        <f t="shared" si="86"/>
        <v>0</v>
      </c>
    </row>
    <row r="457" spans="1:40" x14ac:dyDescent="0.25">
      <c r="A457" s="203">
        <f>Alukset_Käynnit!A464</f>
        <v>0</v>
      </c>
      <c r="B457" s="203">
        <f>Alukset_Käynnit!B464</f>
        <v>0</v>
      </c>
      <c r="C457" s="262">
        <f>Alukset_Käynnit!C464</f>
        <v>0</v>
      </c>
      <c r="D457" s="266">
        <f>Alukset_Käynnit!D464</f>
        <v>0</v>
      </c>
      <c r="E457" s="262">
        <f>Alukset_Käynnit!E464</f>
        <v>0</v>
      </c>
      <c r="F457" s="262">
        <f>Alukset_Käynnit!F464</f>
        <v>0</v>
      </c>
      <c r="G457" s="262">
        <f>Alukset_Käynnit!G464</f>
        <v>0</v>
      </c>
      <c r="H457" s="262">
        <f>Alukset_Käynnit!H464</f>
        <v>0</v>
      </c>
      <c r="I457" s="262">
        <f>Alukset_Käynnit!I464</f>
        <v>0</v>
      </c>
      <c r="J457" s="262">
        <f>Alukset_Käynnit!J464</f>
        <v>0</v>
      </c>
      <c r="K457" s="262">
        <f>Alukset_Käynnit!K464</f>
        <v>0</v>
      </c>
      <c r="L457" s="205">
        <f>Alukset_Käynnit!L464</f>
        <v>0</v>
      </c>
      <c r="N457" s="273">
        <f t="shared" si="87"/>
        <v>0</v>
      </c>
      <c r="O457" s="274">
        <f t="shared" si="88"/>
        <v>0</v>
      </c>
      <c r="Q457" s="204">
        <f t="shared" si="77"/>
        <v>0</v>
      </c>
      <c r="R457" s="202">
        <f>IF(Q457="Other dry cargo",L457*Alukset_fx!$B$71,IF(OR(Q457="Dry bulk",Q457="Bulk carrier"),L457*Alukset_fx!$B$69,IF(Q457="Tugboat",L457*Alukset_fx!$B$76,IF(OR(Q457="Tanker",Q457="Gas tanker",Q457="Chemical tanker",Q457="Oil tanker"),L457*Alukset_fx!$B$68,IF(OR(Q457="RoRo",Q457="Vehicle carrier"),L457*Alukset_fx!$B$72,IF(Q457="RoPax",L457*Alukset_fx!$B$73,IF(Q457="Container ship",L457*Alukset_fx!$B$70,IF(Q457="Barge",0,L457*Alukset_fx!$B$75))))))))</f>
        <v>0</v>
      </c>
      <c r="S457" s="210">
        <f>IF(L457=0,IF(Q457="Other dry cargo",Alukset_fx!$H$73*(Alukset_Käynnit_Lask!K457^Alukset_fx!$I$73),IF(OR(Q457="Dry Bulk",Q457="Bulk carrier"),Alukset_fx!$H$71*(Alukset_Käynnit_Lask!K457^Alukset_fx!$I$71),IF(Q457="Tugboat",Alukset_fx!$H$78*(Alukset_Käynnit_Lask!K457^Alukset_fx!$I$78),IF(OR(Q457="Tanker",Q457="Gas tanker",Q457="Chemical tanker",Q457="Oil tanker"),Alukset_fx!$H$70*(Alukset_Käynnit_Lask!K457^Alukset_fx!$I$70),IF(Q457="Container ship",Alukset_fx!$H$72*(Alukset_Käynnit_Lask!K457^Alukset_fx!$I$72),IF(Q457="Barge",0,IF(Q457="RoPax",Alukset_fx!$H$75*(Alukset_Käynnit_Lask!K457^Alukset_fx!$I$75),IF(OR(Q457="RoRo",Q457="Vehicle carrier"),Alukset_fx!$H$74*(Alukset_Käynnit_Lask!K457^Alukset_fx!$I$74),Alukset_fx!$H$77*(Alukset_Käynnit_Lask!K457^Alukset_fx!$I$77))))))))),"-")</f>
        <v>0</v>
      </c>
      <c r="T457" s="208">
        <f>IF(R457=0,IF(Q457="Other dry cargo",S457*Alukset_fx!$B$71,IF(OR(Q457="Dry bulk",Q457="Bulk carrier"),S457*Alukset_fx!$B$69,IF(Q457="Tugboat",S457*Alukset_fx!$B$76,IF(OR(Q457="Tanker",Q457="Gas tanker",Q457="Chemical tanker",Q457="Oil tanker"),S457*Alukset_fx!$B$68,IF(OR(Q457="RoRo",Q457="Vehicle carrier"),S457*Alukset_fx!$B$72,IF(Q457="RoPax",S457*Alukset_fx!$B$73,IF(Q457="Container ship",S457*Alukset_fx!$B$70,S457*Alukset_fx!$B$75))))))),"-")</f>
        <v>0</v>
      </c>
      <c r="U457" s="208">
        <f t="shared" si="78"/>
        <v>0</v>
      </c>
      <c r="V457" s="208">
        <f t="shared" si="79"/>
        <v>0</v>
      </c>
      <c r="W457" s="202">
        <f>Alukset_Käynnit!N464</f>
        <v>0</v>
      </c>
      <c r="X457" s="211">
        <f>IF(Q457="Other dry cargo", Alukset_fx!$C$52, IF(OR(Q457="Dry bulk",Q457="Bulk carrier"),Alukset_fx!$C$35,IF(OR(Q457="Tanker",Q457="Gas tanker",Q457="Oil tanker"),Alukset_fx!$C$57,IF(Q457="Chemical tanker",Alukset_fx!$C$56,IF(OR(Q457="Tugboat",Q457="Barge"),0,IF(Q457="Other vessel",Alukset_fx!$C$54,IF(Q457="Container ship",Alukset_fx!$C$37,IF(OR(Q457="RoPax",Q457="RoRo",Q457="Vehicle carrier"),Alukset_fx!$C$55,0))))))))</f>
        <v>0</v>
      </c>
      <c r="Y457" s="211">
        <f>IF(Q457="Other dry cargo", Alukset_fx!$Q$52, IF(OR(Q457="Dry bulk",Q457="Bulk carrier"),Alukset_fx!$Q$35,IF(OR(Q457="Tanker",Q457="Gas tanker",Q457="Oil tanker"),Alukset_fx!$Q$57,IF(Q457="Chemical tanker",Alukset_fx!$Q$56,IF(OR(Q457="Tugboat",Q457="Barge"),0,IF(Q457="Other vessel",Alukset_fx!$Q$54,IF(Q457="Container ship",Alukset_fx!$Q$37,IF(OR(Q457="RoPax",Q457="RoRo",Q457="Vehicle carrier"),Alukset_fx!$Q$55,0))))))))</f>
        <v>0</v>
      </c>
      <c r="Z457" t="str">
        <f t="shared" si="80"/>
        <v>MDO/MGO</v>
      </c>
      <c r="AA457" t="str">
        <f t="shared" si="81"/>
        <v>MSD</v>
      </c>
      <c r="AB457" t="str">
        <f t="shared" si="82"/>
        <v>MDO/MGO</v>
      </c>
      <c r="AC457" t="str">
        <f t="shared" si="83"/>
        <v>MSD</v>
      </c>
      <c r="AD457" t="str">
        <f t="shared" si="84"/>
        <v>MDO/MGO</v>
      </c>
      <c r="AE457" t="str">
        <f t="shared" si="85"/>
        <v>ST</v>
      </c>
      <c r="AG457">
        <f>Alukset_Käynnit!O464</f>
        <v>0</v>
      </c>
      <c r="AH457" s="207">
        <f>IF(AA457="SSD",((U457*Alukset_fx!$B$24)*Alukset_Käynnit_Lask!W457*(Alukset_fx!$K$49)/1000),IF(AA457="MSD",((U457*Alukset_fx!$B$24)*Alukset_Käynnit_Lask!W457*(Alukset_fx!$K$52)/1000),IF(AA457="HSD",((U457*Alukset_fx!$B$24)*Alukset_Käynnit_Lask!W457*(Alukset_fx!$K$55)/1000),0)))</f>
        <v>0</v>
      </c>
      <c r="AI457" s="207">
        <f>IF(AC457="MSD",((V457*Alukset_fx!$B$25)*Alukset_Käynnit_Lask!W457*(Alukset_fx!$L$52)/1000),IF(AC457="HSD",((V457*Alukset_fx!$B$25)*Alukset_Käynnit_Lask!W457*(Alukset_fx!$L$55)/1000),0))</f>
        <v>0</v>
      </c>
      <c r="AJ457" s="207">
        <f>X457*W457*Alukset_fx!$K$61/1000</f>
        <v>0</v>
      </c>
      <c r="AK457">
        <v>0</v>
      </c>
      <c r="AL457" s="207">
        <f>IF(AG457="Käytetty",0,IF(AC457="MSD",((V457*Alukset_fx!$O$25)*Alukset_Käynnit_Lask!O457*(Alukset_fx!$L$52)/1000),IF(AC457="HSD",((V457*Alukset_fx!$O$25)*Alukset_Käynnit_Lask!O457*(Alukset_fx!$L$55)/1000),0)))</f>
        <v>0</v>
      </c>
      <c r="AM457" s="207">
        <f>IF(AG457="Käytetty",0,Y457*O457*Alukset_fx!$K$61/1000)</f>
        <v>0</v>
      </c>
      <c r="AN457" s="213">
        <f t="shared" si="86"/>
        <v>0</v>
      </c>
    </row>
    <row r="458" spans="1:40" x14ac:dyDescent="0.25">
      <c r="A458" s="203">
        <f>Alukset_Käynnit!A465</f>
        <v>0</v>
      </c>
      <c r="B458" s="203">
        <f>Alukset_Käynnit!B465</f>
        <v>0</v>
      </c>
      <c r="C458" s="262">
        <f>Alukset_Käynnit!C465</f>
        <v>0</v>
      </c>
      <c r="D458" s="266">
        <f>Alukset_Käynnit!D465</f>
        <v>0</v>
      </c>
      <c r="E458" s="262">
        <f>Alukset_Käynnit!E465</f>
        <v>0</v>
      </c>
      <c r="F458" s="262">
        <f>Alukset_Käynnit!F465</f>
        <v>0</v>
      </c>
      <c r="G458" s="262">
        <f>Alukset_Käynnit!G465</f>
        <v>0</v>
      </c>
      <c r="H458" s="262">
        <f>Alukset_Käynnit!H465</f>
        <v>0</v>
      </c>
      <c r="I458" s="262">
        <f>Alukset_Käynnit!I465</f>
        <v>0</v>
      </c>
      <c r="J458" s="262">
        <f>Alukset_Käynnit!J465</f>
        <v>0</v>
      </c>
      <c r="K458" s="262">
        <f>Alukset_Käynnit!K465</f>
        <v>0</v>
      </c>
      <c r="L458" s="205">
        <f>Alukset_Käynnit!L465</f>
        <v>0</v>
      </c>
      <c r="N458" s="273">
        <f t="shared" si="87"/>
        <v>0</v>
      </c>
      <c r="O458" s="274">
        <f t="shared" si="88"/>
        <v>0</v>
      </c>
      <c r="Q458" s="204">
        <f t="shared" si="77"/>
        <v>0</v>
      </c>
      <c r="R458" s="202">
        <f>IF(Q458="Other dry cargo",L458*Alukset_fx!$B$71,IF(OR(Q458="Dry bulk",Q458="Bulk carrier"),L458*Alukset_fx!$B$69,IF(Q458="Tugboat",L458*Alukset_fx!$B$76,IF(OR(Q458="Tanker",Q458="Gas tanker",Q458="Chemical tanker",Q458="Oil tanker"),L458*Alukset_fx!$B$68,IF(OR(Q458="RoRo",Q458="Vehicle carrier"),L458*Alukset_fx!$B$72,IF(Q458="RoPax",L458*Alukset_fx!$B$73,IF(Q458="Container ship",L458*Alukset_fx!$B$70,IF(Q458="Barge",0,L458*Alukset_fx!$B$75))))))))</f>
        <v>0</v>
      </c>
      <c r="S458" s="210">
        <f>IF(L458=0,IF(Q458="Other dry cargo",Alukset_fx!$H$73*(Alukset_Käynnit_Lask!K458^Alukset_fx!$I$73),IF(OR(Q458="Dry Bulk",Q458="Bulk carrier"),Alukset_fx!$H$71*(Alukset_Käynnit_Lask!K458^Alukset_fx!$I$71),IF(Q458="Tugboat",Alukset_fx!$H$78*(Alukset_Käynnit_Lask!K458^Alukset_fx!$I$78),IF(OR(Q458="Tanker",Q458="Gas tanker",Q458="Chemical tanker",Q458="Oil tanker"),Alukset_fx!$H$70*(Alukset_Käynnit_Lask!K458^Alukset_fx!$I$70),IF(Q458="Container ship",Alukset_fx!$H$72*(Alukset_Käynnit_Lask!K458^Alukset_fx!$I$72),IF(Q458="Barge",0,IF(Q458="RoPax",Alukset_fx!$H$75*(Alukset_Käynnit_Lask!K458^Alukset_fx!$I$75),IF(OR(Q458="RoRo",Q458="Vehicle carrier"),Alukset_fx!$H$74*(Alukset_Käynnit_Lask!K458^Alukset_fx!$I$74),Alukset_fx!$H$77*(Alukset_Käynnit_Lask!K458^Alukset_fx!$I$77))))))))),"-")</f>
        <v>0</v>
      </c>
      <c r="T458" s="208">
        <f>IF(R458=0,IF(Q458="Other dry cargo",S458*Alukset_fx!$B$71,IF(OR(Q458="Dry bulk",Q458="Bulk carrier"),S458*Alukset_fx!$B$69,IF(Q458="Tugboat",S458*Alukset_fx!$B$76,IF(OR(Q458="Tanker",Q458="Gas tanker",Q458="Chemical tanker",Q458="Oil tanker"),S458*Alukset_fx!$B$68,IF(OR(Q458="RoRo",Q458="Vehicle carrier"),S458*Alukset_fx!$B$72,IF(Q458="RoPax",S458*Alukset_fx!$B$73,IF(Q458="Container ship",S458*Alukset_fx!$B$70,S458*Alukset_fx!$B$75))))))),"-")</f>
        <v>0</v>
      </c>
      <c r="U458" s="208">
        <f t="shared" si="78"/>
        <v>0</v>
      </c>
      <c r="V458" s="208">
        <f t="shared" si="79"/>
        <v>0</v>
      </c>
      <c r="W458" s="202">
        <f>Alukset_Käynnit!N465</f>
        <v>0</v>
      </c>
      <c r="X458" s="211">
        <f>IF(Q458="Other dry cargo", Alukset_fx!$C$52, IF(OR(Q458="Dry bulk",Q458="Bulk carrier"),Alukset_fx!$C$35,IF(OR(Q458="Tanker",Q458="Gas tanker",Q458="Oil tanker"),Alukset_fx!$C$57,IF(Q458="Chemical tanker",Alukset_fx!$C$56,IF(OR(Q458="Tugboat",Q458="Barge"),0,IF(Q458="Other vessel",Alukset_fx!$C$54,IF(Q458="Container ship",Alukset_fx!$C$37,IF(OR(Q458="RoPax",Q458="RoRo",Q458="Vehicle carrier"),Alukset_fx!$C$55,0))))))))</f>
        <v>0</v>
      </c>
      <c r="Y458" s="211">
        <f>IF(Q458="Other dry cargo", Alukset_fx!$Q$52, IF(OR(Q458="Dry bulk",Q458="Bulk carrier"),Alukset_fx!$Q$35,IF(OR(Q458="Tanker",Q458="Gas tanker",Q458="Oil tanker"),Alukset_fx!$Q$57,IF(Q458="Chemical tanker",Alukset_fx!$Q$56,IF(OR(Q458="Tugboat",Q458="Barge"),0,IF(Q458="Other vessel",Alukset_fx!$Q$54,IF(Q458="Container ship",Alukset_fx!$Q$37,IF(OR(Q458="RoPax",Q458="RoRo",Q458="Vehicle carrier"),Alukset_fx!$Q$55,0))))))))</f>
        <v>0</v>
      </c>
      <c r="Z458" t="str">
        <f t="shared" si="80"/>
        <v>MDO/MGO</v>
      </c>
      <c r="AA458" t="str">
        <f t="shared" si="81"/>
        <v>MSD</v>
      </c>
      <c r="AB458" t="str">
        <f t="shared" si="82"/>
        <v>MDO/MGO</v>
      </c>
      <c r="AC458" t="str">
        <f t="shared" si="83"/>
        <v>MSD</v>
      </c>
      <c r="AD458" t="str">
        <f t="shared" si="84"/>
        <v>MDO/MGO</v>
      </c>
      <c r="AE458" t="str">
        <f t="shared" si="85"/>
        <v>ST</v>
      </c>
      <c r="AG458">
        <f>Alukset_Käynnit!O465</f>
        <v>0</v>
      </c>
      <c r="AH458" s="207">
        <f>IF(AA458="SSD",((U458*Alukset_fx!$B$24)*Alukset_Käynnit_Lask!W458*(Alukset_fx!$K$49)/1000),IF(AA458="MSD",((U458*Alukset_fx!$B$24)*Alukset_Käynnit_Lask!W458*(Alukset_fx!$K$52)/1000),IF(AA458="HSD",((U458*Alukset_fx!$B$24)*Alukset_Käynnit_Lask!W458*(Alukset_fx!$K$55)/1000),0)))</f>
        <v>0</v>
      </c>
      <c r="AI458" s="207">
        <f>IF(AC458="MSD",((V458*Alukset_fx!$B$25)*Alukset_Käynnit_Lask!W458*(Alukset_fx!$L$52)/1000),IF(AC458="HSD",((V458*Alukset_fx!$B$25)*Alukset_Käynnit_Lask!W458*(Alukset_fx!$L$55)/1000),0))</f>
        <v>0</v>
      </c>
      <c r="AJ458" s="207">
        <f>X458*W458*Alukset_fx!$K$61/1000</f>
        <v>0</v>
      </c>
      <c r="AK458">
        <v>0</v>
      </c>
      <c r="AL458" s="207">
        <f>IF(AG458="Käytetty",0,IF(AC458="MSD",((V458*Alukset_fx!$O$25)*Alukset_Käynnit_Lask!O458*(Alukset_fx!$L$52)/1000),IF(AC458="HSD",((V458*Alukset_fx!$O$25)*Alukset_Käynnit_Lask!O458*(Alukset_fx!$L$55)/1000),0)))</f>
        <v>0</v>
      </c>
      <c r="AM458" s="207">
        <f>IF(AG458="Käytetty",0,Y458*O458*Alukset_fx!$K$61/1000)</f>
        <v>0</v>
      </c>
      <c r="AN458" s="213">
        <f t="shared" si="86"/>
        <v>0</v>
      </c>
    </row>
    <row r="459" spans="1:40" x14ac:dyDescent="0.25">
      <c r="A459" s="203">
        <f>Alukset_Käynnit!A466</f>
        <v>0</v>
      </c>
      <c r="B459" s="203">
        <f>Alukset_Käynnit!B466</f>
        <v>0</v>
      </c>
      <c r="C459" s="262">
        <f>Alukset_Käynnit!C466</f>
        <v>0</v>
      </c>
      <c r="D459" s="266">
        <f>Alukset_Käynnit!D466</f>
        <v>0</v>
      </c>
      <c r="E459" s="262">
        <f>Alukset_Käynnit!E466</f>
        <v>0</v>
      </c>
      <c r="F459" s="262">
        <f>Alukset_Käynnit!F466</f>
        <v>0</v>
      </c>
      <c r="G459" s="262">
        <f>Alukset_Käynnit!G466</f>
        <v>0</v>
      </c>
      <c r="H459" s="262">
        <f>Alukset_Käynnit!H466</f>
        <v>0</v>
      </c>
      <c r="I459" s="262">
        <f>Alukset_Käynnit!I466</f>
        <v>0</v>
      </c>
      <c r="J459" s="262">
        <f>Alukset_Käynnit!J466</f>
        <v>0</v>
      </c>
      <c r="K459" s="262">
        <f>Alukset_Käynnit!K466</f>
        <v>0</v>
      </c>
      <c r="L459" s="205">
        <f>Alukset_Käynnit!L466</f>
        <v>0</v>
      </c>
      <c r="N459" s="273">
        <f t="shared" si="87"/>
        <v>0</v>
      </c>
      <c r="O459" s="274">
        <f t="shared" si="88"/>
        <v>0</v>
      </c>
      <c r="Q459" s="204">
        <f t="shared" si="77"/>
        <v>0</v>
      </c>
      <c r="R459" s="202">
        <f>IF(Q459="Other dry cargo",L459*Alukset_fx!$B$71,IF(OR(Q459="Dry bulk",Q459="Bulk carrier"),L459*Alukset_fx!$B$69,IF(Q459="Tugboat",L459*Alukset_fx!$B$76,IF(OR(Q459="Tanker",Q459="Gas tanker",Q459="Chemical tanker",Q459="Oil tanker"),L459*Alukset_fx!$B$68,IF(OR(Q459="RoRo",Q459="Vehicle carrier"),L459*Alukset_fx!$B$72,IF(Q459="RoPax",L459*Alukset_fx!$B$73,IF(Q459="Container ship",L459*Alukset_fx!$B$70,IF(Q459="Barge",0,L459*Alukset_fx!$B$75))))))))</f>
        <v>0</v>
      </c>
      <c r="S459" s="210">
        <f>IF(L459=0,IF(Q459="Other dry cargo",Alukset_fx!$H$73*(Alukset_Käynnit_Lask!K459^Alukset_fx!$I$73),IF(OR(Q459="Dry Bulk",Q459="Bulk carrier"),Alukset_fx!$H$71*(Alukset_Käynnit_Lask!K459^Alukset_fx!$I$71),IF(Q459="Tugboat",Alukset_fx!$H$78*(Alukset_Käynnit_Lask!K459^Alukset_fx!$I$78),IF(OR(Q459="Tanker",Q459="Gas tanker",Q459="Chemical tanker",Q459="Oil tanker"),Alukset_fx!$H$70*(Alukset_Käynnit_Lask!K459^Alukset_fx!$I$70),IF(Q459="Container ship",Alukset_fx!$H$72*(Alukset_Käynnit_Lask!K459^Alukset_fx!$I$72),IF(Q459="Barge",0,IF(Q459="RoPax",Alukset_fx!$H$75*(Alukset_Käynnit_Lask!K459^Alukset_fx!$I$75),IF(OR(Q459="RoRo",Q459="Vehicle carrier"),Alukset_fx!$H$74*(Alukset_Käynnit_Lask!K459^Alukset_fx!$I$74),Alukset_fx!$H$77*(Alukset_Käynnit_Lask!K459^Alukset_fx!$I$77))))))))),"-")</f>
        <v>0</v>
      </c>
      <c r="T459" s="208">
        <f>IF(R459=0,IF(Q459="Other dry cargo",S459*Alukset_fx!$B$71,IF(OR(Q459="Dry bulk",Q459="Bulk carrier"),S459*Alukset_fx!$B$69,IF(Q459="Tugboat",S459*Alukset_fx!$B$76,IF(OR(Q459="Tanker",Q459="Gas tanker",Q459="Chemical tanker",Q459="Oil tanker"),S459*Alukset_fx!$B$68,IF(OR(Q459="RoRo",Q459="Vehicle carrier"),S459*Alukset_fx!$B$72,IF(Q459="RoPax",S459*Alukset_fx!$B$73,IF(Q459="Container ship",S459*Alukset_fx!$B$70,S459*Alukset_fx!$B$75))))))),"-")</f>
        <v>0</v>
      </c>
      <c r="U459" s="208">
        <f t="shared" si="78"/>
        <v>0</v>
      </c>
      <c r="V459" s="208">
        <f t="shared" si="79"/>
        <v>0</v>
      </c>
      <c r="W459" s="202">
        <f>Alukset_Käynnit!N466</f>
        <v>0</v>
      </c>
      <c r="X459" s="211">
        <f>IF(Q459="Other dry cargo", Alukset_fx!$C$52, IF(OR(Q459="Dry bulk",Q459="Bulk carrier"),Alukset_fx!$C$35,IF(OR(Q459="Tanker",Q459="Gas tanker",Q459="Oil tanker"),Alukset_fx!$C$57,IF(Q459="Chemical tanker",Alukset_fx!$C$56,IF(OR(Q459="Tugboat",Q459="Barge"),0,IF(Q459="Other vessel",Alukset_fx!$C$54,IF(Q459="Container ship",Alukset_fx!$C$37,IF(OR(Q459="RoPax",Q459="RoRo",Q459="Vehicle carrier"),Alukset_fx!$C$55,0))))))))</f>
        <v>0</v>
      </c>
      <c r="Y459" s="211">
        <f>IF(Q459="Other dry cargo", Alukset_fx!$Q$52, IF(OR(Q459="Dry bulk",Q459="Bulk carrier"),Alukset_fx!$Q$35,IF(OR(Q459="Tanker",Q459="Gas tanker",Q459="Oil tanker"),Alukset_fx!$Q$57,IF(Q459="Chemical tanker",Alukset_fx!$Q$56,IF(OR(Q459="Tugboat",Q459="Barge"),0,IF(Q459="Other vessel",Alukset_fx!$Q$54,IF(Q459="Container ship",Alukset_fx!$Q$37,IF(OR(Q459="RoPax",Q459="RoRo",Q459="Vehicle carrier"),Alukset_fx!$Q$55,0))))))))</f>
        <v>0</v>
      </c>
      <c r="Z459" t="str">
        <f t="shared" si="80"/>
        <v>MDO/MGO</v>
      </c>
      <c r="AA459" t="str">
        <f t="shared" si="81"/>
        <v>MSD</v>
      </c>
      <c r="AB459" t="str">
        <f t="shared" si="82"/>
        <v>MDO/MGO</v>
      </c>
      <c r="AC459" t="str">
        <f t="shared" si="83"/>
        <v>MSD</v>
      </c>
      <c r="AD459" t="str">
        <f t="shared" si="84"/>
        <v>MDO/MGO</v>
      </c>
      <c r="AE459" t="str">
        <f t="shared" si="85"/>
        <v>ST</v>
      </c>
      <c r="AG459">
        <f>Alukset_Käynnit!O466</f>
        <v>0</v>
      </c>
      <c r="AH459" s="207">
        <f>IF(AA459="SSD",((U459*Alukset_fx!$B$24)*Alukset_Käynnit_Lask!W459*(Alukset_fx!$K$49)/1000),IF(AA459="MSD",((U459*Alukset_fx!$B$24)*Alukset_Käynnit_Lask!W459*(Alukset_fx!$K$52)/1000),IF(AA459="HSD",((U459*Alukset_fx!$B$24)*Alukset_Käynnit_Lask!W459*(Alukset_fx!$K$55)/1000),0)))</f>
        <v>0</v>
      </c>
      <c r="AI459" s="207">
        <f>IF(AC459="MSD",((V459*Alukset_fx!$B$25)*Alukset_Käynnit_Lask!W459*(Alukset_fx!$L$52)/1000),IF(AC459="HSD",((V459*Alukset_fx!$B$25)*Alukset_Käynnit_Lask!W459*(Alukset_fx!$L$55)/1000),0))</f>
        <v>0</v>
      </c>
      <c r="AJ459" s="207">
        <f>X459*W459*Alukset_fx!$K$61/1000</f>
        <v>0</v>
      </c>
      <c r="AK459">
        <v>0</v>
      </c>
      <c r="AL459" s="207">
        <f>IF(AG459="Käytetty",0,IF(AC459="MSD",((V459*Alukset_fx!$O$25)*Alukset_Käynnit_Lask!O459*(Alukset_fx!$L$52)/1000),IF(AC459="HSD",((V459*Alukset_fx!$O$25)*Alukset_Käynnit_Lask!O459*(Alukset_fx!$L$55)/1000),0)))</f>
        <v>0</v>
      </c>
      <c r="AM459" s="207">
        <f>IF(AG459="Käytetty",0,Y459*O459*Alukset_fx!$K$61/1000)</f>
        <v>0</v>
      </c>
      <c r="AN459" s="213">
        <f t="shared" si="86"/>
        <v>0</v>
      </c>
    </row>
    <row r="460" spans="1:40" x14ac:dyDescent="0.25">
      <c r="A460" s="203">
        <f>Alukset_Käynnit!A467</f>
        <v>0</v>
      </c>
      <c r="B460" s="203">
        <f>Alukset_Käynnit!B467</f>
        <v>0</v>
      </c>
      <c r="C460" s="262">
        <f>Alukset_Käynnit!C467</f>
        <v>0</v>
      </c>
      <c r="D460" s="266">
        <f>Alukset_Käynnit!D467</f>
        <v>0</v>
      </c>
      <c r="E460" s="262">
        <f>Alukset_Käynnit!E467</f>
        <v>0</v>
      </c>
      <c r="F460" s="262">
        <f>Alukset_Käynnit!F467</f>
        <v>0</v>
      </c>
      <c r="G460" s="262">
        <f>Alukset_Käynnit!G467</f>
        <v>0</v>
      </c>
      <c r="H460" s="262">
        <f>Alukset_Käynnit!H467</f>
        <v>0</v>
      </c>
      <c r="I460" s="262">
        <f>Alukset_Käynnit!I467</f>
        <v>0</v>
      </c>
      <c r="J460" s="262">
        <f>Alukset_Käynnit!J467</f>
        <v>0</v>
      </c>
      <c r="K460" s="262">
        <f>Alukset_Käynnit!K467</f>
        <v>0</v>
      </c>
      <c r="L460" s="205">
        <f>Alukset_Käynnit!L467</f>
        <v>0</v>
      </c>
      <c r="N460" s="273">
        <f t="shared" si="87"/>
        <v>0</v>
      </c>
      <c r="O460" s="274">
        <f t="shared" si="88"/>
        <v>0</v>
      </c>
      <c r="Q460" s="204">
        <f t="shared" si="77"/>
        <v>0</v>
      </c>
      <c r="R460" s="202">
        <f>IF(Q460="Other dry cargo",L460*Alukset_fx!$B$71,IF(OR(Q460="Dry bulk",Q460="Bulk carrier"),L460*Alukset_fx!$B$69,IF(Q460="Tugboat",L460*Alukset_fx!$B$76,IF(OR(Q460="Tanker",Q460="Gas tanker",Q460="Chemical tanker",Q460="Oil tanker"),L460*Alukset_fx!$B$68,IF(OR(Q460="RoRo",Q460="Vehicle carrier"),L460*Alukset_fx!$B$72,IF(Q460="RoPax",L460*Alukset_fx!$B$73,IF(Q460="Container ship",L460*Alukset_fx!$B$70,IF(Q460="Barge",0,L460*Alukset_fx!$B$75))))))))</f>
        <v>0</v>
      </c>
      <c r="S460" s="210">
        <f>IF(L460=0,IF(Q460="Other dry cargo",Alukset_fx!$H$73*(Alukset_Käynnit_Lask!K460^Alukset_fx!$I$73),IF(OR(Q460="Dry Bulk",Q460="Bulk carrier"),Alukset_fx!$H$71*(Alukset_Käynnit_Lask!K460^Alukset_fx!$I$71),IF(Q460="Tugboat",Alukset_fx!$H$78*(Alukset_Käynnit_Lask!K460^Alukset_fx!$I$78),IF(OR(Q460="Tanker",Q460="Gas tanker",Q460="Chemical tanker",Q460="Oil tanker"),Alukset_fx!$H$70*(Alukset_Käynnit_Lask!K460^Alukset_fx!$I$70),IF(Q460="Container ship",Alukset_fx!$H$72*(Alukset_Käynnit_Lask!K460^Alukset_fx!$I$72),IF(Q460="Barge",0,IF(Q460="RoPax",Alukset_fx!$H$75*(Alukset_Käynnit_Lask!K460^Alukset_fx!$I$75),IF(OR(Q460="RoRo",Q460="Vehicle carrier"),Alukset_fx!$H$74*(Alukset_Käynnit_Lask!K460^Alukset_fx!$I$74),Alukset_fx!$H$77*(Alukset_Käynnit_Lask!K460^Alukset_fx!$I$77))))))))),"-")</f>
        <v>0</v>
      </c>
      <c r="T460" s="208">
        <f>IF(R460=0,IF(Q460="Other dry cargo",S460*Alukset_fx!$B$71,IF(OR(Q460="Dry bulk",Q460="Bulk carrier"),S460*Alukset_fx!$B$69,IF(Q460="Tugboat",S460*Alukset_fx!$B$76,IF(OR(Q460="Tanker",Q460="Gas tanker",Q460="Chemical tanker",Q460="Oil tanker"),S460*Alukset_fx!$B$68,IF(OR(Q460="RoRo",Q460="Vehicle carrier"),S460*Alukset_fx!$B$72,IF(Q460="RoPax",S460*Alukset_fx!$B$73,IF(Q460="Container ship",S460*Alukset_fx!$B$70,S460*Alukset_fx!$B$75))))))),"-")</f>
        <v>0</v>
      </c>
      <c r="U460" s="208">
        <f t="shared" si="78"/>
        <v>0</v>
      </c>
      <c r="V460" s="208">
        <f t="shared" si="79"/>
        <v>0</v>
      </c>
      <c r="W460" s="202">
        <f>Alukset_Käynnit!N467</f>
        <v>0</v>
      </c>
      <c r="X460" s="211">
        <f>IF(Q460="Other dry cargo", Alukset_fx!$C$52, IF(OR(Q460="Dry bulk",Q460="Bulk carrier"),Alukset_fx!$C$35,IF(OR(Q460="Tanker",Q460="Gas tanker",Q460="Oil tanker"),Alukset_fx!$C$57,IF(Q460="Chemical tanker",Alukset_fx!$C$56,IF(OR(Q460="Tugboat",Q460="Barge"),0,IF(Q460="Other vessel",Alukset_fx!$C$54,IF(Q460="Container ship",Alukset_fx!$C$37,IF(OR(Q460="RoPax",Q460="RoRo",Q460="Vehicle carrier"),Alukset_fx!$C$55,0))))))))</f>
        <v>0</v>
      </c>
      <c r="Y460" s="211">
        <f>IF(Q460="Other dry cargo", Alukset_fx!$Q$52, IF(OR(Q460="Dry bulk",Q460="Bulk carrier"),Alukset_fx!$Q$35,IF(OR(Q460="Tanker",Q460="Gas tanker",Q460="Oil tanker"),Alukset_fx!$Q$57,IF(Q460="Chemical tanker",Alukset_fx!$Q$56,IF(OR(Q460="Tugboat",Q460="Barge"),0,IF(Q460="Other vessel",Alukset_fx!$Q$54,IF(Q460="Container ship",Alukset_fx!$Q$37,IF(OR(Q460="RoPax",Q460="RoRo",Q460="Vehicle carrier"),Alukset_fx!$Q$55,0))))))))</f>
        <v>0</v>
      </c>
      <c r="Z460" t="str">
        <f t="shared" si="80"/>
        <v>MDO/MGO</v>
      </c>
      <c r="AA460" t="str">
        <f t="shared" si="81"/>
        <v>MSD</v>
      </c>
      <c r="AB460" t="str">
        <f t="shared" si="82"/>
        <v>MDO/MGO</v>
      </c>
      <c r="AC460" t="str">
        <f t="shared" si="83"/>
        <v>MSD</v>
      </c>
      <c r="AD460" t="str">
        <f t="shared" si="84"/>
        <v>MDO/MGO</v>
      </c>
      <c r="AE460" t="str">
        <f t="shared" si="85"/>
        <v>ST</v>
      </c>
      <c r="AG460">
        <f>Alukset_Käynnit!O467</f>
        <v>0</v>
      </c>
      <c r="AH460" s="207">
        <f>IF(AA460="SSD",((U460*Alukset_fx!$B$24)*Alukset_Käynnit_Lask!W460*(Alukset_fx!$K$49)/1000),IF(AA460="MSD",((U460*Alukset_fx!$B$24)*Alukset_Käynnit_Lask!W460*(Alukset_fx!$K$52)/1000),IF(AA460="HSD",((U460*Alukset_fx!$B$24)*Alukset_Käynnit_Lask!W460*(Alukset_fx!$K$55)/1000),0)))</f>
        <v>0</v>
      </c>
      <c r="AI460" s="207">
        <f>IF(AC460="MSD",((V460*Alukset_fx!$B$25)*Alukset_Käynnit_Lask!W460*(Alukset_fx!$L$52)/1000),IF(AC460="HSD",((V460*Alukset_fx!$B$25)*Alukset_Käynnit_Lask!W460*(Alukset_fx!$L$55)/1000),0))</f>
        <v>0</v>
      </c>
      <c r="AJ460" s="207">
        <f>X460*W460*Alukset_fx!$K$61/1000</f>
        <v>0</v>
      </c>
      <c r="AK460">
        <v>0</v>
      </c>
      <c r="AL460" s="207">
        <f>IF(AG460="Käytetty",0,IF(AC460="MSD",((V460*Alukset_fx!$O$25)*Alukset_Käynnit_Lask!O460*(Alukset_fx!$L$52)/1000),IF(AC460="HSD",((V460*Alukset_fx!$O$25)*Alukset_Käynnit_Lask!O460*(Alukset_fx!$L$55)/1000),0)))</f>
        <v>0</v>
      </c>
      <c r="AM460" s="207">
        <f>IF(AG460="Käytetty",0,Y460*O460*Alukset_fx!$K$61/1000)</f>
        <v>0</v>
      </c>
      <c r="AN460" s="213">
        <f t="shared" si="86"/>
        <v>0</v>
      </c>
    </row>
    <row r="461" spans="1:40" x14ac:dyDescent="0.25">
      <c r="A461" s="203">
        <f>Alukset_Käynnit!A468</f>
        <v>0</v>
      </c>
      <c r="B461" s="203">
        <f>Alukset_Käynnit!B468</f>
        <v>0</v>
      </c>
      <c r="C461" s="262">
        <f>Alukset_Käynnit!C468</f>
        <v>0</v>
      </c>
      <c r="D461" s="266">
        <f>Alukset_Käynnit!D468</f>
        <v>0</v>
      </c>
      <c r="E461" s="262">
        <f>Alukset_Käynnit!E468</f>
        <v>0</v>
      </c>
      <c r="F461" s="262">
        <f>Alukset_Käynnit!F468</f>
        <v>0</v>
      </c>
      <c r="G461" s="262">
        <f>Alukset_Käynnit!G468</f>
        <v>0</v>
      </c>
      <c r="H461" s="262">
        <f>Alukset_Käynnit!H468</f>
        <v>0</v>
      </c>
      <c r="I461" s="262">
        <f>Alukset_Käynnit!I468</f>
        <v>0</v>
      </c>
      <c r="J461" s="262">
        <f>Alukset_Käynnit!J468</f>
        <v>0</v>
      </c>
      <c r="K461" s="262">
        <f>Alukset_Käynnit!K468</f>
        <v>0</v>
      </c>
      <c r="L461" s="205">
        <f>Alukset_Käynnit!L468</f>
        <v>0</v>
      </c>
      <c r="N461" s="273">
        <f t="shared" si="87"/>
        <v>0</v>
      </c>
      <c r="O461" s="274">
        <f t="shared" si="88"/>
        <v>0</v>
      </c>
      <c r="Q461" s="204">
        <f t="shared" si="77"/>
        <v>0</v>
      </c>
      <c r="R461" s="202">
        <f>IF(Q461="Other dry cargo",L461*Alukset_fx!$B$71,IF(OR(Q461="Dry bulk",Q461="Bulk carrier"),L461*Alukset_fx!$B$69,IF(Q461="Tugboat",L461*Alukset_fx!$B$76,IF(OR(Q461="Tanker",Q461="Gas tanker",Q461="Chemical tanker",Q461="Oil tanker"),L461*Alukset_fx!$B$68,IF(OR(Q461="RoRo",Q461="Vehicle carrier"),L461*Alukset_fx!$B$72,IF(Q461="RoPax",L461*Alukset_fx!$B$73,IF(Q461="Container ship",L461*Alukset_fx!$B$70,IF(Q461="Barge",0,L461*Alukset_fx!$B$75))))))))</f>
        <v>0</v>
      </c>
      <c r="S461" s="210">
        <f>IF(L461=0,IF(Q461="Other dry cargo",Alukset_fx!$H$73*(Alukset_Käynnit_Lask!K461^Alukset_fx!$I$73),IF(OR(Q461="Dry Bulk",Q461="Bulk carrier"),Alukset_fx!$H$71*(Alukset_Käynnit_Lask!K461^Alukset_fx!$I$71),IF(Q461="Tugboat",Alukset_fx!$H$78*(Alukset_Käynnit_Lask!K461^Alukset_fx!$I$78),IF(OR(Q461="Tanker",Q461="Gas tanker",Q461="Chemical tanker",Q461="Oil tanker"),Alukset_fx!$H$70*(Alukset_Käynnit_Lask!K461^Alukset_fx!$I$70),IF(Q461="Container ship",Alukset_fx!$H$72*(Alukset_Käynnit_Lask!K461^Alukset_fx!$I$72),IF(Q461="Barge",0,IF(Q461="RoPax",Alukset_fx!$H$75*(Alukset_Käynnit_Lask!K461^Alukset_fx!$I$75),IF(OR(Q461="RoRo",Q461="Vehicle carrier"),Alukset_fx!$H$74*(Alukset_Käynnit_Lask!K461^Alukset_fx!$I$74),Alukset_fx!$H$77*(Alukset_Käynnit_Lask!K461^Alukset_fx!$I$77))))))))),"-")</f>
        <v>0</v>
      </c>
      <c r="T461" s="208">
        <f>IF(R461=0,IF(Q461="Other dry cargo",S461*Alukset_fx!$B$71,IF(OR(Q461="Dry bulk",Q461="Bulk carrier"),S461*Alukset_fx!$B$69,IF(Q461="Tugboat",S461*Alukset_fx!$B$76,IF(OR(Q461="Tanker",Q461="Gas tanker",Q461="Chemical tanker",Q461="Oil tanker"),S461*Alukset_fx!$B$68,IF(OR(Q461="RoRo",Q461="Vehicle carrier"),S461*Alukset_fx!$B$72,IF(Q461="RoPax",S461*Alukset_fx!$B$73,IF(Q461="Container ship",S461*Alukset_fx!$B$70,S461*Alukset_fx!$B$75))))))),"-")</f>
        <v>0</v>
      </c>
      <c r="U461" s="208">
        <f t="shared" si="78"/>
        <v>0</v>
      </c>
      <c r="V461" s="208">
        <f t="shared" si="79"/>
        <v>0</v>
      </c>
      <c r="W461" s="202">
        <f>Alukset_Käynnit!N468</f>
        <v>0</v>
      </c>
      <c r="X461" s="211">
        <f>IF(Q461="Other dry cargo", Alukset_fx!$C$52, IF(OR(Q461="Dry bulk",Q461="Bulk carrier"),Alukset_fx!$C$35,IF(OR(Q461="Tanker",Q461="Gas tanker",Q461="Oil tanker"),Alukset_fx!$C$57,IF(Q461="Chemical tanker",Alukset_fx!$C$56,IF(OR(Q461="Tugboat",Q461="Barge"),0,IF(Q461="Other vessel",Alukset_fx!$C$54,IF(Q461="Container ship",Alukset_fx!$C$37,IF(OR(Q461="RoPax",Q461="RoRo",Q461="Vehicle carrier"),Alukset_fx!$C$55,0))))))))</f>
        <v>0</v>
      </c>
      <c r="Y461" s="211">
        <f>IF(Q461="Other dry cargo", Alukset_fx!$Q$52, IF(OR(Q461="Dry bulk",Q461="Bulk carrier"),Alukset_fx!$Q$35,IF(OR(Q461="Tanker",Q461="Gas tanker",Q461="Oil tanker"),Alukset_fx!$Q$57,IF(Q461="Chemical tanker",Alukset_fx!$Q$56,IF(OR(Q461="Tugboat",Q461="Barge"),0,IF(Q461="Other vessel",Alukset_fx!$Q$54,IF(Q461="Container ship",Alukset_fx!$Q$37,IF(OR(Q461="RoPax",Q461="RoRo",Q461="Vehicle carrier"),Alukset_fx!$Q$55,0))))))))</f>
        <v>0</v>
      </c>
      <c r="Z461" t="str">
        <f t="shared" si="80"/>
        <v>MDO/MGO</v>
      </c>
      <c r="AA461" t="str">
        <f t="shared" si="81"/>
        <v>MSD</v>
      </c>
      <c r="AB461" t="str">
        <f t="shared" si="82"/>
        <v>MDO/MGO</v>
      </c>
      <c r="AC461" t="str">
        <f t="shared" si="83"/>
        <v>MSD</v>
      </c>
      <c r="AD461" t="str">
        <f t="shared" si="84"/>
        <v>MDO/MGO</v>
      </c>
      <c r="AE461" t="str">
        <f t="shared" si="85"/>
        <v>ST</v>
      </c>
      <c r="AG461">
        <f>Alukset_Käynnit!O468</f>
        <v>0</v>
      </c>
      <c r="AH461" s="207">
        <f>IF(AA461="SSD",((U461*Alukset_fx!$B$24)*Alukset_Käynnit_Lask!W461*(Alukset_fx!$K$49)/1000),IF(AA461="MSD",((U461*Alukset_fx!$B$24)*Alukset_Käynnit_Lask!W461*(Alukset_fx!$K$52)/1000),IF(AA461="HSD",((U461*Alukset_fx!$B$24)*Alukset_Käynnit_Lask!W461*(Alukset_fx!$K$55)/1000),0)))</f>
        <v>0</v>
      </c>
      <c r="AI461" s="207">
        <f>IF(AC461="MSD",((V461*Alukset_fx!$B$25)*Alukset_Käynnit_Lask!W461*(Alukset_fx!$L$52)/1000),IF(AC461="HSD",((V461*Alukset_fx!$B$25)*Alukset_Käynnit_Lask!W461*(Alukset_fx!$L$55)/1000),0))</f>
        <v>0</v>
      </c>
      <c r="AJ461" s="207">
        <f>X461*W461*Alukset_fx!$K$61/1000</f>
        <v>0</v>
      </c>
      <c r="AK461">
        <v>0</v>
      </c>
      <c r="AL461" s="207">
        <f>IF(AG461="Käytetty",0,IF(AC461="MSD",((V461*Alukset_fx!$O$25)*Alukset_Käynnit_Lask!O461*(Alukset_fx!$L$52)/1000),IF(AC461="HSD",((V461*Alukset_fx!$O$25)*Alukset_Käynnit_Lask!O461*(Alukset_fx!$L$55)/1000),0)))</f>
        <v>0</v>
      </c>
      <c r="AM461" s="207">
        <f>IF(AG461="Käytetty",0,Y461*O461*Alukset_fx!$K$61/1000)</f>
        <v>0</v>
      </c>
      <c r="AN461" s="213">
        <f t="shared" si="86"/>
        <v>0</v>
      </c>
    </row>
    <row r="462" spans="1:40" x14ac:dyDescent="0.25">
      <c r="A462" s="203">
        <f>Alukset_Käynnit!A469</f>
        <v>0</v>
      </c>
      <c r="B462" s="203">
        <f>Alukset_Käynnit!B469</f>
        <v>0</v>
      </c>
      <c r="C462" s="262">
        <f>Alukset_Käynnit!C469</f>
        <v>0</v>
      </c>
      <c r="D462" s="266">
        <f>Alukset_Käynnit!D469</f>
        <v>0</v>
      </c>
      <c r="E462" s="262">
        <f>Alukset_Käynnit!E469</f>
        <v>0</v>
      </c>
      <c r="F462" s="262">
        <f>Alukset_Käynnit!F469</f>
        <v>0</v>
      </c>
      <c r="G462" s="262">
        <f>Alukset_Käynnit!G469</f>
        <v>0</v>
      </c>
      <c r="H462" s="262">
        <f>Alukset_Käynnit!H469</f>
        <v>0</v>
      </c>
      <c r="I462" s="262">
        <f>Alukset_Käynnit!I469</f>
        <v>0</v>
      </c>
      <c r="J462" s="262">
        <f>Alukset_Käynnit!J469</f>
        <v>0</v>
      </c>
      <c r="K462" s="262">
        <f>Alukset_Käynnit!K469</f>
        <v>0</v>
      </c>
      <c r="L462" s="205">
        <f>Alukset_Käynnit!L469</f>
        <v>0</v>
      </c>
      <c r="N462" s="273">
        <f t="shared" si="87"/>
        <v>0</v>
      </c>
      <c r="O462" s="274">
        <f t="shared" si="88"/>
        <v>0</v>
      </c>
      <c r="Q462" s="204">
        <f t="shared" ref="Q462:Q525" si="89">IF(H462="Muu kuivalasti","Other dry cargo",IF(H462="Muu kuivalastialus","Other dry cargo",IF(H462="Hinaaja","Tugboat",IF(H462="Proomu","Barge",IF(H462="Pusku-Proomu","Barge",IF(H462="Säiliöalus","Tanker",IF(H462="Ro-Ro-Matkustaja-Alus","RoPax",IF(H462="Irtolastialus","Bulk carrier",IF(H462="Kaasusäiliöalus","Gas tanker",IF(H462="Kemikaalisäiliöalus","Chemical tanker",IF(H462="Muu Alus","Other Vessel",IF(H462="Ro-Ro-Lastialus","RoRo",IF(H462="Öljysäiliöalus","Oil tanker",IF(H462="Ajoneuvojenkuljetusalus","Vehicle carrier",IF(H462="Kuiva Bulk","Dry bulk",IF(H462="Konttialus","Container ship",H462))))))))))))))))</f>
        <v>0</v>
      </c>
      <c r="R462" s="202">
        <f>IF(Q462="Other dry cargo",L462*Alukset_fx!$B$71,IF(OR(Q462="Dry bulk",Q462="Bulk carrier"),L462*Alukset_fx!$B$69,IF(Q462="Tugboat",L462*Alukset_fx!$B$76,IF(OR(Q462="Tanker",Q462="Gas tanker",Q462="Chemical tanker",Q462="Oil tanker"),L462*Alukset_fx!$B$68,IF(OR(Q462="RoRo",Q462="Vehicle carrier"),L462*Alukset_fx!$B$72,IF(Q462="RoPax",L462*Alukset_fx!$B$73,IF(Q462="Container ship",L462*Alukset_fx!$B$70,IF(Q462="Barge",0,L462*Alukset_fx!$B$75))))))))</f>
        <v>0</v>
      </c>
      <c r="S462" s="210">
        <f>IF(L462=0,IF(Q462="Other dry cargo",Alukset_fx!$H$73*(Alukset_Käynnit_Lask!K462^Alukset_fx!$I$73),IF(OR(Q462="Dry Bulk",Q462="Bulk carrier"),Alukset_fx!$H$71*(Alukset_Käynnit_Lask!K462^Alukset_fx!$I$71),IF(Q462="Tugboat",Alukset_fx!$H$78*(Alukset_Käynnit_Lask!K462^Alukset_fx!$I$78),IF(OR(Q462="Tanker",Q462="Gas tanker",Q462="Chemical tanker",Q462="Oil tanker"),Alukset_fx!$H$70*(Alukset_Käynnit_Lask!K462^Alukset_fx!$I$70),IF(Q462="Container ship",Alukset_fx!$H$72*(Alukset_Käynnit_Lask!K462^Alukset_fx!$I$72),IF(Q462="Barge",0,IF(Q462="RoPax",Alukset_fx!$H$75*(Alukset_Käynnit_Lask!K462^Alukset_fx!$I$75),IF(OR(Q462="RoRo",Q462="Vehicle carrier"),Alukset_fx!$H$74*(Alukset_Käynnit_Lask!K462^Alukset_fx!$I$74),Alukset_fx!$H$77*(Alukset_Käynnit_Lask!K462^Alukset_fx!$I$77))))))))),"-")</f>
        <v>0</v>
      </c>
      <c r="T462" s="208">
        <f>IF(R462=0,IF(Q462="Other dry cargo",S462*Alukset_fx!$B$71,IF(OR(Q462="Dry bulk",Q462="Bulk carrier"),S462*Alukset_fx!$B$69,IF(Q462="Tugboat",S462*Alukset_fx!$B$76,IF(OR(Q462="Tanker",Q462="Gas tanker",Q462="Chemical tanker",Q462="Oil tanker"),S462*Alukset_fx!$B$68,IF(OR(Q462="RoRo",Q462="Vehicle carrier"),S462*Alukset_fx!$B$72,IF(Q462="RoPax",S462*Alukset_fx!$B$73,IF(Q462="Container ship",S462*Alukset_fx!$B$70,S462*Alukset_fx!$B$75))))))),"-")</f>
        <v>0</v>
      </c>
      <c r="U462" s="208">
        <f t="shared" ref="U462:U525" si="90">IF(L462=0,S462,L462)</f>
        <v>0</v>
      </c>
      <c r="V462" s="208">
        <f t="shared" ref="V462:V525" si="91">IF(R462=0,T462,R462)</f>
        <v>0</v>
      </c>
      <c r="W462" s="202">
        <f>Alukset_Käynnit!N469</f>
        <v>0</v>
      </c>
      <c r="X462" s="211">
        <f>IF(Q462="Other dry cargo", Alukset_fx!$C$52, IF(OR(Q462="Dry bulk",Q462="Bulk carrier"),Alukset_fx!$C$35,IF(OR(Q462="Tanker",Q462="Gas tanker",Q462="Oil tanker"),Alukset_fx!$C$57,IF(Q462="Chemical tanker",Alukset_fx!$C$56,IF(OR(Q462="Tugboat",Q462="Barge"),0,IF(Q462="Other vessel",Alukset_fx!$C$54,IF(Q462="Container ship",Alukset_fx!$C$37,IF(OR(Q462="RoPax",Q462="RoRo",Q462="Vehicle carrier"),Alukset_fx!$C$55,0))))))))</f>
        <v>0</v>
      </c>
      <c r="Y462" s="211">
        <f>IF(Q462="Other dry cargo", Alukset_fx!$Q$52, IF(OR(Q462="Dry bulk",Q462="Bulk carrier"),Alukset_fx!$Q$35,IF(OR(Q462="Tanker",Q462="Gas tanker",Q462="Oil tanker"),Alukset_fx!$Q$57,IF(Q462="Chemical tanker",Alukset_fx!$Q$56,IF(OR(Q462="Tugboat",Q462="Barge"),0,IF(Q462="Other vessel",Alukset_fx!$Q$54,IF(Q462="Container ship",Alukset_fx!$Q$37,IF(OR(Q462="RoPax",Q462="RoRo",Q462="Vehicle carrier"),Alukset_fx!$Q$55,0))))))))</f>
        <v>0</v>
      </c>
      <c r="Z462" t="str">
        <f t="shared" ref="Z462:Z525" si="92">IF(Q462="Barge","-","MDO/MGO")</f>
        <v>MDO/MGO</v>
      </c>
      <c r="AA462" t="str">
        <f t="shared" ref="AA462:AA525" si="93">IF(Q462="Container ship","SSD",IF(Q462="Tugboat","HSD",IF(Q462="Barge","-","MSD")))</f>
        <v>MSD</v>
      </c>
      <c r="AB462" t="str">
        <f t="shared" ref="AB462:AB525" si="94">IF(Q462="Barge","-","MDO/MGO")</f>
        <v>MDO/MGO</v>
      </c>
      <c r="AC462" t="str">
        <f t="shared" ref="AC462:AC525" si="95">IF(Q462="Barge","-","MSD")</f>
        <v>MSD</v>
      </c>
      <c r="AD462" t="str">
        <f t="shared" ref="AD462:AD525" si="96">IF(OR(Q462="Tugboat",Q462="Barge"),"-","MDO/MGO")</f>
        <v>MDO/MGO</v>
      </c>
      <c r="AE462" t="str">
        <f t="shared" ref="AE462:AE525" si="97">IF(OR(Q462="Barge",Q462="Tugboat"),"-","ST")</f>
        <v>ST</v>
      </c>
      <c r="AG462">
        <f>Alukset_Käynnit!O469</f>
        <v>0</v>
      </c>
      <c r="AH462" s="207">
        <f>IF(AA462="SSD",((U462*Alukset_fx!$B$24)*Alukset_Käynnit_Lask!W462*(Alukset_fx!$K$49)/1000),IF(AA462="MSD",((U462*Alukset_fx!$B$24)*Alukset_Käynnit_Lask!W462*(Alukset_fx!$K$52)/1000),IF(AA462="HSD",((U462*Alukset_fx!$B$24)*Alukset_Käynnit_Lask!W462*(Alukset_fx!$K$55)/1000),0)))</f>
        <v>0</v>
      </c>
      <c r="AI462" s="207">
        <f>IF(AC462="MSD",((V462*Alukset_fx!$B$25)*Alukset_Käynnit_Lask!W462*(Alukset_fx!$L$52)/1000),IF(AC462="HSD",((V462*Alukset_fx!$B$25)*Alukset_Käynnit_Lask!W462*(Alukset_fx!$L$55)/1000),0))</f>
        <v>0</v>
      </c>
      <c r="AJ462" s="207">
        <f>X462*W462*Alukset_fx!$K$61/1000</f>
        <v>0</v>
      </c>
      <c r="AK462">
        <v>0</v>
      </c>
      <c r="AL462" s="207">
        <f>IF(AG462="Käytetty",0,IF(AC462="MSD",((V462*Alukset_fx!$O$25)*Alukset_Käynnit_Lask!O462*(Alukset_fx!$L$52)/1000),IF(AC462="HSD",((V462*Alukset_fx!$O$25)*Alukset_Käynnit_Lask!O462*(Alukset_fx!$L$55)/1000),0)))</f>
        <v>0</v>
      </c>
      <c r="AM462" s="207">
        <f>IF(AG462="Käytetty",0,Y462*O462*Alukset_fx!$K$61/1000)</f>
        <v>0</v>
      </c>
      <c r="AN462" s="213">
        <f t="shared" ref="AN462:AN525" si="98">SUM(AH462:AM462)/1000</f>
        <v>0</v>
      </c>
    </row>
    <row r="463" spans="1:40" x14ac:dyDescent="0.25">
      <c r="A463" s="203">
        <f>Alukset_Käynnit!A470</f>
        <v>0</v>
      </c>
      <c r="B463" s="203">
        <f>Alukset_Käynnit!B470</f>
        <v>0</v>
      </c>
      <c r="C463" s="262">
        <f>Alukset_Käynnit!C470</f>
        <v>0</v>
      </c>
      <c r="D463" s="266">
        <f>Alukset_Käynnit!D470</f>
        <v>0</v>
      </c>
      <c r="E463" s="262">
        <f>Alukset_Käynnit!E470</f>
        <v>0</v>
      </c>
      <c r="F463" s="262">
        <f>Alukset_Käynnit!F470</f>
        <v>0</v>
      </c>
      <c r="G463" s="262">
        <f>Alukset_Käynnit!G470</f>
        <v>0</v>
      </c>
      <c r="H463" s="262">
        <f>Alukset_Käynnit!H470</f>
        <v>0</v>
      </c>
      <c r="I463" s="262">
        <f>Alukset_Käynnit!I470</f>
        <v>0</v>
      </c>
      <c r="J463" s="262">
        <f>Alukset_Käynnit!J470</f>
        <v>0</v>
      </c>
      <c r="K463" s="262">
        <f>Alukset_Käynnit!K470</f>
        <v>0</v>
      </c>
      <c r="L463" s="205">
        <f>Alukset_Käynnit!L470</f>
        <v>0</v>
      </c>
      <c r="N463" s="273">
        <f t="shared" si="87"/>
        <v>0</v>
      </c>
      <c r="O463" s="274">
        <f t="shared" si="88"/>
        <v>0</v>
      </c>
      <c r="Q463" s="204">
        <f t="shared" si="89"/>
        <v>0</v>
      </c>
      <c r="R463" s="202">
        <f>IF(Q463="Other dry cargo",L463*Alukset_fx!$B$71,IF(OR(Q463="Dry bulk",Q463="Bulk carrier"),L463*Alukset_fx!$B$69,IF(Q463="Tugboat",L463*Alukset_fx!$B$76,IF(OR(Q463="Tanker",Q463="Gas tanker",Q463="Chemical tanker",Q463="Oil tanker"),L463*Alukset_fx!$B$68,IF(OR(Q463="RoRo",Q463="Vehicle carrier"),L463*Alukset_fx!$B$72,IF(Q463="RoPax",L463*Alukset_fx!$B$73,IF(Q463="Container ship",L463*Alukset_fx!$B$70,IF(Q463="Barge",0,L463*Alukset_fx!$B$75))))))))</f>
        <v>0</v>
      </c>
      <c r="S463" s="210">
        <f>IF(L463=0,IF(Q463="Other dry cargo",Alukset_fx!$H$73*(Alukset_Käynnit_Lask!K463^Alukset_fx!$I$73),IF(OR(Q463="Dry Bulk",Q463="Bulk carrier"),Alukset_fx!$H$71*(Alukset_Käynnit_Lask!K463^Alukset_fx!$I$71),IF(Q463="Tugboat",Alukset_fx!$H$78*(Alukset_Käynnit_Lask!K463^Alukset_fx!$I$78),IF(OR(Q463="Tanker",Q463="Gas tanker",Q463="Chemical tanker",Q463="Oil tanker"),Alukset_fx!$H$70*(Alukset_Käynnit_Lask!K463^Alukset_fx!$I$70),IF(Q463="Container ship",Alukset_fx!$H$72*(Alukset_Käynnit_Lask!K463^Alukset_fx!$I$72),IF(Q463="Barge",0,IF(Q463="RoPax",Alukset_fx!$H$75*(Alukset_Käynnit_Lask!K463^Alukset_fx!$I$75),IF(OR(Q463="RoRo",Q463="Vehicle carrier"),Alukset_fx!$H$74*(Alukset_Käynnit_Lask!K463^Alukset_fx!$I$74),Alukset_fx!$H$77*(Alukset_Käynnit_Lask!K463^Alukset_fx!$I$77))))))))),"-")</f>
        <v>0</v>
      </c>
      <c r="T463" s="208">
        <f>IF(R463=0,IF(Q463="Other dry cargo",S463*Alukset_fx!$B$71,IF(OR(Q463="Dry bulk",Q463="Bulk carrier"),S463*Alukset_fx!$B$69,IF(Q463="Tugboat",S463*Alukset_fx!$B$76,IF(OR(Q463="Tanker",Q463="Gas tanker",Q463="Chemical tanker",Q463="Oil tanker"),S463*Alukset_fx!$B$68,IF(OR(Q463="RoRo",Q463="Vehicle carrier"),S463*Alukset_fx!$B$72,IF(Q463="RoPax",S463*Alukset_fx!$B$73,IF(Q463="Container ship",S463*Alukset_fx!$B$70,S463*Alukset_fx!$B$75))))))),"-")</f>
        <v>0</v>
      </c>
      <c r="U463" s="208">
        <f t="shared" si="90"/>
        <v>0</v>
      </c>
      <c r="V463" s="208">
        <f t="shared" si="91"/>
        <v>0</v>
      </c>
      <c r="W463" s="202">
        <f>Alukset_Käynnit!N470</f>
        <v>0</v>
      </c>
      <c r="X463" s="211">
        <f>IF(Q463="Other dry cargo", Alukset_fx!$C$52, IF(OR(Q463="Dry bulk",Q463="Bulk carrier"),Alukset_fx!$C$35,IF(OR(Q463="Tanker",Q463="Gas tanker",Q463="Oil tanker"),Alukset_fx!$C$57,IF(Q463="Chemical tanker",Alukset_fx!$C$56,IF(OR(Q463="Tugboat",Q463="Barge"),0,IF(Q463="Other vessel",Alukset_fx!$C$54,IF(Q463="Container ship",Alukset_fx!$C$37,IF(OR(Q463="RoPax",Q463="RoRo",Q463="Vehicle carrier"),Alukset_fx!$C$55,0))))))))</f>
        <v>0</v>
      </c>
      <c r="Y463" s="211">
        <f>IF(Q463="Other dry cargo", Alukset_fx!$Q$52, IF(OR(Q463="Dry bulk",Q463="Bulk carrier"),Alukset_fx!$Q$35,IF(OR(Q463="Tanker",Q463="Gas tanker",Q463="Oil tanker"),Alukset_fx!$Q$57,IF(Q463="Chemical tanker",Alukset_fx!$Q$56,IF(OR(Q463="Tugboat",Q463="Barge"),0,IF(Q463="Other vessel",Alukset_fx!$Q$54,IF(Q463="Container ship",Alukset_fx!$Q$37,IF(OR(Q463="RoPax",Q463="RoRo",Q463="Vehicle carrier"),Alukset_fx!$Q$55,0))))))))</f>
        <v>0</v>
      </c>
      <c r="Z463" t="str">
        <f t="shared" si="92"/>
        <v>MDO/MGO</v>
      </c>
      <c r="AA463" t="str">
        <f t="shared" si="93"/>
        <v>MSD</v>
      </c>
      <c r="AB463" t="str">
        <f t="shared" si="94"/>
        <v>MDO/MGO</v>
      </c>
      <c r="AC463" t="str">
        <f t="shared" si="95"/>
        <v>MSD</v>
      </c>
      <c r="AD463" t="str">
        <f t="shared" si="96"/>
        <v>MDO/MGO</v>
      </c>
      <c r="AE463" t="str">
        <f t="shared" si="97"/>
        <v>ST</v>
      </c>
      <c r="AG463">
        <f>Alukset_Käynnit!O470</f>
        <v>0</v>
      </c>
      <c r="AH463" s="207">
        <f>IF(AA463="SSD",((U463*Alukset_fx!$B$24)*Alukset_Käynnit_Lask!W463*(Alukset_fx!$K$49)/1000),IF(AA463="MSD",((U463*Alukset_fx!$B$24)*Alukset_Käynnit_Lask!W463*(Alukset_fx!$K$52)/1000),IF(AA463="HSD",((U463*Alukset_fx!$B$24)*Alukset_Käynnit_Lask!W463*(Alukset_fx!$K$55)/1000),0)))</f>
        <v>0</v>
      </c>
      <c r="AI463" s="207">
        <f>IF(AC463="MSD",((V463*Alukset_fx!$B$25)*Alukset_Käynnit_Lask!W463*(Alukset_fx!$L$52)/1000),IF(AC463="HSD",((V463*Alukset_fx!$B$25)*Alukset_Käynnit_Lask!W463*(Alukset_fx!$L$55)/1000),0))</f>
        <v>0</v>
      </c>
      <c r="AJ463" s="207">
        <f>X463*W463*Alukset_fx!$K$61/1000</f>
        <v>0</v>
      </c>
      <c r="AK463">
        <v>0</v>
      </c>
      <c r="AL463" s="207">
        <f>IF(AG463="Käytetty",0,IF(AC463="MSD",((V463*Alukset_fx!$O$25)*Alukset_Käynnit_Lask!O463*(Alukset_fx!$L$52)/1000),IF(AC463="HSD",((V463*Alukset_fx!$O$25)*Alukset_Käynnit_Lask!O463*(Alukset_fx!$L$55)/1000),0)))</f>
        <v>0</v>
      </c>
      <c r="AM463" s="207">
        <f>IF(AG463="Käytetty",0,Y463*O463*Alukset_fx!$K$61/1000)</f>
        <v>0</v>
      </c>
      <c r="AN463" s="213">
        <f t="shared" si="98"/>
        <v>0</v>
      </c>
    </row>
    <row r="464" spans="1:40" x14ac:dyDescent="0.25">
      <c r="A464" s="203">
        <f>Alukset_Käynnit!A471</f>
        <v>0</v>
      </c>
      <c r="B464" s="203">
        <f>Alukset_Käynnit!B471</f>
        <v>0</v>
      </c>
      <c r="C464" s="262">
        <f>Alukset_Käynnit!C471</f>
        <v>0</v>
      </c>
      <c r="D464" s="266">
        <f>Alukset_Käynnit!D471</f>
        <v>0</v>
      </c>
      <c r="E464" s="262">
        <f>Alukset_Käynnit!E471</f>
        <v>0</v>
      </c>
      <c r="F464" s="262">
        <f>Alukset_Käynnit!F471</f>
        <v>0</v>
      </c>
      <c r="G464" s="262">
        <f>Alukset_Käynnit!G471</f>
        <v>0</v>
      </c>
      <c r="H464" s="262">
        <f>Alukset_Käynnit!H471</f>
        <v>0</v>
      </c>
      <c r="I464" s="262">
        <f>Alukset_Käynnit!I471</f>
        <v>0</v>
      </c>
      <c r="J464" s="262">
        <f>Alukset_Käynnit!J471</f>
        <v>0</v>
      </c>
      <c r="K464" s="262">
        <f>Alukset_Käynnit!K471</f>
        <v>0</v>
      </c>
      <c r="L464" s="205">
        <f>Alukset_Käynnit!L471</f>
        <v>0</v>
      </c>
      <c r="N464" s="273">
        <f t="shared" si="87"/>
        <v>0</v>
      </c>
      <c r="O464" s="274">
        <f t="shared" si="88"/>
        <v>0</v>
      </c>
      <c r="Q464" s="204">
        <f t="shared" si="89"/>
        <v>0</v>
      </c>
      <c r="R464" s="202">
        <f>IF(Q464="Other dry cargo",L464*Alukset_fx!$B$71,IF(OR(Q464="Dry bulk",Q464="Bulk carrier"),L464*Alukset_fx!$B$69,IF(Q464="Tugboat",L464*Alukset_fx!$B$76,IF(OR(Q464="Tanker",Q464="Gas tanker",Q464="Chemical tanker",Q464="Oil tanker"),L464*Alukset_fx!$B$68,IF(OR(Q464="RoRo",Q464="Vehicle carrier"),L464*Alukset_fx!$B$72,IF(Q464="RoPax",L464*Alukset_fx!$B$73,IF(Q464="Container ship",L464*Alukset_fx!$B$70,IF(Q464="Barge",0,L464*Alukset_fx!$B$75))))))))</f>
        <v>0</v>
      </c>
      <c r="S464" s="210">
        <f>IF(L464=0,IF(Q464="Other dry cargo",Alukset_fx!$H$73*(Alukset_Käynnit_Lask!K464^Alukset_fx!$I$73),IF(OR(Q464="Dry Bulk",Q464="Bulk carrier"),Alukset_fx!$H$71*(Alukset_Käynnit_Lask!K464^Alukset_fx!$I$71),IF(Q464="Tugboat",Alukset_fx!$H$78*(Alukset_Käynnit_Lask!K464^Alukset_fx!$I$78),IF(OR(Q464="Tanker",Q464="Gas tanker",Q464="Chemical tanker",Q464="Oil tanker"),Alukset_fx!$H$70*(Alukset_Käynnit_Lask!K464^Alukset_fx!$I$70),IF(Q464="Container ship",Alukset_fx!$H$72*(Alukset_Käynnit_Lask!K464^Alukset_fx!$I$72),IF(Q464="Barge",0,IF(Q464="RoPax",Alukset_fx!$H$75*(Alukset_Käynnit_Lask!K464^Alukset_fx!$I$75),IF(OR(Q464="RoRo",Q464="Vehicle carrier"),Alukset_fx!$H$74*(Alukset_Käynnit_Lask!K464^Alukset_fx!$I$74),Alukset_fx!$H$77*(Alukset_Käynnit_Lask!K464^Alukset_fx!$I$77))))))))),"-")</f>
        <v>0</v>
      </c>
      <c r="T464" s="208">
        <f>IF(R464=0,IF(Q464="Other dry cargo",S464*Alukset_fx!$B$71,IF(OR(Q464="Dry bulk",Q464="Bulk carrier"),S464*Alukset_fx!$B$69,IF(Q464="Tugboat",S464*Alukset_fx!$B$76,IF(OR(Q464="Tanker",Q464="Gas tanker",Q464="Chemical tanker",Q464="Oil tanker"),S464*Alukset_fx!$B$68,IF(OR(Q464="RoRo",Q464="Vehicle carrier"),S464*Alukset_fx!$B$72,IF(Q464="RoPax",S464*Alukset_fx!$B$73,IF(Q464="Container ship",S464*Alukset_fx!$B$70,S464*Alukset_fx!$B$75))))))),"-")</f>
        <v>0</v>
      </c>
      <c r="U464" s="208">
        <f t="shared" si="90"/>
        <v>0</v>
      </c>
      <c r="V464" s="208">
        <f t="shared" si="91"/>
        <v>0</v>
      </c>
      <c r="W464" s="202">
        <f>Alukset_Käynnit!N471</f>
        <v>0</v>
      </c>
      <c r="X464" s="211">
        <f>IF(Q464="Other dry cargo", Alukset_fx!$C$52, IF(OR(Q464="Dry bulk",Q464="Bulk carrier"),Alukset_fx!$C$35,IF(OR(Q464="Tanker",Q464="Gas tanker",Q464="Oil tanker"),Alukset_fx!$C$57,IF(Q464="Chemical tanker",Alukset_fx!$C$56,IF(OR(Q464="Tugboat",Q464="Barge"),0,IF(Q464="Other vessel",Alukset_fx!$C$54,IF(Q464="Container ship",Alukset_fx!$C$37,IF(OR(Q464="RoPax",Q464="RoRo",Q464="Vehicle carrier"),Alukset_fx!$C$55,0))))))))</f>
        <v>0</v>
      </c>
      <c r="Y464" s="211">
        <f>IF(Q464="Other dry cargo", Alukset_fx!$Q$52, IF(OR(Q464="Dry bulk",Q464="Bulk carrier"),Alukset_fx!$Q$35,IF(OR(Q464="Tanker",Q464="Gas tanker",Q464="Oil tanker"),Alukset_fx!$Q$57,IF(Q464="Chemical tanker",Alukset_fx!$Q$56,IF(OR(Q464="Tugboat",Q464="Barge"),0,IF(Q464="Other vessel",Alukset_fx!$Q$54,IF(Q464="Container ship",Alukset_fx!$Q$37,IF(OR(Q464="RoPax",Q464="RoRo",Q464="Vehicle carrier"),Alukset_fx!$Q$55,0))))))))</f>
        <v>0</v>
      </c>
      <c r="Z464" t="str">
        <f t="shared" si="92"/>
        <v>MDO/MGO</v>
      </c>
      <c r="AA464" t="str">
        <f t="shared" si="93"/>
        <v>MSD</v>
      </c>
      <c r="AB464" t="str">
        <f t="shared" si="94"/>
        <v>MDO/MGO</v>
      </c>
      <c r="AC464" t="str">
        <f t="shared" si="95"/>
        <v>MSD</v>
      </c>
      <c r="AD464" t="str">
        <f t="shared" si="96"/>
        <v>MDO/MGO</v>
      </c>
      <c r="AE464" t="str">
        <f t="shared" si="97"/>
        <v>ST</v>
      </c>
      <c r="AG464">
        <f>Alukset_Käynnit!O471</f>
        <v>0</v>
      </c>
      <c r="AH464" s="207">
        <f>IF(AA464="SSD",((U464*Alukset_fx!$B$24)*Alukset_Käynnit_Lask!W464*(Alukset_fx!$K$49)/1000),IF(AA464="MSD",((U464*Alukset_fx!$B$24)*Alukset_Käynnit_Lask!W464*(Alukset_fx!$K$52)/1000),IF(AA464="HSD",((U464*Alukset_fx!$B$24)*Alukset_Käynnit_Lask!W464*(Alukset_fx!$K$55)/1000),0)))</f>
        <v>0</v>
      </c>
      <c r="AI464" s="207">
        <f>IF(AC464="MSD",((V464*Alukset_fx!$B$25)*Alukset_Käynnit_Lask!W464*(Alukset_fx!$L$52)/1000),IF(AC464="HSD",((V464*Alukset_fx!$B$25)*Alukset_Käynnit_Lask!W464*(Alukset_fx!$L$55)/1000),0))</f>
        <v>0</v>
      </c>
      <c r="AJ464" s="207">
        <f>X464*W464*Alukset_fx!$K$61/1000</f>
        <v>0</v>
      </c>
      <c r="AK464">
        <v>0</v>
      </c>
      <c r="AL464" s="207">
        <f>IF(AG464="Käytetty",0,IF(AC464="MSD",((V464*Alukset_fx!$O$25)*Alukset_Käynnit_Lask!O464*(Alukset_fx!$L$52)/1000),IF(AC464="HSD",((V464*Alukset_fx!$O$25)*Alukset_Käynnit_Lask!O464*(Alukset_fx!$L$55)/1000),0)))</f>
        <v>0</v>
      </c>
      <c r="AM464" s="207">
        <f>IF(AG464="Käytetty",0,Y464*O464*Alukset_fx!$K$61/1000)</f>
        <v>0</v>
      </c>
      <c r="AN464" s="213">
        <f t="shared" si="98"/>
        <v>0</v>
      </c>
    </row>
    <row r="465" spans="1:40" x14ac:dyDescent="0.25">
      <c r="A465" s="203">
        <f>Alukset_Käynnit!A472</f>
        <v>0</v>
      </c>
      <c r="B465" s="203">
        <f>Alukset_Käynnit!B472</f>
        <v>0</v>
      </c>
      <c r="C465" s="262">
        <f>Alukset_Käynnit!C472</f>
        <v>0</v>
      </c>
      <c r="D465" s="266">
        <f>Alukset_Käynnit!D472</f>
        <v>0</v>
      </c>
      <c r="E465" s="262">
        <f>Alukset_Käynnit!E472</f>
        <v>0</v>
      </c>
      <c r="F465" s="262">
        <f>Alukset_Käynnit!F472</f>
        <v>0</v>
      </c>
      <c r="G465" s="262">
        <f>Alukset_Käynnit!G472</f>
        <v>0</v>
      </c>
      <c r="H465" s="262">
        <f>Alukset_Käynnit!H472</f>
        <v>0</v>
      </c>
      <c r="I465" s="262">
        <f>Alukset_Käynnit!I472</f>
        <v>0</v>
      </c>
      <c r="J465" s="262">
        <f>Alukset_Käynnit!J472</f>
        <v>0</v>
      </c>
      <c r="K465" s="262">
        <f>Alukset_Käynnit!K472</f>
        <v>0</v>
      </c>
      <c r="L465" s="205">
        <f>Alukset_Käynnit!L472</f>
        <v>0</v>
      </c>
      <c r="N465" s="273">
        <f t="shared" si="87"/>
        <v>0</v>
      </c>
      <c r="O465" s="274">
        <f t="shared" si="88"/>
        <v>0</v>
      </c>
      <c r="Q465" s="204">
        <f t="shared" si="89"/>
        <v>0</v>
      </c>
      <c r="R465" s="202">
        <f>IF(Q465="Other dry cargo",L465*Alukset_fx!$B$71,IF(OR(Q465="Dry bulk",Q465="Bulk carrier"),L465*Alukset_fx!$B$69,IF(Q465="Tugboat",L465*Alukset_fx!$B$76,IF(OR(Q465="Tanker",Q465="Gas tanker",Q465="Chemical tanker",Q465="Oil tanker"),L465*Alukset_fx!$B$68,IF(OR(Q465="RoRo",Q465="Vehicle carrier"),L465*Alukset_fx!$B$72,IF(Q465="RoPax",L465*Alukset_fx!$B$73,IF(Q465="Container ship",L465*Alukset_fx!$B$70,IF(Q465="Barge",0,L465*Alukset_fx!$B$75))))))))</f>
        <v>0</v>
      </c>
      <c r="S465" s="210">
        <f>IF(L465=0,IF(Q465="Other dry cargo",Alukset_fx!$H$73*(Alukset_Käynnit_Lask!K465^Alukset_fx!$I$73),IF(OR(Q465="Dry Bulk",Q465="Bulk carrier"),Alukset_fx!$H$71*(Alukset_Käynnit_Lask!K465^Alukset_fx!$I$71),IF(Q465="Tugboat",Alukset_fx!$H$78*(Alukset_Käynnit_Lask!K465^Alukset_fx!$I$78),IF(OR(Q465="Tanker",Q465="Gas tanker",Q465="Chemical tanker",Q465="Oil tanker"),Alukset_fx!$H$70*(Alukset_Käynnit_Lask!K465^Alukset_fx!$I$70),IF(Q465="Container ship",Alukset_fx!$H$72*(Alukset_Käynnit_Lask!K465^Alukset_fx!$I$72),IF(Q465="Barge",0,IF(Q465="RoPax",Alukset_fx!$H$75*(Alukset_Käynnit_Lask!K465^Alukset_fx!$I$75),IF(OR(Q465="RoRo",Q465="Vehicle carrier"),Alukset_fx!$H$74*(Alukset_Käynnit_Lask!K465^Alukset_fx!$I$74),Alukset_fx!$H$77*(Alukset_Käynnit_Lask!K465^Alukset_fx!$I$77))))))))),"-")</f>
        <v>0</v>
      </c>
      <c r="T465" s="208">
        <f>IF(R465=0,IF(Q465="Other dry cargo",S465*Alukset_fx!$B$71,IF(OR(Q465="Dry bulk",Q465="Bulk carrier"),S465*Alukset_fx!$B$69,IF(Q465="Tugboat",S465*Alukset_fx!$B$76,IF(OR(Q465="Tanker",Q465="Gas tanker",Q465="Chemical tanker",Q465="Oil tanker"),S465*Alukset_fx!$B$68,IF(OR(Q465="RoRo",Q465="Vehicle carrier"),S465*Alukset_fx!$B$72,IF(Q465="RoPax",S465*Alukset_fx!$B$73,IF(Q465="Container ship",S465*Alukset_fx!$B$70,S465*Alukset_fx!$B$75))))))),"-")</f>
        <v>0</v>
      </c>
      <c r="U465" s="208">
        <f t="shared" si="90"/>
        <v>0</v>
      </c>
      <c r="V465" s="208">
        <f t="shared" si="91"/>
        <v>0</v>
      </c>
      <c r="W465" s="202">
        <f>Alukset_Käynnit!N472</f>
        <v>0</v>
      </c>
      <c r="X465" s="211">
        <f>IF(Q465="Other dry cargo", Alukset_fx!$C$52, IF(OR(Q465="Dry bulk",Q465="Bulk carrier"),Alukset_fx!$C$35,IF(OR(Q465="Tanker",Q465="Gas tanker",Q465="Oil tanker"),Alukset_fx!$C$57,IF(Q465="Chemical tanker",Alukset_fx!$C$56,IF(OR(Q465="Tugboat",Q465="Barge"),0,IF(Q465="Other vessel",Alukset_fx!$C$54,IF(Q465="Container ship",Alukset_fx!$C$37,IF(OR(Q465="RoPax",Q465="RoRo",Q465="Vehicle carrier"),Alukset_fx!$C$55,0))))))))</f>
        <v>0</v>
      </c>
      <c r="Y465" s="211">
        <f>IF(Q465="Other dry cargo", Alukset_fx!$Q$52, IF(OR(Q465="Dry bulk",Q465="Bulk carrier"),Alukset_fx!$Q$35,IF(OR(Q465="Tanker",Q465="Gas tanker",Q465="Oil tanker"),Alukset_fx!$Q$57,IF(Q465="Chemical tanker",Alukset_fx!$Q$56,IF(OR(Q465="Tugboat",Q465="Barge"),0,IF(Q465="Other vessel",Alukset_fx!$Q$54,IF(Q465="Container ship",Alukset_fx!$Q$37,IF(OR(Q465="RoPax",Q465="RoRo",Q465="Vehicle carrier"),Alukset_fx!$Q$55,0))))))))</f>
        <v>0</v>
      </c>
      <c r="Z465" t="str">
        <f t="shared" si="92"/>
        <v>MDO/MGO</v>
      </c>
      <c r="AA465" t="str">
        <f t="shared" si="93"/>
        <v>MSD</v>
      </c>
      <c r="AB465" t="str">
        <f t="shared" si="94"/>
        <v>MDO/MGO</v>
      </c>
      <c r="AC465" t="str">
        <f t="shared" si="95"/>
        <v>MSD</v>
      </c>
      <c r="AD465" t="str">
        <f t="shared" si="96"/>
        <v>MDO/MGO</v>
      </c>
      <c r="AE465" t="str">
        <f t="shared" si="97"/>
        <v>ST</v>
      </c>
      <c r="AG465">
        <f>Alukset_Käynnit!O472</f>
        <v>0</v>
      </c>
      <c r="AH465" s="207">
        <f>IF(AA465="SSD",((U465*Alukset_fx!$B$24)*Alukset_Käynnit_Lask!W465*(Alukset_fx!$K$49)/1000),IF(AA465="MSD",((U465*Alukset_fx!$B$24)*Alukset_Käynnit_Lask!W465*(Alukset_fx!$K$52)/1000),IF(AA465="HSD",((U465*Alukset_fx!$B$24)*Alukset_Käynnit_Lask!W465*(Alukset_fx!$K$55)/1000),0)))</f>
        <v>0</v>
      </c>
      <c r="AI465" s="207">
        <f>IF(AC465="MSD",((V465*Alukset_fx!$B$25)*Alukset_Käynnit_Lask!W465*(Alukset_fx!$L$52)/1000),IF(AC465="HSD",((V465*Alukset_fx!$B$25)*Alukset_Käynnit_Lask!W465*(Alukset_fx!$L$55)/1000),0))</f>
        <v>0</v>
      </c>
      <c r="AJ465" s="207">
        <f>X465*W465*Alukset_fx!$K$61/1000</f>
        <v>0</v>
      </c>
      <c r="AK465">
        <v>0</v>
      </c>
      <c r="AL465" s="207">
        <f>IF(AG465="Käytetty",0,IF(AC465="MSD",((V465*Alukset_fx!$O$25)*Alukset_Käynnit_Lask!O465*(Alukset_fx!$L$52)/1000),IF(AC465="HSD",((V465*Alukset_fx!$O$25)*Alukset_Käynnit_Lask!O465*(Alukset_fx!$L$55)/1000),0)))</f>
        <v>0</v>
      </c>
      <c r="AM465" s="207">
        <f>IF(AG465="Käytetty",0,Y465*O465*Alukset_fx!$K$61/1000)</f>
        <v>0</v>
      </c>
      <c r="AN465" s="213">
        <f t="shared" si="98"/>
        <v>0</v>
      </c>
    </row>
    <row r="466" spans="1:40" x14ac:dyDescent="0.25">
      <c r="A466" s="203">
        <f>Alukset_Käynnit!A473</f>
        <v>0</v>
      </c>
      <c r="B466" s="203">
        <f>Alukset_Käynnit!B473</f>
        <v>0</v>
      </c>
      <c r="C466" s="262">
        <f>Alukset_Käynnit!C473</f>
        <v>0</v>
      </c>
      <c r="D466" s="266">
        <f>Alukset_Käynnit!D473</f>
        <v>0</v>
      </c>
      <c r="E466" s="262">
        <f>Alukset_Käynnit!E473</f>
        <v>0</v>
      </c>
      <c r="F466" s="262">
        <f>Alukset_Käynnit!F473</f>
        <v>0</v>
      </c>
      <c r="G466" s="262">
        <f>Alukset_Käynnit!G473</f>
        <v>0</v>
      </c>
      <c r="H466" s="262">
        <f>Alukset_Käynnit!H473</f>
        <v>0</v>
      </c>
      <c r="I466" s="262">
        <f>Alukset_Käynnit!I473</f>
        <v>0</v>
      </c>
      <c r="J466" s="262">
        <f>Alukset_Käynnit!J473</f>
        <v>0</v>
      </c>
      <c r="K466" s="262">
        <f>Alukset_Käynnit!K473</f>
        <v>0</v>
      </c>
      <c r="L466" s="205">
        <f>Alukset_Käynnit!L473</f>
        <v>0</v>
      </c>
      <c r="N466" s="273">
        <f t="shared" si="87"/>
        <v>0</v>
      </c>
      <c r="O466" s="274">
        <f t="shared" si="88"/>
        <v>0</v>
      </c>
      <c r="Q466" s="204">
        <f t="shared" si="89"/>
        <v>0</v>
      </c>
      <c r="R466" s="202">
        <f>IF(Q466="Other dry cargo",L466*Alukset_fx!$B$71,IF(OR(Q466="Dry bulk",Q466="Bulk carrier"),L466*Alukset_fx!$B$69,IF(Q466="Tugboat",L466*Alukset_fx!$B$76,IF(OR(Q466="Tanker",Q466="Gas tanker",Q466="Chemical tanker",Q466="Oil tanker"),L466*Alukset_fx!$B$68,IF(OR(Q466="RoRo",Q466="Vehicle carrier"),L466*Alukset_fx!$B$72,IF(Q466="RoPax",L466*Alukset_fx!$B$73,IF(Q466="Container ship",L466*Alukset_fx!$B$70,IF(Q466="Barge",0,L466*Alukset_fx!$B$75))))))))</f>
        <v>0</v>
      </c>
      <c r="S466" s="210">
        <f>IF(L466=0,IF(Q466="Other dry cargo",Alukset_fx!$H$73*(Alukset_Käynnit_Lask!K466^Alukset_fx!$I$73),IF(OR(Q466="Dry Bulk",Q466="Bulk carrier"),Alukset_fx!$H$71*(Alukset_Käynnit_Lask!K466^Alukset_fx!$I$71),IF(Q466="Tugboat",Alukset_fx!$H$78*(Alukset_Käynnit_Lask!K466^Alukset_fx!$I$78),IF(OR(Q466="Tanker",Q466="Gas tanker",Q466="Chemical tanker",Q466="Oil tanker"),Alukset_fx!$H$70*(Alukset_Käynnit_Lask!K466^Alukset_fx!$I$70),IF(Q466="Container ship",Alukset_fx!$H$72*(Alukset_Käynnit_Lask!K466^Alukset_fx!$I$72),IF(Q466="Barge",0,IF(Q466="RoPax",Alukset_fx!$H$75*(Alukset_Käynnit_Lask!K466^Alukset_fx!$I$75),IF(OR(Q466="RoRo",Q466="Vehicle carrier"),Alukset_fx!$H$74*(Alukset_Käynnit_Lask!K466^Alukset_fx!$I$74),Alukset_fx!$H$77*(Alukset_Käynnit_Lask!K466^Alukset_fx!$I$77))))))))),"-")</f>
        <v>0</v>
      </c>
      <c r="T466" s="208">
        <f>IF(R466=0,IF(Q466="Other dry cargo",S466*Alukset_fx!$B$71,IF(OR(Q466="Dry bulk",Q466="Bulk carrier"),S466*Alukset_fx!$B$69,IF(Q466="Tugboat",S466*Alukset_fx!$B$76,IF(OR(Q466="Tanker",Q466="Gas tanker",Q466="Chemical tanker",Q466="Oil tanker"),S466*Alukset_fx!$B$68,IF(OR(Q466="RoRo",Q466="Vehicle carrier"),S466*Alukset_fx!$B$72,IF(Q466="RoPax",S466*Alukset_fx!$B$73,IF(Q466="Container ship",S466*Alukset_fx!$B$70,S466*Alukset_fx!$B$75))))))),"-")</f>
        <v>0</v>
      </c>
      <c r="U466" s="208">
        <f t="shared" si="90"/>
        <v>0</v>
      </c>
      <c r="V466" s="208">
        <f t="shared" si="91"/>
        <v>0</v>
      </c>
      <c r="W466" s="202">
        <f>Alukset_Käynnit!N473</f>
        <v>0</v>
      </c>
      <c r="X466" s="211">
        <f>IF(Q466="Other dry cargo", Alukset_fx!$C$52, IF(OR(Q466="Dry bulk",Q466="Bulk carrier"),Alukset_fx!$C$35,IF(OR(Q466="Tanker",Q466="Gas tanker",Q466="Oil tanker"),Alukset_fx!$C$57,IF(Q466="Chemical tanker",Alukset_fx!$C$56,IF(OR(Q466="Tugboat",Q466="Barge"),0,IF(Q466="Other vessel",Alukset_fx!$C$54,IF(Q466="Container ship",Alukset_fx!$C$37,IF(OR(Q466="RoPax",Q466="RoRo",Q466="Vehicle carrier"),Alukset_fx!$C$55,0))))))))</f>
        <v>0</v>
      </c>
      <c r="Y466" s="211">
        <f>IF(Q466="Other dry cargo", Alukset_fx!$Q$52, IF(OR(Q466="Dry bulk",Q466="Bulk carrier"),Alukset_fx!$Q$35,IF(OR(Q466="Tanker",Q466="Gas tanker",Q466="Oil tanker"),Alukset_fx!$Q$57,IF(Q466="Chemical tanker",Alukset_fx!$Q$56,IF(OR(Q466="Tugboat",Q466="Barge"),0,IF(Q466="Other vessel",Alukset_fx!$Q$54,IF(Q466="Container ship",Alukset_fx!$Q$37,IF(OR(Q466="RoPax",Q466="RoRo",Q466="Vehicle carrier"),Alukset_fx!$Q$55,0))))))))</f>
        <v>0</v>
      </c>
      <c r="Z466" t="str">
        <f t="shared" si="92"/>
        <v>MDO/MGO</v>
      </c>
      <c r="AA466" t="str">
        <f t="shared" si="93"/>
        <v>MSD</v>
      </c>
      <c r="AB466" t="str">
        <f t="shared" si="94"/>
        <v>MDO/MGO</v>
      </c>
      <c r="AC466" t="str">
        <f t="shared" si="95"/>
        <v>MSD</v>
      </c>
      <c r="AD466" t="str">
        <f t="shared" si="96"/>
        <v>MDO/MGO</v>
      </c>
      <c r="AE466" t="str">
        <f t="shared" si="97"/>
        <v>ST</v>
      </c>
      <c r="AG466">
        <f>Alukset_Käynnit!O473</f>
        <v>0</v>
      </c>
      <c r="AH466" s="207">
        <f>IF(AA466="SSD",((U466*Alukset_fx!$B$24)*Alukset_Käynnit_Lask!W466*(Alukset_fx!$K$49)/1000),IF(AA466="MSD",((U466*Alukset_fx!$B$24)*Alukset_Käynnit_Lask!W466*(Alukset_fx!$K$52)/1000),IF(AA466="HSD",((U466*Alukset_fx!$B$24)*Alukset_Käynnit_Lask!W466*(Alukset_fx!$K$55)/1000),0)))</f>
        <v>0</v>
      </c>
      <c r="AI466" s="207">
        <f>IF(AC466="MSD",((V466*Alukset_fx!$B$25)*Alukset_Käynnit_Lask!W466*(Alukset_fx!$L$52)/1000),IF(AC466="HSD",((V466*Alukset_fx!$B$25)*Alukset_Käynnit_Lask!W466*(Alukset_fx!$L$55)/1000),0))</f>
        <v>0</v>
      </c>
      <c r="AJ466" s="207">
        <f>X466*W466*Alukset_fx!$K$61/1000</f>
        <v>0</v>
      </c>
      <c r="AK466">
        <v>0</v>
      </c>
      <c r="AL466" s="207">
        <f>IF(AG466="Käytetty",0,IF(AC466="MSD",((V466*Alukset_fx!$O$25)*Alukset_Käynnit_Lask!O466*(Alukset_fx!$L$52)/1000),IF(AC466="HSD",((V466*Alukset_fx!$O$25)*Alukset_Käynnit_Lask!O466*(Alukset_fx!$L$55)/1000),0)))</f>
        <v>0</v>
      </c>
      <c r="AM466" s="207">
        <f>IF(AG466="Käytetty",0,Y466*O466*Alukset_fx!$K$61/1000)</f>
        <v>0</v>
      </c>
      <c r="AN466" s="213">
        <f t="shared" si="98"/>
        <v>0</v>
      </c>
    </row>
    <row r="467" spans="1:40" x14ac:dyDescent="0.25">
      <c r="A467" s="203">
        <f>Alukset_Käynnit!A474</f>
        <v>0</v>
      </c>
      <c r="B467" s="203">
        <f>Alukset_Käynnit!B474</f>
        <v>0</v>
      </c>
      <c r="C467" s="262">
        <f>Alukset_Käynnit!C474</f>
        <v>0</v>
      </c>
      <c r="D467" s="266">
        <f>Alukset_Käynnit!D474</f>
        <v>0</v>
      </c>
      <c r="E467" s="262">
        <f>Alukset_Käynnit!E474</f>
        <v>0</v>
      </c>
      <c r="F467" s="262">
        <f>Alukset_Käynnit!F474</f>
        <v>0</v>
      </c>
      <c r="G467" s="262">
        <f>Alukset_Käynnit!G474</f>
        <v>0</v>
      </c>
      <c r="H467" s="262">
        <f>Alukset_Käynnit!H474</f>
        <v>0</v>
      </c>
      <c r="I467" s="262">
        <f>Alukset_Käynnit!I474</f>
        <v>0</v>
      </c>
      <c r="J467" s="262">
        <f>Alukset_Käynnit!J474</f>
        <v>0</v>
      </c>
      <c r="K467" s="262">
        <f>Alukset_Käynnit!K474</f>
        <v>0</v>
      </c>
      <c r="L467" s="205">
        <f>Alukset_Käynnit!L474</f>
        <v>0</v>
      </c>
      <c r="N467" s="273">
        <f t="shared" si="87"/>
        <v>0</v>
      </c>
      <c r="O467" s="274">
        <f t="shared" si="88"/>
        <v>0</v>
      </c>
      <c r="Q467" s="204">
        <f t="shared" si="89"/>
        <v>0</v>
      </c>
      <c r="R467" s="202">
        <f>IF(Q467="Other dry cargo",L467*Alukset_fx!$B$71,IF(OR(Q467="Dry bulk",Q467="Bulk carrier"),L467*Alukset_fx!$B$69,IF(Q467="Tugboat",L467*Alukset_fx!$B$76,IF(OR(Q467="Tanker",Q467="Gas tanker",Q467="Chemical tanker",Q467="Oil tanker"),L467*Alukset_fx!$B$68,IF(OR(Q467="RoRo",Q467="Vehicle carrier"),L467*Alukset_fx!$B$72,IF(Q467="RoPax",L467*Alukset_fx!$B$73,IF(Q467="Container ship",L467*Alukset_fx!$B$70,IF(Q467="Barge",0,L467*Alukset_fx!$B$75))))))))</f>
        <v>0</v>
      </c>
      <c r="S467" s="210">
        <f>IF(L467=0,IF(Q467="Other dry cargo",Alukset_fx!$H$73*(Alukset_Käynnit_Lask!K467^Alukset_fx!$I$73),IF(OR(Q467="Dry Bulk",Q467="Bulk carrier"),Alukset_fx!$H$71*(Alukset_Käynnit_Lask!K467^Alukset_fx!$I$71),IF(Q467="Tugboat",Alukset_fx!$H$78*(Alukset_Käynnit_Lask!K467^Alukset_fx!$I$78),IF(OR(Q467="Tanker",Q467="Gas tanker",Q467="Chemical tanker",Q467="Oil tanker"),Alukset_fx!$H$70*(Alukset_Käynnit_Lask!K467^Alukset_fx!$I$70),IF(Q467="Container ship",Alukset_fx!$H$72*(Alukset_Käynnit_Lask!K467^Alukset_fx!$I$72),IF(Q467="Barge",0,IF(Q467="RoPax",Alukset_fx!$H$75*(Alukset_Käynnit_Lask!K467^Alukset_fx!$I$75),IF(OR(Q467="RoRo",Q467="Vehicle carrier"),Alukset_fx!$H$74*(Alukset_Käynnit_Lask!K467^Alukset_fx!$I$74),Alukset_fx!$H$77*(Alukset_Käynnit_Lask!K467^Alukset_fx!$I$77))))))))),"-")</f>
        <v>0</v>
      </c>
      <c r="T467" s="208">
        <f>IF(R467=0,IF(Q467="Other dry cargo",S467*Alukset_fx!$B$71,IF(OR(Q467="Dry bulk",Q467="Bulk carrier"),S467*Alukset_fx!$B$69,IF(Q467="Tugboat",S467*Alukset_fx!$B$76,IF(OR(Q467="Tanker",Q467="Gas tanker",Q467="Chemical tanker",Q467="Oil tanker"),S467*Alukset_fx!$B$68,IF(OR(Q467="RoRo",Q467="Vehicle carrier"),S467*Alukset_fx!$B$72,IF(Q467="RoPax",S467*Alukset_fx!$B$73,IF(Q467="Container ship",S467*Alukset_fx!$B$70,S467*Alukset_fx!$B$75))))))),"-")</f>
        <v>0</v>
      </c>
      <c r="U467" s="208">
        <f t="shared" si="90"/>
        <v>0</v>
      </c>
      <c r="V467" s="208">
        <f t="shared" si="91"/>
        <v>0</v>
      </c>
      <c r="W467" s="202">
        <f>Alukset_Käynnit!N474</f>
        <v>0</v>
      </c>
      <c r="X467" s="211">
        <f>IF(Q467="Other dry cargo", Alukset_fx!$C$52, IF(OR(Q467="Dry bulk",Q467="Bulk carrier"),Alukset_fx!$C$35,IF(OR(Q467="Tanker",Q467="Gas tanker",Q467="Oil tanker"),Alukset_fx!$C$57,IF(Q467="Chemical tanker",Alukset_fx!$C$56,IF(OR(Q467="Tugboat",Q467="Barge"),0,IF(Q467="Other vessel",Alukset_fx!$C$54,IF(Q467="Container ship",Alukset_fx!$C$37,IF(OR(Q467="RoPax",Q467="RoRo",Q467="Vehicle carrier"),Alukset_fx!$C$55,0))))))))</f>
        <v>0</v>
      </c>
      <c r="Y467" s="211">
        <f>IF(Q467="Other dry cargo", Alukset_fx!$Q$52, IF(OR(Q467="Dry bulk",Q467="Bulk carrier"),Alukset_fx!$Q$35,IF(OR(Q467="Tanker",Q467="Gas tanker",Q467="Oil tanker"),Alukset_fx!$Q$57,IF(Q467="Chemical tanker",Alukset_fx!$Q$56,IF(OR(Q467="Tugboat",Q467="Barge"),0,IF(Q467="Other vessel",Alukset_fx!$Q$54,IF(Q467="Container ship",Alukset_fx!$Q$37,IF(OR(Q467="RoPax",Q467="RoRo",Q467="Vehicle carrier"),Alukset_fx!$Q$55,0))))))))</f>
        <v>0</v>
      </c>
      <c r="Z467" t="str">
        <f t="shared" si="92"/>
        <v>MDO/MGO</v>
      </c>
      <c r="AA467" t="str">
        <f t="shared" si="93"/>
        <v>MSD</v>
      </c>
      <c r="AB467" t="str">
        <f t="shared" si="94"/>
        <v>MDO/MGO</v>
      </c>
      <c r="AC467" t="str">
        <f t="shared" si="95"/>
        <v>MSD</v>
      </c>
      <c r="AD467" t="str">
        <f t="shared" si="96"/>
        <v>MDO/MGO</v>
      </c>
      <c r="AE467" t="str">
        <f t="shared" si="97"/>
        <v>ST</v>
      </c>
      <c r="AG467">
        <f>Alukset_Käynnit!O474</f>
        <v>0</v>
      </c>
      <c r="AH467" s="207">
        <f>IF(AA467="SSD",((U467*Alukset_fx!$B$24)*Alukset_Käynnit_Lask!W467*(Alukset_fx!$K$49)/1000),IF(AA467="MSD",((U467*Alukset_fx!$B$24)*Alukset_Käynnit_Lask!W467*(Alukset_fx!$K$52)/1000),IF(AA467="HSD",((U467*Alukset_fx!$B$24)*Alukset_Käynnit_Lask!W467*(Alukset_fx!$K$55)/1000),0)))</f>
        <v>0</v>
      </c>
      <c r="AI467" s="207">
        <f>IF(AC467="MSD",((V467*Alukset_fx!$B$25)*Alukset_Käynnit_Lask!W467*(Alukset_fx!$L$52)/1000),IF(AC467="HSD",((V467*Alukset_fx!$B$25)*Alukset_Käynnit_Lask!W467*(Alukset_fx!$L$55)/1000),0))</f>
        <v>0</v>
      </c>
      <c r="AJ467" s="207">
        <f>X467*W467*Alukset_fx!$K$61/1000</f>
        <v>0</v>
      </c>
      <c r="AK467">
        <v>0</v>
      </c>
      <c r="AL467" s="207">
        <f>IF(AG467="Käytetty",0,IF(AC467="MSD",((V467*Alukset_fx!$O$25)*Alukset_Käynnit_Lask!O467*(Alukset_fx!$L$52)/1000),IF(AC467="HSD",((V467*Alukset_fx!$O$25)*Alukset_Käynnit_Lask!O467*(Alukset_fx!$L$55)/1000),0)))</f>
        <v>0</v>
      </c>
      <c r="AM467" s="207">
        <f>IF(AG467="Käytetty",0,Y467*O467*Alukset_fx!$K$61/1000)</f>
        <v>0</v>
      </c>
      <c r="AN467" s="213">
        <f t="shared" si="98"/>
        <v>0</v>
      </c>
    </row>
    <row r="468" spans="1:40" x14ac:dyDescent="0.25">
      <c r="A468" s="203">
        <f>Alukset_Käynnit!A475</f>
        <v>0</v>
      </c>
      <c r="B468" s="203">
        <f>Alukset_Käynnit!B475</f>
        <v>0</v>
      </c>
      <c r="C468" s="262">
        <f>Alukset_Käynnit!C475</f>
        <v>0</v>
      </c>
      <c r="D468" s="266">
        <f>Alukset_Käynnit!D475</f>
        <v>0</v>
      </c>
      <c r="E468" s="262">
        <f>Alukset_Käynnit!E475</f>
        <v>0</v>
      </c>
      <c r="F468" s="262">
        <f>Alukset_Käynnit!F475</f>
        <v>0</v>
      </c>
      <c r="G468" s="262">
        <f>Alukset_Käynnit!G475</f>
        <v>0</v>
      </c>
      <c r="H468" s="262">
        <f>Alukset_Käynnit!H475</f>
        <v>0</v>
      </c>
      <c r="I468" s="262">
        <f>Alukset_Käynnit!I475</f>
        <v>0</v>
      </c>
      <c r="J468" s="262">
        <f>Alukset_Käynnit!J475</f>
        <v>0</v>
      </c>
      <c r="K468" s="262">
        <f>Alukset_Käynnit!K475</f>
        <v>0</v>
      </c>
      <c r="L468" s="205">
        <f>Alukset_Käynnit!L475</f>
        <v>0</v>
      </c>
      <c r="N468" s="273">
        <f t="shared" si="87"/>
        <v>0</v>
      </c>
      <c r="O468" s="274">
        <f t="shared" si="88"/>
        <v>0</v>
      </c>
      <c r="Q468" s="204">
        <f t="shared" si="89"/>
        <v>0</v>
      </c>
      <c r="R468" s="202">
        <f>IF(Q468="Other dry cargo",L468*Alukset_fx!$B$71,IF(OR(Q468="Dry bulk",Q468="Bulk carrier"),L468*Alukset_fx!$B$69,IF(Q468="Tugboat",L468*Alukset_fx!$B$76,IF(OR(Q468="Tanker",Q468="Gas tanker",Q468="Chemical tanker",Q468="Oil tanker"),L468*Alukset_fx!$B$68,IF(OR(Q468="RoRo",Q468="Vehicle carrier"),L468*Alukset_fx!$B$72,IF(Q468="RoPax",L468*Alukset_fx!$B$73,IF(Q468="Container ship",L468*Alukset_fx!$B$70,IF(Q468="Barge",0,L468*Alukset_fx!$B$75))))))))</f>
        <v>0</v>
      </c>
      <c r="S468" s="210">
        <f>IF(L468=0,IF(Q468="Other dry cargo",Alukset_fx!$H$73*(Alukset_Käynnit_Lask!K468^Alukset_fx!$I$73),IF(OR(Q468="Dry Bulk",Q468="Bulk carrier"),Alukset_fx!$H$71*(Alukset_Käynnit_Lask!K468^Alukset_fx!$I$71),IF(Q468="Tugboat",Alukset_fx!$H$78*(Alukset_Käynnit_Lask!K468^Alukset_fx!$I$78),IF(OR(Q468="Tanker",Q468="Gas tanker",Q468="Chemical tanker",Q468="Oil tanker"),Alukset_fx!$H$70*(Alukset_Käynnit_Lask!K468^Alukset_fx!$I$70),IF(Q468="Container ship",Alukset_fx!$H$72*(Alukset_Käynnit_Lask!K468^Alukset_fx!$I$72),IF(Q468="Barge",0,IF(Q468="RoPax",Alukset_fx!$H$75*(Alukset_Käynnit_Lask!K468^Alukset_fx!$I$75),IF(OR(Q468="RoRo",Q468="Vehicle carrier"),Alukset_fx!$H$74*(Alukset_Käynnit_Lask!K468^Alukset_fx!$I$74),Alukset_fx!$H$77*(Alukset_Käynnit_Lask!K468^Alukset_fx!$I$77))))))))),"-")</f>
        <v>0</v>
      </c>
      <c r="T468" s="208">
        <f>IF(R468=0,IF(Q468="Other dry cargo",S468*Alukset_fx!$B$71,IF(OR(Q468="Dry bulk",Q468="Bulk carrier"),S468*Alukset_fx!$B$69,IF(Q468="Tugboat",S468*Alukset_fx!$B$76,IF(OR(Q468="Tanker",Q468="Gas tanker",Q468="Chemical tanker",Q468="Oil tanker"),S468*Alukset_fx!$B$68,IF(OR(Q468="RoRo",Q468="Vehicle carrier"),S468*Alukset_fx!$B$72,IF(Q468="RoPax",S468*Alukset_fx!$B$73,IF(Q468="Container ship",S468*Alukset_fx!$B$70,S468*Alukset_fx!$B$75))))))),"-")</f>
        <v>0</v>
      </c>
      <c r="U468" s="208">
        <f t="shared" si="90"/>
        <v>0</v>
      </c>
      <c r="V468" s="208">
        <f t="shared" si="91"/>
        <v>0</v>
      </c>
      <c r="W468" s="202">
        <f>Alukset_Käynnit!N475</f>
        <v>0</v>
      </c>
      <c r="X468" s="211">
        <f>IF(Q468="Other dry cargo", Alukset_fx!$C$52, IF(OR(Q468="Dry bulk",Q468="Bulk carrier"),Alukset_fx!$C$35,IF(OR(Q468="Tanker",Q468="Gas tanker",Q468="Oil tanker"),Alukset_fx!$C$57,IF(Q468="Chemical tanker",Alukset_fx!$C$56,IF(OR(Q468="Tugboat",Q468="Barge"),0,IF(Q468="Other vessel",Alukset_fx!$C$54,IF(Q468="Container ship",Alukset_fx!$C$37,IF(OR(Q468="RoPax",Q468="RoRo",Q468="Vehicle carrier"),Alukset_fx!$C$55,0))))))))</f>
        <v>0</v>
      </c>
      <c r="Y468" s="211">
        <f>IF(Q468="Other dry cargo", Alukset_fx!$Q$52, IF(OR(Q468="Dry bulk",Q468="Bulk carrier"),Alukset_fx!$Q$35,IF(OR(Q468="Tanker",Q468="Gas tanker",Q468="Oil tanker"),Alukset_fx!$Q$57,IF(Q468="Chemical tanker",Alukset_fx!$Q$56,IF(OR(Q468="Tugboat",Q468="Barge"),0,IF(Q468="Other vessel",Alukset_fx!$Q$54,IF(Q468="Container ship",Alukset_fx!$Q$37,IF(OR(Q468="RoPax",Q468="RoRo",Q468="Vehicle carrier"),Alukset_fx!$Q$55,0))))))))</f>
        <v>0</v>
      </c>
      <c r="Z468" t="str">
        <f t="shared" si="92"/>
        <v>MDO/MGO</v>
      </c>
      <c r="AA468" t="str">
        <f t="shared" si="93"/>
        <v>MSD</v>
      </c>
      <c r="AB468" t="str">
        <f t="shared" si="94"/>
        <v>MDO/MGO</v>
      </c>
      <c r="AC468" t="str">
        <f t="shared" si="95"/>
        <v>MSD</v>
      </c>
      <c r="AD468" t="str">
        <f t="shared" si="96"/>
        <v>MDO/MGO</v>
      </c>
      <c r="AE468" t="str">
        <f t="shared" si="97"/>
        <v>ST</v>
      </c>
      <c r="AG468">
        <f>Alukset_Käynnit!O475</f>
        <v>0</v>
      </c>
      <c r="AH468" s="207">
        <f>IF(AA468="SSD",((U468*Alukset_fx!$B$24)*Alukset_Käynnit_Lask!W468*(Alukset_fx!$K$49)/1000),IF(AA468="MSD",((U468*Alukset_fx!$B$24)*Alukset_Käynnit_Lask!W468*(Alukset_fx!$K$52)/1000),IF(AA468="HSD",((U468*Alukset_fx!$B$24)*Alukset_Käynnit_Lask!W468*(Alukset_fx!$K$55)/1000),0)))</f>
        <v>0</v>
      </c>
      <c r="AI468" s="207">
        <f>IF(AC468="MSD",((V468*Alukset_fx!$B$25)*Alukset_Käynnit_Lask!W468*(Alukset_fx!$L$52)/1000),IF(AC468="HSD",((V468*Alukset_fx!$B$25)*Alukset_Käynnit_Lask!W468*(Alukset_fx!$L$55)/1000),0))</f>
        <v>0</v>
      </c>
      <c r="AJ468" s="207">
        <f>X468*W468*Alukset_fx!$K$61/1000</f>
        <v>0</v>
      </c>
      <c r="AK468">
        <v>0</v>
      </c>
      <c r="AL468" s="207">
        <f>IF(AG468="Käytetty",0,IF(AC468="MSD",((V468*Alukset_fx!$O$25)*Alukset_Käynnit_Lask!O468*(Alukset_fx!$L$52)/1000),IF(AC468="HSD",((V468*Alukset_fx!$O$25)*Alukset_Käynnit_Lask!O468*(Alukset_fx!$L$55)/1000),0)))</f>
        <v>0</v>
      </c>
      <c r="AM468" s="207">
        <f>IF(AG468="Käytetty",0,Y468*O468*Alukset_fx!$K$61/1000)</f>
        <v>0</v>
      </c>
      <c r="AN468" s="213">
        <f t="shared" si="98"/>
        <v>0</v>
      </c>
    </row>
    <row r="469" spans="1:40" x14ac:dyDescent="0.25">
      <c r="A469" s="203">
        <f>Alukset_Käynnit!A476</f>
        <v>0</v>
      </c>
      <c r="B469" s="203">
        <f>Alukset_Käynnit!B476</f>
        <v>0</v>
      </c>
      <c r="C469" s="262">
        <f>Alukset_Käynnit!C476</f>
        <v>0</v>
      </c>
      <c r="D469" s="266">
        <f>Alukset_Käynnit!D476</f>
        <v>0</v>
      </c>
      <c r="E469" s="262">
        <f>Alukset_Käynnit!E476</f>
        <v>0</v>
      </c>
      <c r="F469" s="262">
        <f>Alukset_Käynnit!F476</f>
        <v>0</v>
      </c>
      <c r="G469" s="262">
        <f>Alukset_Käynnit!G476</f>
        <v>0</v>
      </c>
      <c r="H469" s="262">
        <f>Alukset_Käynnit!H476</f>
        <v>0</v>
      </c>
      <c r="I469" s="262">
        <f>Alukset_Käynnit!I476</f>
        <v>0</v>
      </c>
      <c r="J469" s="262">
        <f>Alukset_Käynnit!J476</f>
        <v>0</v>
      </c>
      <c r="K469" s="262">
        <f>Alukset_Käynnit!K476</f>
        <v>0</v>
      </c>
      <c r="L469" s="205">
        <f>Alukset_Käynnit!L476</f>
        <v>0</v>
      </c>
      <c r="N469" s="273">
        <f t="shared" ref="N469:N532" si="99">(B469-A469)*1440</f>
        <v>0</v>
      </c>
      <c r="O469" s="274">
        <f t="shared" ref="O469:O532" si="100">N469/60</f>
        <v>0</v>
      </c>
      <c r="Q469" s="204">
        <f t="shared" si="89"/>
        <v>0</v>
      </c>
      <c r="R469" s="202">
        <f>IF(Q469="Other dry cargo",L469*Alukset_fx!$B$71,IF(OR(Q469="Dry bulk",Q469="Bulk carrier"),L469*Alukset_fx!$B$69,IF(Q469="Tugboat",L469*Alukset_fx!$B$76,IF(OR(Q469="Tanker",Q469="Gas tanker",Q469="Chemical tanker",Q469="Oil tanker"),L469*Alukset_fx!$B$68,IF(OR(Q469="RoRo",Q469="Vehicle carrier"),L469*Alukset_fx!$B$72,IF(Q469="RoPax",L469*Alukset_fx!$B$73,IF(Q469="Container ship",L469*Alukset_fx!$B$70,IF(Q469="Barge",0,L469*Alukset_fx!$B$75))))))))</f>
        <v>0</v>
      </c>
      <c r="S469" s="210">
        <f>IF(L469=0,IF(Q469="Other dry cargo",Alukset_fx!$H$73*(Alukset_Käynnit_Lask!K469^Alukset_fx!$I$73),IF(OR(Q469="Dry Bulk",Q469="Bulk carrier"),Alukset_fx!$H$71*(Alukset_Käynnit_Lask!K469^Alukset_fx!$I$71),IF(Q469="Tugboat",Alukset_fx!$H$78*(Alukset_Käynnit_Lask!K469^Alukset_fx!$I$78),IF(OR(Q469="Tanker",Q469="Gas tanker",Q469="Chemical tanker",Q469="Oil tanker"),Alukset_fx!$H$70*(Alukset_Käynnit_Lask!K469^Alukset_fx!$I$70),IF(Q469="Container ship",Alukset_fx!$H$72*(Alukset_Käynnit_Lask!K469^Alukset_fx!$I$72),IF(Q469="Barge",0,IF(Q469="RoPax",Alukset_fx!$H$75*(Alukset_Käynnit_Lask!K469^Alukset_fx!$I$75),IF(OR(Q469="RoRo",Q469="Vehicle carrier"),Alukset_fx!$H$74*(Alukset_Käynnit_Lask!K469^Alukset_fx!$I$74),Alukset_fx!$H$77*(Alukset_Käynnit_Lask!K469^Alukset_fx!$I$77))))))))),"-")</f>
        <v>0</v>
      </c>
      <c r="T469" s="208">
        <f>IF(R469=0,IF(Q469="Other dry cargo",S469*Alukset_fx!$B$71,IF(OR(Q469="Dry bulk",Q469="Bulk carrier"),S469*Alukset_fx!$B$69,IF(Q469="Tugboat",S469*Alukset_fx!$B$76,IF(OR(Q469="Tanker",Q469="Gas tanker",Q469="Chemical tanker",Q469="Oil tanker"),S469*Alukset_fx!$B$68,IF(OR(Q469="RoRo",Q469="Vehicle carrier"),S469*Alukset_fx!$B$72,IF(Q469="RoPax",S469*Alukset_fx!$B$73,IF(Q469="Container ship",S469*Alukset_fx!$B$70,S469*Alukset_fx!$B$75))))))),"-")</f>
        <v>0</v>
      </c>
      <c r="U469" s="208">
        <f t="shared" si="90"/>
        <v>0</v>
      </c>
      <c r="V469" s="208">
        <f t="shared" si="91"/>
        <v>0</v>
      </c>
      <c r="W469" s="202">
        <f>Alukset_Käynnit!N476</f>
        <v>0</v>
      </c>
      <c r="X469" s="211">
        <f>IF(Q469="Other dry cargo", Alukset_fx!$C$52, IF(OR(Q469="Dry bulk",Q469="Bulk carrier"),Alukset_fx!$C$35,IF(OR(Q469="Tanker",Q469="Gas tanker",Q469="Oil tanker"),Alukset_fx!$C$57,IF(Q469="Chemical tanker",Alukset_fx!$C$56,IF(OR(Q469="Tugboat",Q469="Barge"),0,IF(Q469="Other vessel",Alukset_fx!$C$54,IF(Q469="Container ship",Alukset_fx!$C$37,IF(OR(Q469="RoPax",Q469="RoRo",Q469="Vehicle carrier"),Alukset_fx!$C$55,0))))))))</f>
        <v>0</v>
      </c>
      <c r="Y469" s="211">
        <f>IF(Q469="Other dry cargo", Alukset_fx!$Q$52, IF(OR(Q469="Dry bulk",Q469="Bulk carrier"),Alukset_fx!$Q$35,IF(OR(Q469="Tanker",Q469="Gas tanker",Q469="Oil tanker"),Alukset_fx!$Q$57,IF(Q469="Chemical tanker",Alukset_fx!$Q$56,IF(OR(Q469="Tugboat",Q469="Barge"),0,IF(Q469="Other vessel",Alukset_fx!$Q$54,IF(Q469="Container ship",Alukset_fx!$Q$37,IF(OR(Q469="RoPax",Q469="RoRo",Q469="Vehicle carrier"),Alukset_fx!$Q$55,0))))))))</f>
        <v>0</v>
      </c>
      <c r="Z469" t="str">
        <f t="shared" si="92"/>
        <v>MDO/MGO</v>
      </c>
      <c r="AA469" t="str">
        <f t="shared" si="93"/>
        <v>MSD</v>
      </c>
      <c r="AB469" t="str">
        <f t="shared" si="94"/>
        <v>MDO/MGO</v>
      </c>
      <c r="AC469" t="str">
        <f t="shared" si="95"/>
        <v>MSD</v>
      </c>
      <c r="AD469" t="str">
        <f t="shared" si="96"/>
        <v>MDO/MGO</v>
      </c>
      <c r="AE469" t="str">
        <f t="shared" si="97"/>
        <v>ST</v>
      </c>
      <c r="AG469">
        <f>Alukset_Käynnit!O476</f>
        <v>0</v>
      </c>
      <c r="AH469" s="207">
        <f>IF(AA469="SSD",((U469*Alukset_fx!$B$24)*Alukset_Käynnit_Lask!W469*(Alukset_fx!$K$49)/1000),IF(AA469="MSD",((U469*Alukset_fx!$B$24)*Alukset_Käynnit_Lask!W469*(Alukset_fx!$K$52)/1000),IF(AA469="HSD",((U469*Alukset_fx!$B$24)*Alukset_Käynnit_Lask!W469*(Alukset_fx!$K$55)/1000),0)))</f>
        <v>0</v>
      </c>
      <c r="AI469" s="207">
        <f>IF(AC469="MSD",((V469*Alukset_fx!$B$25)*Alukset_Käynnit_Lask!W469*(Alukset_fx!$L$52)/1000),IF(AC469="HSD",((V469*Alukset_fx!$B$25)*Alukset_Käynnit_Lask!W469*(Alukset_fx!$L$55)/1000),0))</f>
        <v>0</v>
      </c>
      <c r="AJ469" s="207">
        <f>X469*W469*Alukset_fx!$K$61/1000</f>
        <v>0</v>
      </c>
      <c r="AK469">
        <v>0</v>
      </c>
      <c r="AL469" s="207">
        <f>IF(AG469="Käytetty",0,IF(AC469="MSD",((V469*Alukset_fx!$O$25)*Alukset_Käynnit_Lask!O469*(Alukset_fx!$L$52)/1000),IF(AC469="HSD",((V469*Alukset_fx!$O$25)*Alukset_Käynnit_Lask!O469*(Alukset_fx!$L$55)/1000),0)))</f>
        <v>0</v>
      </c>
      <c r="AM469" s="207">
        <f>IF(AG469="Käytetty",0,Y469*O469*Alukset_fx!$K$61/1000)</f>
        <v>0</v>
      </c>
      <c r="AN469" s="213">
        <f t="shared" si="98"/>
        <v>0</v>
      </c>
    </row>
    <row r="470" spans="1:40" x14ac:dyDescent="0.25">
      <c r="A470" s="203">
        <f>Alukset_Käynnit!A477</f>
        <v>0</v>
      </c>
      <c r="B470" s="203">
        <f>Alukset_Käynnit!B477</f>
        <v>0</v>
      </c>
      <c r="C470" s="262">
        <f>Alukset_Käynnit!C477</f>
        <v>0</v>
      </c>
      <c r="D470" s="266">
        <f>Alukset_Käynnit!D477</f>
        <v>0</v>
      </c>
      <c r="E470" s="262">
        <f>Alukset_Käynnit!E477</f>
        <v>0</v>
      </c>
      <c r="F470" s="262">
        <f>Alukset_Käynnit!F477</f>
        <v>0</v>
      </c>
      <c r="G470" s="262">
        <f>Alukset_Käynnit!G477</f>
        <v>0</v>
      </c>
      <c r="H470" s="262">
        <f>Alukset_Käynnit!H477</f>
        <v>0</v>
      </c>
      <c r="I470" s="262">
        <f>Alukset_Käynnit!I477</f>
        <v>0</v>
      </c>
      <c r="J470" s="262">
        <f>Alukset_Käynnit!J477</f>
        <v>0</v>
      </c>
      <c r="K470" s="262">
        <f>Alukset_Käynnit!K477</f>
        <v>0</v>
      </c>
      <c r="L470" s="205">
        <f>Alukset_Käynnit!L477</f>
        <v>0</v>
      </c>
      <c r="N470" s="273">
        <f t="shared" si="99"/>
        <v>0</v>
      </c>
      <c r="O470" s="274">
        <f t="shared" si="100"/>
        <v>0</v>
      </c>
      <c r="Q470" s="204">
        <f t="shared" si="89"/>
        <v>0</v>
      </c>
      <c r="R470" s="202">
        <f>IF(Q470="Other dry cargo",L470*Alukset_fx!$B$71,IF(OR(Q470="Dry bulk",Q470="Bulk carrier"),L470*Alukset_fx!$B$69,IF(Q470="Tugboat",L470*Alukset_fx!$B$76,IF(OR(Q470="Tanker",Q470="Gas tanker",Q470="Chemical tanker",Q470="Oil tanker"),L470*Alukset_fx!$B$68,IF(OR(Q470="RoRo",Q470="Vehicle carrier"),L470*Alukset_fx!$B$72,IF(Q470="RoPax",L470*Alukset_fx!$B$73,IF(Q470="Container ship",L470*Alukset_fx!$B$70,IF(Q470="Barge",0,L470*Alukset_fx!$B$75))))))))</f>
        <v>0</v>
      </c>
      <c r="S470" s="210">
        <f>IF(L470=0,IF(Q470="Other dry cargo",Alukset_fx!$H$73*(Alukset_Käynnit_Lask!K470^Alukset_fx!$I$73),IF(OR(Q470="Dry Bulk",Q470="Bulk carrier"),Alukset_fx!$H$71*(Alukset_Käynnit_Lask!K470^Alukset_fx!$I$71),IF(Q470="Tugboat",Alukset_fx!$H$78*(Alukset_Käynnit_Lask!K470^Alukset_fx!$I$78),IF(OR(Q470="Tanker",Q470="Gas tanker",Q470="Chemical tanker",Q470="Oil tanker"),Alukset_fx!$H$70*(Alukset_Käynnit_Lask!K470^Alukset_fx!$I$70),IF(Q470="Container ship",Alukset_fx!$H$72*(Alukset_Käynnit_Lask!K470^Alukset_fx!$I$72),IF(Q470="Barge",0,IF(Q470="RoPax",Alukset_fx!$H$75*(Alukset_Käynnit_Lask!K470^Alukset_fx!$I$75),IF(OR(Q470="RoRo",Q470="Vehicle carrier"),Alukset_fx!$H$74*(Alukset_Käynnit_Lask!K470^Alukset_fx!$I$74),Alukset_fx!$H$77*(Alukset_Käynnit_Lask!K470^Alukset_fx!$I$77))))))))),"-")</f>
        <v>0</v>
      </c>
      <c r="T470" s="208">
        <f>IF(R470=0,IF(Q470="Other dry cargo",S470*Alukset_fx!$B$71,IF(OR(Q470="Dry bulk",Q470="Bulk carrier"),S470*Alukset_fx!$B$69,IF(Q470="Tugboat",S470*Alukset_fx!$B$76,IF(OR(Q470="Tanker",Q470="Gas tanker",Q470="Chemical tanker",Q470="Oil tanker"),S470*Alukset_fx!$B$68,IF(OR(Q470="RoRo",Q470="Vehicle carrier"),S470*Alukset_fx!$B$72,IF(Q470="RoPax",S470*Alukset_fx!$B$73,IF(Q470="Container ship",S470*Alukset_fx!$B$70,S470*Alukset_fx!$B$75))))))),"-")</f>
        <v>0</v>
      </c>
      <c r="U470" s="208">
        <f t="shared" si="90"/>
        <v>0</v>
      </c>
      <c r="V470" s="208">
        <f t="shared" si="91"/>
        <v>0</v>
      </c>
      <c r="W470" s="202">
        <f>Alukset_Käynnit!N477</f>
        <v>0</v>
      </c>
      <c r="X470" s="211">
        <f>IF(Q470="Other dry cargo", Alukset_fx!$C$52, IF(OR(Q470="Dry bulk",Q470="Bulk carrier"),Alukset_fx!$C$35,IF(OR(Q470="Tanker",Q470="Gas tanker",Q470="Oil tanker"),Alukset_fx!$C$57,IF(Q470="Chemical tanker",Alukset_fx!$C$56,IF(OR(Q470="Tugboat",Q470="Barge"),0,IF(Q470="Other vessel",Alukset_fx!$C$54,IF(Q470="Container ship",Alukset_fx!$C$37,IF(OR(Q470="RoPax",Q470="RoRo",Q470="Vehicle carrier"),Alukset_fx!$C$55,0))))))))</f>
        <v>0</v>
      </c>
      <c r="Y470" s="211">
        <f>IF(Q470="Other dry cargo", Alukset_fx!$Q$52, IF(OR(Q470="Dry bulk",Q470="Bulk carrier"),Alukset_fx!$Q$35,IF(OR(Q470="Tanker",Q470="Gas tanker",Q470="Oil tanker"),Alukset_fx!$Q$57,IF(Q470="Chemical tanker",Alukset_fx!$Q$56,IF(OR(Q470="Tugboat",Q470="Barge"),0,IF(Q470="Other vessel",Alukset_fx!$Q$54,IF(Q470="Container ship",Alukset_fx!$Q$37,IF(OR(Q470="RoPax",Q470="RoRo",Q470="Vehicle carrier"),Alukset_fx!$Q$55,0))))))))</f>
        <v>0</v>
      </c>
      <c r="Z470" t="str">
        <f t="shared" si="92"/>
        <v>MDO/MGO</v>
      </c>
      <c r="AA470" t="str">
        <f t="shared" si="93"/>
        <v>MSD</v>
      </c>
      <c r="AB470" t="str">
        <f t="shared" si="94"/>
        <v>MDO/MGO</v>
      </c>
      <c r="AC470" t="str">
        <f t="shared" si="95"/>
        <v>MSD</v>
      </c>
      <c r="AD470" t="str">
        <f t="shared" si="96"/>
        <v>MDO/MGO</v>
      </c>
      <c r="AE470" t="str">
        <f t="shared" si="97"/>
        <v>ST</v>
      </c>
      <c r="AG470">
        <f>Alukset_Käynnit!O477</f>
        <v>0</v>
      </c>
      <c r="AH470" s="207">
        <f>IF(AA470="SSD",((U470*Alukset_fx!$B$24)*Alukset_Käynnit_Lask!W470*(Alukset_fx!$K$49)/1000),IF(AA470="MSD",((U470*Alukset_fx!$B$24)*Alukset_Käynnit_Lask!W470*(Alukset_fx!$K$52)/1000),IF(AA470="HSD",((U470*Alukset_fx!$B$24)*Alukset_Käynnit_Lask!W470*(Alukset_fx!$K$55)/1000),0)))</f>
        <v>0</v>
      </c>
      <c r="AI470" s="207">
        <f>IF(AC470="MSD",((V470*Alukset_fx!$B$25)*Alukset_Käynnit_Lask!W470*(Alukset_fx!$L$52)/1000),IF(AC470="HSD",((V470*Alukset_fx!$B$25)*Alukset_Käynnit_Lask!W470*(Alukset_fx!$L$55)/1000),0))</f>
        <v>0</v>
      </c>
      <c r="AJ470" s="207">
        <f>X470*W470*Alukset_fx!$K$61/1000</f>
        <v>0</v>
      </c>
      <c r="AK470">
        <v>0</v>
      </c>
      <c r="AL470" s="207">
        <f>IF(AG470="Käytetty",0,IF(AC470="MSD",((V470*Alukset_fx!$O$25)*Alukset_Käynnit_Lask!O470*(Alukset_fx!$L$52)/1000),IF(AC470="HSD",((V470*Alukset_fx!$O$25)*Alukset_Käynnit_Lask!O470*(Alukset_fx!$L$55)/1000),0)))</f>
        <v>0</v>
      </c>
      <c r="AM470" s="207">
        <f>IF(AG470="Käytetty",0,Y470*O470*Alukset_fx!$K$61/1000)</f>
        <v>0</v>
      </c>
      <c r="AN470" s="213">
        <f t="shared" si="98"/>
        <v>0</v>
      </c>
    </row>
    <row r="471" spans="1:40" x14ac:dyDescent="0.25">
      <c r="A471" s="203">
        <f>Alukset_Käynnit!A478</f>
        <v>0</v>
      </c>
      <c r="B471" s="203">
        <f>Alukset_Käynnit!B478</f>
        <v>0</v>
      </c>
      <c r="C471" s="262">
        <f>Alukset_Käynnit!C478</f>
        <v>0</v>
      </c>
      <c r="D471" s="266">
        <f>Alukset_Käynnit!D478</f>
        <v>0</v>
      </c>
      <c r="E471" s="262">
        <f>Alukset_Käynnit!E478</f>
        <v>0</v>
      </c>
      <c r="F471" s="262">
        <f>Alukset_Käynnit!F478</f>
        <v>0</v>
      </c>
      <c r="G471" s="262">
        <f>Alukset_Käynnit!G478</f>
        <v>0</v>
      </c>
      <c r="H471" s="262">
        <f>Alukset_Käynnit!H478</f>
        <v>0</v>
      </c>
      <c r="I471" s="262">
        <f>Alukset_Käynnit!I478</f>
        <v>0</v>
      </c>
      <c r="J471" s="262">
        <f>Alukset_Käynnit!J478</f>
        <v>0</v>
      </c>
      <c r="K471" s="262">
        <f>Alukset_Käynnit!K478</f>
        <v>0</v>
      </c>
      <c r="L471" s="205">
        <f>Alukset_Käynnit!L478</f>
        <v>0</v>
      </c>
      <c r="N471" s="273">
        <f t="shared" si="99"/>
        <v>0</v>
      </c>
      <c r="O471" s="274">
        <f t="shared" si="100"/>
        <v>0</v>
      </c>
      <c r="Q471" s="204">
        <f t="shared" si="89"/>
        <v>0</v>
      </c>
      <c r="R471" s="202">
        <f>IF(Q471="Other dry cargo",L471*Alukset_fx!$B$71,IF(OR(Q471="Dry bulk",Q471="Bulk carrier"),L471*Alukset_fx!$B$69,IF(Q471="Tugboat",L471*Alukset_fx!$B$76,IF(OR(Q471="Tanker",Q471="Gas tanker",Q471="Chemical tanker",Q471="Oil tanker"),L471*Alukset_fx!$B$68,IF(OR(Q471="RoRo",Q471="Vehicle carrier"),L471*Alukset_fx!$B$72,IF(Q471="RoPax",L471*Alukset_fx!$B$73,IF(Q471="Container ship",L471*Alukset_fx!$B$70,IF(Q471="Barge",0,L471*Alukset_fx!$B$75))))))))</f>
        <v>0</v>
      </c>
      <c r="S471" s="210">
        <f>IF(L471=0,IF(Q471="Other dry cargo",Alukset_fx!$H$73*(Alukset_Käynnit_Lask!K471^Alukset_fx!$I$73),IF(OR(Q471="Dry Bulk",Q471="Bulk carrier"),Alukset_fx!$H$71*(Alukset_Käynnit_Lask!K471^Alukset_fx!$I$71),IF(Q471="Tugboat",Alukset_fx!$H$78*(Alukset_Käynnit_Lask!K471^Alukset_fx!$I$78),IF(OR(Q471="Tanker",Q471="Gas tanker",Q471="Chemical tanker",Q471="Oil tanker"),Alukset_fx!$H$70*(Alukset_Käynnit_Lask!K471^Alukset_fx!$I$70),IF(Q471="Container ship",Alukset_fx!$H$72*(Alukset_Käynnit_Lask!K471^Alukset_fx!$I$72),IF(Q471="Barge",0,IF(Q471="RoPax",Alukset_fx!$H$75*(Alukset_Käynnit_Lask!K471^Alukset_fx!$I$75),IF(OR(Q471="RoRo",Q471="Vehicle carrier"),Alukset_fx!$H$74*(Alukset_Käynnit_Lask!K471^Alukset_fx!$I$74),Alukset_fx!$H$77*(Alukset_Käynnit_Lask!K471^Alukset_fx!$I$77))))))))),"-")</f>
        <v>0</v>
      </c>
      <c r="T471" s="208">
        <f>IF(R471=0,IF(Q471="Other dry cargo",S471*Alukset_fx!$B$71,IF(OR(Q471="Dry bulk",Q471="Bulk carrier"),S471*Alukset_fx!$B$69,IF(Q471="Tugboat",S471*Alukset_fx!$B$76,IF(OR(Q471="Tanker",Q471="Gas tanker",Q471="Chemical tanker",Q471="Oil tanker"),S471*Alukset_fx!$B$68,IF(OR(Q471="RoRo",Q471="Vehicle carrier"),S471*Alukset_fx!$B$72,IF(Q471="RoPax",S471*Alukset_fx!$B$73,IF(Q471="Container ship",S471*Alukset_fx!$B$70,S471*Alukset_fx!$B$75))))))),"-")</f>
        <v>0</v>
      </c>
      <c r="U471" s="208">
        <f t="shared" si="90"/>
        <v>0</v>
      </c>
      <c r="V471" s="208">
        <f t="shared" si="91"/>
        <v>0</v>
      </c>
      <c r="W471" s="202">
        <f>Alukset_Käynnit!N478</f>
        <v>0</v>
      </c>
      <c r="X471" s="211">
        <f>IF(Q471="Other dry cargo", Alukset_fx!$C$52, IF(OR(Q471="Dry bulk",Q471="Bulk carrier"),Alukset_fx!$C$35,IF(OR(Q471="Tanker",Q471="Gas tanker",Q471="Oil tanker"),Alukset_fx!$C$57,IF(Q471="Chemical tanker",Alukset_fx!$C$56,IF(OR(Q471="Tugboat",Q471="Barge"),0,IF(Q471="Other vessel",Alukset_fx!$C$54,IF(Q471="Container ship",Alukset_fx!$C$37,IF(OR(Q471="RoPax",Q471="RoRo",Q471="Vehicle carrier"),Alukset_fx!$C$55,0))))))))</f>
        <v>0</v>
      </c>
      <c r="Y471" s="211">
        <f>IF(Q471="Other dry cargo", Alukset_fx!$Q$52, IF(OR(Q471="Dry bulk",Q471="Bulk carrier"),Alukset_fx!$Q$35,IF(OR(Q471="Tanker",Q471="Gas tanker",Q471="Oil tanker"),Alukset_fx!$Q$57,IF(Q471="Chemical tanker",Alukset_fx!$Q$56,IF(OR(Q471="Tugboat",Q471="Barge"),0,IF(Q471="Other vessel",Alukset_fx!$Q$54,IF(Q471="Container ship",Alukset_fx!$Q$37,IF(OR(Q471="RoPax",Q471="RoRo",Q471="Vehicle carrier"),Alukset_fx!$Q$55,0))))))))</f>
        <v>0</v>
      </c>
      <c r="Z471" t="str">
        <f t="shared" si="92"/>
        <v>MDO/MGO</v>
      </c>
      <c r="AA471" t="str">
        <f t="shared" si="93"/>
        <v>MSD</v>
      </c>
      <c r="AB471" t="str">
        <f t="shared" si="94"/>
        <v>MDO/MGO</v>
      </c>
      <c r="AC471" t="str">
        <f t="shared" si="95"/>
        <v>MSD</v>
      </c>
      <c r="AD471" t="str">
        <f t="shared" si="96"/>
        <v>MDO/MGO</v>
      </c>
      <c r="AE471" t="str">
        <f t="shared" si="97"/>
        <v>ST</v>
      </c>
      <c r="AG471">
        <f>Alukset_Käynnit!O478</f>
        <v>0</v>
      </c>
      <c r="AH471" s="207">
        <f>IF(AA471="SSD",((U471*Alukset_fx!$B$24)*Alukset_Käynnit_Lask!W471*(Alukset_fx!$K$49)/1000),IF(AA471="MSD",((U471*Alukset_fx!$B$24)*Alukset_Käynnit_Lask!W471*(Alukset_fx!$K$52)/1000),IF(AA471="HSD",((U471*Alukset_fx!$B$24)*Alukset_Käynnit_Lask!W471*(Alukset_fx!$K$55)/1000),0)))</f>
        <v>0</v>
      </c>
      <c r="AI471" s="207">
        <f>IF(AC471="MSD",((V471*Alukset_fx!$B$25)*Alukset_Käynnit_Lask!W471*(Alukset_fx!$L$52)/1000),IF(AC471="HSD",((V471*Alukset_fx!$B$25)*Alukset_Käynnit_Lask!W471*(Alukset_fx!$L$55)/1000),0))</f>
        <v>0</v>
      </c>
      <c r="AJ471" s="207">
        <f>X471*W471*Alukset_fx!$K$61/1000</f>
        <v>0</v>
      </c>
      <c r="AK471">
        <v>0</v>
      </c>
      <c r="AL471" s="207">
        <f>IF(AG471="Käytetty",0,IF(AC471="MSD",((V471*Alukset_fx!$O$25)*Alukset_Käynnit_Lask!O471*(Alukset_fx!$L$52)/1000),IF(AC471="HSD",((V471*Alukset_fx!$O$25)*Alukset_Käynnit_Lask!O471*(Alukset_fx!$L$55)/1000),0)))</f>
        <v>0</v>
      </c>
      <c r="AM471" s="207">
        <f>IF(AG471="Käytetty",0,Y471*O471*Alukset_fx!$K$61/1000)</f>
        <v>0</v>
      </c>
      <c r="AN471" s="213">
        <f t="shared" si="98"/>
        <v>0</v>
      </c>
    </row>
    <row r="472" spans="1:40" x14ac:dyDescent="0.25">
      <c r="A472" s="203">
        <f>Alukset_Käynnit!A479</f>
        <v>0</v>
      </c>
      <c r="B472" s="203">
        <f>Alukset_Käynnit!B479</f>
        <v>0</v>
      </c>
      <c r="C472" s="262">
        <f>Alukset_Käynnit!C479</f>
        <v>0</v>
      </c>
      <c r="D472" s="266">
        <f>Alukset_Käynnit!D479</f>
        <v>0</v>
      </c>
      <c r="E472" s="262">
        <f>Alukset_Käynnit!E479</f>
        <v>0</v>
      </c>
      <c r="F472" s="262">
        <f>Alukset_Käynnit!F479</f>
        <v>0</v>
      </c>
      <c r="G472" s="262">
        <f>Alukset_Käynnit!G479</f>
        <v>0</v>
      </c>
      <c r="H472" s="262">
        <f>Alukset_Käynnit!H479</f>
        <v>0</v>
      </c>
      <c r="I472" s="262">
        <f>Alukset_Käynnit!I479</f>
        <v>0</v>
      </c>
      <c r="J472" s="262">
        <f>Alukset_Käynnit!J479</f>
        <v>0</v>
      </c>
      <c r="K472" s="262">
        <f>Alukset_Käynnit!K479</f>
        <v>0</v>
      </c>
      <c r="L472" s="205">
        <f>Alukset_Käynnit!L479</f>
        <v>0</v>
      </c>
      <c r="N472" s="273">
        <f t="shared" si="99"/>
        <v>0</v>
      </c>
      <c r="O472" s="274">
        <f t="shared" si="100"/>
        <v>0</v>
      </c>
      <c r="Q472" s="204">
        <f t="shared" si="89"/>
        <v>0</v>
      </c>
      <c r="R472" s="202">
        <f>IF(Q472="Other dry cargo",L472*Alukset_fx!$B$71,IF(OR(Q472="Dry bulk",Q472="Bulk carrier"),L472*Alukset_fx!$B$69,IF(Q472="Tugboat",L472*Alukset_fx!$B$76,IF(OR(Q472="Tanker",Q472="Gas tanker",Q472="Chemical tanker",Q472="Oil tanker"),L472*Alukset_fx!$B$68,IF(OR(Q472="RoRo",Q472="Vehicle carrier"),L472*Alukset_fx!$B$72,IF(Q472="RoPax",L472*Alukset_fx!$B$73,IF(Q472="Container ship",L472*Alukset_fx!$B$70,IF(Q472="Barge",0,L472*Alukset_fx!$B$75))))))))</f>
        <v>0</v>
      </c>
      <c r="S472" s="210">
        <f>IF(L472=0,IF(Q472="Other dry cargo",Alukset_fx!$H$73*(Alukset_Käynnit_Lask!K472^Alukset_fx!$I$73),IF(OR(Q472="Dry Bulk",Q472="Bulk carrier"),Alukset_fx!$H$71*(Alukset_Käynnit_Lask!K472^Alukset_fx!$I$71),IF(Q472="Tugboat",Alukset_fx!$H$78*(Alukset_Käynnit_Lask!K472^Alukset_fx!$I$78),IF(OR(Q472="Tanker",Q472="Gas tanker",Q472="Chemical tanker",Q472="Oil tanker"),Alukset_fx!$H$70*(Alukset_Käynnit_Lask!K472^Alukset_fx!$I$70),IF(Q472="Container ship",Alukset_fx!$H$72*(Alukset_Käynnit_Lask!K472^Alukset_fx!$I$72),IF(Q472="Barge",0,IF(Q472="RoPax",Alukset_fx!$H$75*(Alukset_Käynnit_Lask!K472^Alukset_fx!$I$75),IF(OR(Q472="RoRo",Q472="Vehicle carrier"),Alukset_fx!$H$74*(Alukset_Käynnit_Lask!K472^Alukset_fx!$I$74),Alukset_fx!$H$77*(Alukset_Käynnit_Lask!K472^Alukset_fx!$I$77))))))))),"-")</f>
        <v>0</v>
      </c>
      <c r="T472" s="208">
        <f>IF(R472=0,IF(Q472="Other dry cargo",S472*Alukset_fx!$B$71,IF(OR(Q472="Dry bulk",Q472="Bulk carrier"),S472*Alukset_fx!$B$69,IF(Q472="Tugboat",S472*Alukset_fx!$B$76,IF(OR(Q472="Tanker",Q472="Gas tanker",Q472="Chemical tanker",Q472="Oil tanker"),S472*Alukset_fx!$B$68,IF(OR(Q472="RoRo",Q472="Vehicle carrier"),S472*Alukset_fx!$B$72,IF(Q472="RoPax",S472*Alukset_fx!$B$73,IF(Q472="Container ship",S472*Alukset_fx!$B$70,S472*Alukset_fx!$B$75))))))),"-")</f>
        <v>0</v>
      </c>
      <c r="U472" s="208">
        <f t="shared" si="90"/>
        <v>0</v>
      </c>
      <c r="V472" s="208">
        <f t="shared" si="91"/>
        <v>0</v>
      </c>
      <c r="W472" s="202">
        <f>Alukset_Käynnit!N479</f>
        <v>0</v>
      </c>
      <c r="X472" s="211">
        <f>IF(Q472="Other dry cargo", Alukset_fx!$C$52, IF(OR(Q472="Dry bulk",Q472="Bulk carrier"),Alukset_fx!$C$35,IF(OR(Q472="Tanker",Q472="Gas tanker",Q472="Oil tanker"),Alukset_fx!$C$57,IF(Q472="Chemical tanker",Alukset_fx!$C$56,IF(OR(Q472="Tugboat",Q472="Barge"),0,IF(Q472="Other vessel",Alukset_fx!$C$54,IF(Q472="Container ship",Alukset_fx!$C$37,IF(OR(Q472="RoPax",Q472="RoRo",Q472="Vehicle carrier"),Alukset_fx!$C$55,0))))))))</f>
        <v>0</v>
      </c>
      <c r="Y472" s="211">
        <f>IF(Q472="Other dry cargo", Alukset_fx!$Q$52, IF(OR(Q472="Dry bulk",Q472="Bulk carrier"),Alukset_fx!$Q$35,IF(OR(Q472="Tanker",Q472="Gas tanker",Q472="Oil tanker"),Alukset_fx!$Q$57,IF(Q472="Chemical tanker",Alukset_fx!$Q$56,IF(OR(Q472="Tugboat",Q472="Barge"),0,IF(Q472="Other vessel",Alukset_fx!$Q$54,IF(Q472="Container ship",Alukset_fx!$Q$37,IF(OR(Q472="RoPax",Q472="RoRo",Q472="Vehicle carrier"),Alukset_fx!$Q$55,0))))))))</f>
        <v>0</v>
      </c>
      <c r="Z472" t="str">
        <f t="shared" si="92"/>
        <v>MDO/MGO</v>
      </c>
      <c r="AA472" t="str">
        <f t="shared" si="93"/>
        <v>MSD</v>
      </c>
      <c r="AB472" t="str">
        <f t="shared" si="94"/>
        <v>MDO/MGO</v>
      </c>
      <c r="AC472" t="str">
        <f t="shared" si="95"/>
        <v>MSD</v>
      </c>
      <c r="AD472" t="str">
        <f t="shared" si="96"/>
        <v>MDO/MGO</v>
      </c>
      <c r="AE472" t="str">
        <f t="shared" si="97"/>
        <v>ST</v>
      </c>
      <c r="AG472">
        <f>Alukset_Käynnit!O479</f>
        <v>0</v>
      </c>
      <c r="AH472" s="207">
        <f>IF(AA472="SSD",((U472*Alukset_fx!$B$24)*Alukset_Käynnit_Lask!W472*(Alukset_fx!$K$49)/1000),IF(AA472="MSD",((U472*Alukset_fx!$B$24)*Alukset_Käynnit_Lask!W472*(Alukset_fx!$K$52)/1000),IF(AA472="HSD",((U472*Alukset_fx!$B$24)*Alukset_Käynnit_Lask!W472*(Alukset_fx!$K$55)/1000),0)))</f>
        <v>0</v>
      </c>
      <c r="AI472" s="207">
        <f>IF(AC472="MSD",((V472*Alukset_fx!$B$25)*Alukset_Käynnit_Lask!W472*(Alukset_fx!$L$52)/1000),IF(AC472="HSD",((V472*Alukset_fx!$B$25)*Alukset_Käynnit_Lask!W472*(Alukset_fx!$L$55)/1000),0))</f>
        <v>0</v>
      </c>
      <c r="AJ472" s="207">
        <f>X472*W472*Alukset_fx!$K$61/1000</f>
        <v>0</v>
      </c>
      <c r="AK472">
        <v>0</v>
      </c>
      <c r="AL472" s="207">
        <f>IF(AG472="Käytetty",0,IF(AC472="MSD",((V472*Alukset_fx!$O$25)*Alukset_Käynnit_Lask!O472*(Alukset_fx!$L$52)/1000),IF(AC472="HSD",((V472*Alukset_fx!$O$25)*Alukset_Käynnit_Lask!O472*(Alukset_fx!$L$55)/1000),0)))</f>
        <v>0</v>
      </c>
      <c r="AM472" s="207">
        <f>IF(AG472="Käytetty",0,Y472*O472*Alukset_fx!$K$61/1000)</f>
        <v>0</v>
      </c>
      <c r="AN472" s="213">
        <f t="shared" si="98"/>
        <v>0</v>
      </c>
    </row>
    <row r="473" spans="1:40" x14ac:dyDescent="0.25">
      <c r="A473" s="203">
        <f>Alukset_Käynnit!A480</f>
        <v>0</v>
      </c>
      <c r="B473" s="203">
        <f>Alukset_Käynnit!B480</f>
        <v>0</v>
      </c>
      <c r="C473" s="262">
        <f>Alukset_Käynnit!C480</f>
        <v>0</v>
      </c>
      <c r="D473" s="266">
        <f>Alukset_Käynnit!D480</f>
        <v>0</v>
      </c>
      <c r="E473" s="262">
        <f>Alukset_Käynnit!E480</f>
        <v>0</v>
      </c>
      <c r="F473" s="262">
        <f>Alukset_Käynnit!F480</f>
        <v>0</v>
      </c>
      <c r="G473" s="262">
        <f>Alukset_Käynnit!G480</f>
        <v>0</v>
      </c>
      <c r="H473" s="262">
        <f>Alukset_Käynnit!H480</f>
        <v>0</v>
      </c>
      <c r="I473" s="262">
        <f>Alukset_Käynnit!I480</f>
        <v>0</v>
      </c>
      <c r="J473" s="262">
        <f>Alukset_Käynnit!J480</f>
        <v>0</v>
      </c>
      <c r="K473" s="262">
        <f>Alukset_Käynnit!K480</f>
        <v>0</v>
      </c>
      <c r="L473" s="205">
        <f>Alukset_Käynnit!L480</f>
        <v>0</v>
      </c>
      <c r="N473" s="273">
        <f t="shared" si="99"/>
        <v>0</v>
      </c>
      <c r="O473" s="274">
        <f t="shared" si="100"/>
        <v>0</v>
      </c>
      <c r="Q473" s="204">
        <f t="shared" si="89"/>
        <v>0</v>
      </c>
      <c r="R473" s="202">
        <f>IF(Q473="Other dry cargo",L473*Alukset_fx!$B$71,IF(OR(Q473="Dry bulk",Q473="Bulk carrier"),L473*Alukset_fx!$B$69,IF(Q473="Tugboat",L473*Alukset_fx!$B$76,IF(OR(Q473="Tanker",Q473="Gas tanker",Q473="Chemical tanker",Q473="Oil tanker"),L473*Alukset_fx!$B$68,IF(OR(Q473="RoRo",Q473="Vehicle carrier"),L473*Alukset_fx!$B$72,IF(Q473="RoPax",L473*Alukset_fx!$B$73,IF(Q473="Container ship",L473*Alukset_fx!$B$70,IF(Q473="Barge",0,L473*Alukset_fx!$B$75))))))))</f>
        <v>0</v>
      </c>
      <c r="S473" s="210">
        <f>IF(L473=0,IF(Q473="Other dry cargo",Alukset_fx!$H$73*(Alukset_Käynnit_Lask!K473^Alukset_fx!$I$73),IF(OR(Q473="Dry Bulk",Q473="Bulk carrier"),Alukset_fx!$H$71*(Alukset_Käynnit_Lask!K473^Alukset_fx!$I$71),IF(Q473="Tugboat",Alukset_fx!$H$78*(Alukset_Käynnit_Lask!K473^Alukset_fx!$I$78),IF(OR(Q473="Tanker",Q473="Gas tanker",Q473="Chemical tanker",Q473="Oil tanker"),Alukset_fx!$H$70*(Alukset_Käynnit_Lask!K473^Alukset_fx!$I$70),IF(Q473="Container ship",Alukset_fx!$H$72*(Alukset_Käynnit_Lask!K473^Alukset_fx!$I$72),IF(Q473="Barge",0,IF(Q473="RoPax",Alukset_fx!$H$75*(Alukset_Käynnit_Lask!K473^Alukset_fx!$I$75),IF(OR(Q473="RoRo",Q473="Vehicle carrier"),Alukset_fx!$H$74*(Alukset_Käynnit_Lask!K473^Alukset_fx!$I$74),Alukset_fx!$H$77*(Alukset_Käynnit_Lask!K473^Alukset_fx!$I$77))))))))),"-")</f>
        <v>0</v>
      </c>
      <c r="T473" s="208">
        <f>IF(R473=0,IF(Q473="Other dry cargo",S473*Alukset_fx!$B$71,IF(OR(Q473="Dry bulk",Q473="Bulk carrier"),S473*Alukset_fx!$B$69,IF(Q473="Tugboat",S473*Alukset_fx!$B$76,IF(OR(Q473="Tanker",Q473="Gas tanker",Q473="Chemical tanker",Q473="Oil tanker"),S473*Alukset_fx!$B$68,IF(OR(Q473="RoRo",Q473="Vehicle carrier"),S473*Alukset_fx!$B$72,IF(Q473="RoPax",S473*Alukset_fx!$B$73,IF(Q473="Container ship",S473*Alukset_fx!$B$70,S473*Alukset_fx!$B$75))))))),"-")</f>
        <v>0</v>
      </c>
      <c r="U473" s="208">
        <f t="shared" si="90"/>
        <v>0</v>
      </c>
      <c r="V473" s="208">
        <f t="shared" si="91"/>
        <v>0</v>
      </c>
      <c r="W473" s="202">
        <f>Alukset_Käynnit!N480</f>
        <v>0</v>
      </c>
      <c r="X473" s="211">
        <f>IF(Q473="Other dry cargo", Alukset_fx!$C$52, IF(OR(Q473="Dry bulk",Q473="Bulk carrier"),Alukset_fx!$C$35,IF(OR(Q473="Tanker",Q473="Gas tanker",Q473="Oil tanker"),Alukset_fx!$C$57,IF(Q473="Chemical tanker",Alukset_fx!$C$56,IF(OR(Q473="Tugboat",Q473="Barge"),0,IF(Q473="Other vessel",Alukset_fx!$C$54,IF(Q473="Container ship",Alukset_fx!$C$37,IF(OR(Q473="RoPax",Q473="RoRo",Q473="Vehicle carrier"),Alukset_fx!$C$55,0))))))))</f>
        <v>0</v>
      </c>
      <c r="Y473" s="211">
        <f>IF(Q473="Other dry cargo", Alukset_fx!$Q$52, IF(OR(Q473="Dry bulk",Q473="Bulk carrier"),Alukset_fx!$Q$35,IF(OR(Q473="Tanker",Q473="Gas tanker",Q473="Oil tanker"),Alukset_fx!$Q$57,IF(Q473="Chemical tanker",Alukset_fx!$Q$56,IF(OR(Q473="Tugboat",Q473="Barge"),0,IF(Q473="Other vessel",Alukset_fx!$Q$54,IF(Q473="Container ship",Alukset_fx!$Q$37,IF(OR(Q473="RoPax",Q473="RoRo",Q473="Vehicle carrier"),Alukset_fx!$Q$55,0))))))))</f>
        <v>0</v>
      </c>
      <c r="Z473" t="str">
        <f t="shared" si="92"/>
        <v>MDO/MGO</v>
      </c>
      <c r="AA473" t="str">
        <f t="shared" si="93"/>
        <v>MSD</v>
      </c>
      <c r="AB473" t="str">
        <f t="shared" si="94"/>
        <v>MDO/MGO</v>
      </c>
      <c r="AC473" t="str">
        <f t="shared" si="95"/>
        <v>MSD</v>
      </c>
      <c r="AD473" t="str">
        <f t="shared" si="96"/>
        <v>MDO/MGO</v>
      </c>
      <c r="AE473" t="str">
        <f t="shared" si="97"/>
        <v>ST</v>
      </c>
      <c r="AG473">
        <f>Alukset_Käynnit!O480</f>
        <v>0</v>
      </c>
      <c r="AH473" s="207">
        <f>IF(AA473="SSD",((U473*Alukset_fx!$B$24)*Alukset_Käynnit_Lask!W473*(Alukset_fx!$K$49)/1000),IF(AA473="MSD",((U473*Alukset_fx!$B$24)*Alukset_Käynnit_Lask!W473*(Alukset_fx!$K$52)/1000),IF(AA473="HSD",((U473*Alukset_fx!$B$24)*Alukset_Käynnit_Lask!W473*(Alukset_fx!$K$55)/1000),0)))</f>
        <v>0</v>
      </c>
      <c r="AI473" s="207">
        <f>IF(AC473="MSD",((V473*Alukset_fx!$B$25)*Alukset_Käynnit_Lask!W473*(Alukset_fx!$L$52)/1000),IF(AC473="HSD",((V473*Alukset_fx!$B$25)*Alukset_Käynnit_Lask!W473*(Alukset_fx!$L$55)/1000),0))</f>
        <v>0</v>
      </c>
      <c r="AJ473" s="207">
        <f>X473*W473*Alukset_fx!$K$61/1000</f>
        <v>0</v>
      </c>
      <c r="AK473">
        <v>0</v>
      </c>
      <c r="AL473" s="207">
        <f>IF(AG473="Käytetty",0,IF(AC473="MSD",((V473*Alukset_fx!$O$25)*Alukset_Käynnit_Lask!O473*(Alukset_fx!$L$52)/1000),IF(AC473="HSD",((V473*Alukset_fx!$O$25)*Alukset_Käynnit_Lask!O473*(Alukset_fx!$L$55)/1000),0)))</f>
        <v>0</v>
      </c>
      <c r="AM473" s="207">
        <f>IF(AG473="Käytetty",0,Y473*O473*Alukset_fx!$K$61/1000)</f>
        <v>0</v>
      </c>
      <c r="AN473" s="213">
        <f t="shared" si="98"/>
        <v>0</v>
      </c>
    </row>
    <row r="474" spans="1:40" x14ac:dyDescent="0.25">
      <c r="A474" s="203">
        <f>Alukset_Käynnit!A481</f>
        <v>0</v>
      </c>
      <c r="B474" s="203">
        <f>Alukset_Käynnit!B481</f>
        <v>0</v>
      </c>
      <c r="C474" s="262">
        <f>Alukset_Käynnit!C481</f>
        <v>0</v>
      </c>
      <c r="D474" s="266">
        <f>Alukset_Käynnit!D481</f>
        <v>0</v>
      </c>
      <c r="E474" s="262">
        <f>Alukset_Käynnit!E481</f>
        <v>0</v>
      </c>
      <c r="F474" s="262">
        <f>Alukset_Käynnit!F481</f>
        <v>0</v>
      </c>
      <c r="G474" s="262">
        <f>Alukset_Käynnit!G481</f>
        <v>0</v>
      </c>
      <c r="H474" s="262">
        <f>Alukset_Käynnit!H481</f>
        <v>0</v>
      </c>
      <c r="I474" s="262">
        <f>Alukset_Käynnit!I481</f>
        <v>0</v>
      </c>
      <c r="J474" s="262">
        <f>Alukset_Käynnit!J481</f>
        <v>0</v>
      </c>
      <c r="K474" s="262">
        <f>Alukset_Käynnit!K481</f>
        <v>0</v>
      </c>
      <c r="L474" s="205">
        <f>Alukset_Käynnit!L481</f>
        <v>0</v>
      </c>
      <c r="N474" s="273">
        <f t="shared" si="99"/>
        <v>0</v>
      </c>
      <c r="O474" s="274">
        <f t="shared" si="100"/>
        <v>0</v>
      </c>
      <c r="Q474" s="204">
        <f t="shared" si="89"/>
        <v>0</v>
      </c>
      <c r="R474" s="202">
        <f>IF(Q474="Other dry cargo",L474*Alukset_fx!$B$71,IF(OR(Q474="Dry bulk",Q474="Bulk carrier"),L474*Alukset_fx!$B$69,IF(Q474="Tugboat",L474*Alukset_fx!$B$76,IF(OR(Q474="Tanker",Q474="Gas tanker",Q474="Chemical tanker",Q474="Oil tanker"),L474*Alukset_fx!$B$68,IF(OR(Q474="RoRo",Q474="Vehicle carrier"),L474*Alukset_fx!$B$72,IF(Q474="RoPax",L474*Alukset_fx!$B$73,IF(Q474="Container ship",L474*Alukset_fx!$B$70,IF(Q474="Barge",0,L474*Alukset_fx!$B$75))))))))</f>
        <v>0</v>
      </c>
      <c r="S474" s="210">
        <f>IF(L474=0,IF(Q474="Other dry cargo",Alukset_fx!$H$73*(Alukset_Käynnit_Lask!K474^Alukset_fx!$I$73),IF(OR(Q474="Dry Bulk",Q474="Bulk carrier"),Alukset_fx!$H$71*(Alukset_Käynnit_Lask!K474^Alukset_fx!$I$71),IF(Q474="Tugboat",Alukset_fx!$H$78*(Alukset_Käynnit_Lask!K474^Alukset_fx!$I$78),IF(OR(Q474="Tanker",Q474="Gas tanker",Q474="Chemical tanker",Q474="Oil tanker"),Alukset_fx!$H$70*(Alukset_Käynnit_Lask!K474^Alukset_fx!$I$70),IF(Q474="Container ship",Alukset_fx!$H$72*(Alukset_Käynnit_Lask!K474^Alukset_fx!$I$72),IF(Q474="Barge",0,IF(Q474="RoPax",Alukset_fx!$H$75*(Alukset_Käynnit_Lask!K474^Alukset_fx!$I$75),IF(OR(Q474="RoRo",Q474="Vehicle carrier"),Alukset_fx!$H$74*(Alukset_Käynnit_Lask!K474^Alukset_fx!$I$74),Alukset_fx!$H$77*(Alukset_Käynnit_Lask!K474^Alukset_fx!$I$77))))))))),"-")</f>
        <v>0</v>
      </c>
      <c r="T474" s="208">
        <f>IF(R474=0,IF(Q474="Other dry cargo",S474*Alukset_fx!$B$71,IF(OR(Q474="Dry bulk",Q474="Bulk carrier"),S474*Alukset_fx!$B$69,IF(Q474="Tugboat",S474*Alukset_fx!$B$76,IF(OR(Q474="Tanker",Q474="Gas tanker",Q474="Chemical tanker",Q474="Oil tanker"),S474*Alukset_fx!$B$68,IF(OR(Q474="RoRo",Q474="Vehicle carrier"),S474*Alukset_fx!$B$72,IF(Q474="RoPax",S474*Alukset_fx!$B$73,IF(Q474="Container ship",S474*Alukset_fx!$B$70,S474*Alukset_fx!$B$75))))))),"-")</f>
        <v>0</v>
      </c>
      <c r="U474" s="208">
        <f t="shared" si="90"/>
        <v>0</v>
      </c>
      <c r="V474" s="208">
        <f t="shared" si="91"/>
        <v>0</v>
      </c>
      <c r="W474" s="202">
        <f>Alukset_Käynnit!N481</f>
        <v>0</v>
      </c>
      <c r="X474" s="211">
        <f>IF(Q474="Other dry cargo", Alukset_fx!$C$52, IF(OR(Q474="Dry bulk",Q474="Bulk carrier"),Alukset_fx!$C$35,IF(OR(Q474="Tanker",Q474="Gas tanker",Q474="Oil tanker"),Alukset_fx!$C$57,IF(Q474="Chemical tanker",Alukset_fx!$C$56,IF(OR(Q474="Tugboat",Q474="Barge"),0,IF(Q474="Other vessel",Alukset_fx!$C$54,IF(Q474="Container ship",Alukset_fx!$C$37,IF(OR(Q474="RoPax",Q474="RoRo",Q474="Vehicle carrier"),Alukset_fx!$C$55,0))))))))</f>
        <v>0</v>
      </c>
      <c r="Y474" s="211">
        <f>IF(Q474="Other dry cargo", Alukset_fx!$Q$52, IF(OR(Q474="Dry bulk",Q474="Bulk carrier"),Alukset_fx!$Q$35,IF(OR(Q474="Tanker",Q474="Gas tanker",Q474="Oil tanker"),Alukset_fx!$Q$57,IF(Q474="Chemical tanker",Alukset_fx!$Q$56,IF(OR(Q474="Tugboat",Q474="Barge"),0,IF(Q474="Other vessel",Alukset_fx!$Q$54,IF(Q474="Container ship",Alukset_fx!$Q$37,IF(OR(Q474="RoPax",Q474="RoRo",Q474="Vehicle carrier"),Alukset_fx!$Q$55,0))))))))</f>
        <v>0</v>
      </c>
      <c r="Z474" t="str">
        <f t="shared" si="92"/>
        <v>MDO/MGO</v>
      </c>
      <c r="AA474" t="str">
        <f t="shared" si="93"/>
        <v>MSD</v>
      </c>
      <c r="AB474" t="str">
        <f t="shared" si="94"/>
        <v>MDO/MGO</v>
      </c>
      <c r="AC474" t="str">
        <f t="shared" si="95"/>
        <v>MSD</v>
      </c>
      <c r="AD474" t="str">
        <f t="shared" si="96"/>
        <v>MDO/MGO</v>
      </c>
      <c r="AE474" t="str">
        <f t="shared" si="97"/>
        <v>ST</v>
      </c>
      <c r="AG474">
        <f>Alukset_Käynnit!O481</f>
        <v>0</v>
      </c>
      <c r="AH474" s="207">
        <f>IF(AA474="SSD",((U474*Alukset_fx!$B$24)*Alukset_Käynnit_Lask!W474*(Alukset_fx!$K$49)/1000),IF(AA474="MSD",((U474*Alukset_fx!$B$24)*Alukset_Käynnit_Lask!W474*(Alukset_fx!$K$52)/1000),IF(AA474="HSD",((U474*Alukset_fx!$B$24)*Alukset_Käynnit_Lask!W474*(Alukset_fx!$K$55)/1000),0)))</f>
        <v>0</v>
      </c>
      <c r="AI474" s="207">
        <f>IF(AC474="MSD",((V474*Alukset_fx!$B$25)*Alukset_Käynnit_Lask!W474*(Alukset_fx!$L$52)/1000),IF(AC474="HSD",((V474*Alukset_fx!$B$25)*Alukset_Käynnit_Lask!W474*(Alukset_fx!$L$55)/1000),0))</f>
        <v>0</v>
      </c>
      <c r="AJ474" s="207">
        <f>X474*W474*Alukset_fx!$K$61/1000</f>
        <v>0</v>
      </c>
      <c r="AK474">
        <v>0</v>
      </c>
      <c r="AL474" s="207">
        <f>IF(AG474="Käytetty",0,IF(AC474="MSD",((V474*Alukset_fx!$O$25)*Alukset_Käynnit_Lask!O474*(Alukset_fx!$L$52)/1000),IF(AC474="HSD",((V474*Alukset_fx!$O$25)*Alukset_Käynnit_Lask!O474*(Alukset_fx!$L$55)/1000),0)))</f>
        <v>0</v>
      </c>
      <c r="AM474" s="207">
        <f>IF(AG474="Käytetty",0,Y474*O474*Alukset_fx!$K$61/1000)</f>
        <v>0</v>
      </c>
      <c r="AN474" s="213">
        <f t="shared" si="98"/>
        <v>0</v>
      </c>
    </row>
    <row r="475" spans="1:40" x14ac:dyDescent="0.25">
      <c r="A475" s="203">
        <f>Alukset_Käynnit!A482</f>
        <v>0</v>
      </c>
      <c r="B475" s="203">
        <f>Alukset_Käynnit!B482</f>
        <v>0</v>
      </c>
      <c r="C475" s="262">
        <f>Alukset_Käynnit!C482</f>
        <v>0</v>
      </c>
      <c r="D475" s="266">
        <f>Alukset_Käynnit!D482</f>
        <v>0</v>
      </c>
      <c r="E475" s="262">
        <f>Alukset_Käynnit!E482</f>
        <v>0</v>
      </c>
      <c r="F475" s="262">
        <f>Alukset_Käynnit!F482</f>
        <v>0</v>
      </c>
      <c r="G475" s="262">
        <f>Alukset_Käynnit!G482</f>
        <v>0</v>
      </c>
      <c r="H475" s="262">
        <f>Alukset_Käynnit!H482</f>
        <v>0</v>
      </c>
      <c r="I475" s="262">
        <f>Alukset_Käynnit!I482</f>
        <v>0</v>
      </c>
      <c r="J475" s="262">
        <f>Alukset_Käynnit!J482</f>
        <v>0</v>
      </c>
      <c r="K475" s="262">
        <f>Alukset_Käynnit!K482</f>
        <v>0</v>
      </c>
      <c r="L475" s="205">
        <f>Alukset_Käynnit!L482</f>
        <v>0</v>
      </c>
      <c r="N475" s="273">
        <f t="shared" si="99"/>
        <v>0</v>
      </c>
      <c r="O475" s="274">
        <f t="shared" si="100"/>
        <v>0</v>
      </c>
      <c r="Q475" s="204">
        <f t="shared" si="89"/>
        <v>0</v>
      </c>
      <c r="R475" s="202">
        <f>IF(Q475="Other dry cargo",L475*Alukset_fx!$B$71,IF(OR(Q475="Dry bulk",Q475="Bulk carrier"),L475*Alukset_fx!$B$69,IF(Q475="Tugboat",L475*Alukset_fx!$B$76,IF(OR(Q475="Tanker",Q475="Gas tanker",Q475="Chemical tanker",Q475="Oil tanker"),L475*Alukset_fx!$B$68,IF(OR(Q475="RoRo",Q475="Vehicle carrier"),L475*Alukset_fx!$B$72,IF(Q475="RoPax",L475*Alukset_fx!$B$73,IF(Q475="Container ship",L475*Alukset_fx!$B$70,IF(Q475="Barge",0,L475*Alukset_fx!$B$75))))))))</f>
        <v>0</v>
      </c>
      <c r="S475" s="210">
        <f>IF(L475=0,IF(Q475="Other dry cargo",Alukset_fx!$H$73*(Alukset_Käynnit_Lask!K475^Alukset_fx!$I$73),IF(OR(Q475="Dry Bulk",Q475="Bulk carrier"),Alukset_fx!$H$71*(Alukset_Käynnit_Lask!K475^Alukset_fx!$I$71),IF(Q475="Tugboat",Alukset_fx!$H$78*(Alukset_Käynnit_Lask!K475^Alukset_fx!$I$78),IF(OR(Q475="Tanker",Q475="Gas tanker",Q475="Chemical tanker",Q475="Oil tanker"),Alukset_fx!$H$70*(Alukset_Käynnit_Lask!K475^Alukset_fx!$I$70),IF(Q475="Container ship",Alukset_fx!$H$72*(Alukset_Käynnit_Lask!K475^Alukset_fx!$I$72),IF(Q475="Barge",0,IF(Q475="RoPax",Alukset_fx!$H$75*(Alukset_Käynnit_Lask!K475^Alukset_fx!$I$75),IF(OR(Q475="RoRo",Q475="Vehicle carrier"),Alukset_fx!$H$74*(Alukset_Käynnit_Lask!K475^Alukset_fx!$I$74),Alukset_fx!$H$77*(Alukset_Käynnit_Lask!K475^Alukset_fx!$I$77))))))))),"-")</f>
        <v>0</v>
      </c>
      <c r="T475" s="208">
        <f>IF(R475=0,IF(Q475="Other dry cargo",S475*Alukset_fx!$B$71,IF(OR(Q475="Dry bulk",Q475="Bulk carrier"),S475*Alukset_fx!$B$69,IF(Q475="Tugboat",S475*Alukset_fx!$B$76,IF(OR(Q475="Tanker",Q475="Gas tanker",Q475="Chemical tanker",Q475="Oil tanker"),S475*Alukset_fx!$B$68,IF(OR(Q475="RoRo",Q475="Vehicle carrier"),S475*Alukset_fx!$B$72,IF(Q475="RoPax",S475*Alukset_fx!$B$73,IF(Q475="Container ship",S475*Alukset_fx!$B$70,S475*Alukset_fx!$B$75))))))),"-")</f>
        <v>0</v>
      </c>
      <c r="U475" s="208">
        <f t="shared" si="90"/>
        <v>0</v>
      </c>
      <c r="V475" s="208">
        <f t="shared" si="91"/>
        <v>0</v>
      </c>
      <c r="W475" s="202">
        <f>Alukset_Käynnit!N482</f>
        <v>0</v>
      </c>
      <c r="X475" s="211">
        <f>IF(Q475="Other dry cargo", Alukset_fx!$C$52, IF(OR(Q475="Dry bulk",Q475="Bulk carrier"),Alukset_fx!$C$35,IF(OR(Q475="Tanker",Q475="Gas tanker",Q475="Oil tanker"),Alukset_fx!$C$57,IF(Q475="Chemical tanker",Alukset_fx!$C$56,IF(OR(Q475="Tugboat",Q475="Barge"),0,IF(Q475="Other vessel",Alukset_fx!$C$54,IF(Q475="Container ship",Alukset_fx!$C$37,IF(OR(Q475="RoPax",Q475="RoRo",Q475="Vehicle carrier"),Alukset_fx!$C$55,0))))))))</f>
        <v>0</v>
      </c>
      <c r="Y475" s="211">
        <f>IF(Q475="Other dry cargo", Alukset_fx!$Q$52, IF(OR(Q475="Dry bulk",Q475="Bulk carrier"),Alukset_fx!$Q$35,IF(OR(Q475="Tanker",Q475="Gas tanker",Q475="Oil tanker"),Alukset_fx!$Q$57,IF(Q475="Chemical tanker",Alukset_fx!$Q$56,IF(OR(Q475="Tugboat",Q475="Barge"),0,IF(Q475="Other vessel",Alukset_fx!$Q$54,IF(Q475="Container ship",Alukset_fx!$Q$37,IF(OR(Q475="RoPax",Q475="RoRo",Q475="Vehicle carrier"),Alukset_fx!$Q$55,0))))))))</f>
        <v>0</v>
      </c>
      <c r="Z475" t="str">
        <f t="shared" si="92"/>
        <v>MDO/MGO</v>
      </c>
      <c r="AA475" t="str">
        <f t="shared" si="93"/>
        <v>MSD</v>
      </c>
      <c r="AB475" t="str">
        <f t="shared" si="94"/>
        <v>MDO/MGO</v>
      </c>
      <c r="AC475" t="str">
        <f t="shared" si="95"/>
        <v>MSD</v>
      </c>
      <c r="AD475" t="str">
        <f t="shared" si="96"/>
        <v>MDO/MGO</v>
      </c>
      <c r="AE475" t="str">
        <f t="shared" si="97"/>
        <v>ST</v>
      </c>
      <c r="AG475">
        <f>Alukset_Käynnit!O482</f>
        <v>0</v>
      </c>
      <c r="AH475" s="207">
        <f>IF(AA475="SSD",((U475*Alukset_fx!$B$24)*Alukset_Käynnit_Lask!W475*(Alukset_fx!$K$49)/1000),IF(AA475="MSD",((U475*Alukset_fx!$B$24)*Alukset_Käynnit_Lask!W475*(Alukset_fx!$K$52)/1000),IF(AA475="HSD",((U475*Alukset_fx!$B$24)*Alukset_Käynnit_Lask!W475*(Alukset_fx!$K$55)/1000),0)))</f>
        <v>0</v>
      </c>
      <c r="AI475" s="207">
        <f>IF(AC475="MSD",((V475*Alukset_fx!$B$25)*Alukset_Käynnit_Lask!W475*(Alukset_fx!$L$52)/1000),IF(AC475="HSD",((V475*Alukset_fx!$B$25)*Alukset_Käynnit_Lask!W475*(Alukset_fx!$L$55)/1000),0))</f>
        <v>0</v>
      </c>
      <c r="AJ475" s="207">
        <f>X475*W475*Alukset_fx!$K$61/1000</f>
        <v>0</v>
      </c>
      <c r="AK475">
        <v>0</v>
      </c>
      <c r="AL475" s="207">
        <f>IF(AG475="Käytetty",0,IF(AC475="MSD",((V475*Alukset_fx!$O$25)*Alukset_Käynnit_Lask!O475*(Alukset_fx!$L$52)/1000),IF(AC475="HSD",((V475*Alukset_fx!$O$25)*Alukset_Käynnit_Lask!O475*(Alukset_fx!$L$55)/1000),0)))</f>
        <v>0</v>
      </c>
      <c r="AM475" s="207">
        <f>IF(AG475="Käytetty",0,Y475*O475*Alukset_fx!$K$61/1000)</f>
        <v>0</v>
      </c>
      <c r="AN475" s="213">
        <f t="shared" si="98"/>
        <v>0</v>
      </c>
    </row>
    <row r="476" spans="1:40" x14ac:dyDescent="0.25">
      <c r="A476" s="203">
        <f>Alukset_Käynnit!A483</f>
        <v>0</v>
      </c>
      <c r="B476" s="203">
        <f>Alukset_Käynnit!B483</f>
        <v>0</v>
      </c>
      <c r="C476" s="262">
        <f>Alukset_Käynnit!C483</f>
        <v>0</v>
      </c>
      <c r="D476" s="266">
        <f>Alukset_Käynnit!D483</f>
        <v>0</v>
      </c>
      <c r="E476" s="262">
        <f>Alukset_Käynnit!E483</f>
        <v>0</v>
      </c>
      <c r="F476" s="262">
        <f>Alukset_Käynnit!F483</f>
        <v>0</v>
      </c>
      <c r="G476" s="262">
        <f>Alukset_Käynnit!G483</f>
        <v>0</v>
      </c>
      <c r="H476" s="262">
        <f>Alukset_Käynnit!H483</f>
        <v>0</v>
      </c>
      <c r="I476" s="262">
        <f>Alukset_Käynnit!I483</f>
        <v>0</v>
      </c>
      <c r="J476" s="262">
        <f>Alukset_Käynnit!J483</f>
        <v>0</v>
      </c>
      <c r="K476" s="262">
        <f>Alukset_Käynnit!K483</f>
        <v>0</v>
      </c>
      <c r="L476" s="205">
        <f>Alukset_Käynnit!L483</f>
        <v>0</v>
      </c>
      <c r="N476" s="273">
        <f t="shared" si="99"/>
        <v>0</v>
      </c>
      <c r="O476" s="274">
        <f t="shared" si="100"/>
        <v>0</v>
      </c>
      <c r="Q476" s="204">
        <f t="shared" si="89"/>
        <v>0</v>
      </c>
      <c r="R476" s="202">
        <f>IF(Q476="Other dry cargo",L476*Alukset_fx!$B$71,IF(OR(Q476="Dry bulk",Q476="Bulk carrier"),L476*Alukset_fx!$B$69,IF(Q476="Tugboat",L476*Alukset_fx!$B$76,IF(OR(Q476="Tanker",Q476="Gas tanker",Q476="Chemical tanker",Q476="Oil tanker"),L476*Alukset_fx!$B$68,IF(OR(Q476="RoRo",Q476="Vehicle carrier"),L476*Alukset_fx!$B$72,IF(Q476="RoPax",L476*Alukset_fx!$B$73,IF(Q476="Container ship",L476*Alukset_fx!$B$70,IF(Q476="Barge",0,L476*Alukset_fx!$B$75))))))))</f>
        <v>0</v>
      </c>
      <c r="S476" s="210">
        <f>IF(L476=0,IF(Q476="Other dry cargo",Alukset_fx!$H$73*(Alukset_Käynnit_Lask!K476^Alukset_fx!$I$73),IF(OR(Q476="Dry Bulk",Q476="Bulk carrier"),Alukset_fx!$H$71*(Alukset_Käynnit_Lask!K476^Alukset_fx!$I$71),IF(Q476="Tugboat",Alukset_fx!$H$78*(Alukset_Käynnit_Lask!K476^Alukset_fx!$I$78),IF(OR(Q476="Tanker",Q476="Gas tanker",Q476="Chemical tanker",Q476="Oil tanker"),Alukset_fx!$H$70*(Alukset_Käynnit_Lask!K476^Alukset_fx!$I$70),IF(Q476="Container ship",Alukset_fx!$H$72*(Alukset_Käynnit_Lask!K476^Alukset_fx!$I$72),IF(Q476="Barge",0,IF(Q476="RoPax",Alukset_fx!$H$75*(Alukset_Käynnit_Lask!K476^Alukset_fx!$I$75),IF(OR(Q476="RoRo",Q476="Vehicle carrier"),Alukset_fx!$H$74*(Alukset_Käynnit_Lask!K476^Alukset_fx!$I$74),Alukset_fx!$H$77*(Alukset_Käynnit_Lask!K476^Alukset_fx!$I$77))))))))),"-")</f>
        <v>0</v>
      </c>
      <c r="T476" s="208">
        <f>IF(R476=0,IF(Q476="Other dry cargo",S476*Alukset_fx!$B$71,IF(OR(Q476="Dry bulk",Q476="Bulk carrier"),S476*Alukset_fx!$B$69,IF(Q476="Tugboat",S476*Alukset_fx!$B$76,IF(OR(Q476="Tanker",Q476="Gas tanker",Q476="Chemical tanker",Q476="Oil tanker"),S476*Alukset_fx!$B$68,IF(OR(Q476="RoRo",Q476="Vehicle carrier"),S476*Alukset_fx!$B$72,IF(Q476="RoPax",S476*Alukset_fx!$B$73,IF(Q476="Container ship",S476*Alukset_fx!$B$70,S476*Alukset_fx!$B$75))))))),"-")</f>
        <v>0</v>
      </c>
      <c r="U476" s="208">
        <f t="shared" si="90"/>
        <v>0</v>
      </c>
      <c r="V476" s="208">
        <f t="shared" si="91"/>
        <v>0</v>
      </c>
      <c r="W476" s="202">
        <f>Alukset_Käynnit!N483</f>
        <v>0</v>
      </c>
      <c r="X476" s="211">
        <f>IF(Q476="Other dry cargo", Alukset_fx!$C$52, IF(OR(Q476="Dry bulk",Q476="Bulk carrier"),Alukset_fx!$C$35,IF(OR(Q476="Tanker",Q476="Gas tanker",Q476="Oil tanker"),Alukset_fx!$C$57,IF(Q476="Chemical tanker",Alukset_fx!$C$56,IF(OR(Q476="Tugboat",Q476="Barge"),0,IF(Q476="Other vessel",Alukset_fx!$C$54,IF(Q476="Container ship",Alukset_fx!$C$37,IF(OR(Q476="RoPax",Q476="RoRo",Q476="Vehicle carrier"),Alukset_fx!$C$55,0))))))))</f>
        <v>0</v>
      </c>
      <c r="Y476" s="211">
        <f>IF(Q476="Other dry cargo", Alukset_fx!$Q$52, IF(OR(Q476="Dry bulk",Q476="Bulk carrier"),Alukset_fx!$Q$35,IF(OR(Q476="Tanker",Q476="Gas tanker",Q476="Oil tanker"),Alukset_fx!$Q$57,IF(Q476="Chemical tanker",Alukset_fx!$Q$56,IF(OR(Q476="Tugboat",Q476="Barge"),0,IF(Q476="Other vessel",Alukset_fx!$Q$54,IF(Q476="Container ship",Alukset_fx!$Q$37,IF(OR(Q476="RoPax",Q476="RoRo",Q476="Vehicle carrier"),Alukset_fx!$Q$55,0))))))))</f>
        <v>0</v>
      </c>
      <c r="Z476" t="str">
        <f t="shared" si="92"/>
        <v>MDO/MGO</v>
      </c>
      <c r="AA476" t="str">
        <f t="shared" si="93"/>
        <v>MSD</v>
      </c>
      <c r="AB476" t="str">
        <f t="shared" si="94"/>
        <v>MDO/MGO</v>
      </c>
      <c r="AC476" t="str">
        <f t="shared" si="95"/>
        <v>MSD</v>
      </c>
      <c r="AD476" t="str">
        <f t="shared" si="96"/>
        <v>MDO/MGO</v>
      </c>
      <c r="AE476" t="str">
        <f t="shared" si="97"/>
        <v>ST</v>
      </c>
      <c r="AG476">
        <f>Alukset_Käynnit!O483</f>
        <v>0</v>
      </c>
      <c r="AH476" s="207">
        <f>IF(AA476="SSD",((U476*Alukset_fx!$B$24)*Alukset_Käynnit_Lask!W476*(Alukset_fx!$K$49)/1000),IF(AA476="MSD",((U476*Alukset_fx!$B$24)*Alukset_Käynnit_Lask!W476*(Alukset_fx!$K$52)/1000),IF(AA476="HSD",((U476*Alukset_fx!$B$24)*Alukset_Käynnit_Lask!W476*(Alukset_fx!$K$55)/1000),0)))</f>
        <v>0</v>
      </c>
      <c r="AI476" s="207">
        <f>IF(AC476="MSD",((V476*Alukset_fx!$B$25)*Alukset_Käynnit_Lask!W476*(Alukset_fx!$L$52)/1000),IF(AC476="HSD",((V476*Alukset_fx!$B$25)*Alukset_Käynnit_Lask!W476*(Alukset_fx!$L$55)/1000),0))</f>
        <v>0</v>
      </c>
      <c r="AJ476" s="207">
        <f>X476*W476*Alukset_fx!$K$61/1000</f>
        <v>0</v>
      </c>
      <c r="AK476">
        <v>0</v>
      </c>
      <c r="AL476" s="207">
        <f>IF(AG476="Käytetty",0,IF(AC476="MSD",((V476*Alukset_fx!$O$25)*Alukset_Käynnit_Lask!O476*(Alukset_fx!$L$52)/1000),IF(AC476="HSD",((V476*Alukset_fx!$O$25)*Alukset_Käynnit_Lask!O476*(Alukset_fx!$L$55)/1000),0)))</f>
        <v>0</v>
      </c>
      <c r="AM476" s="207">
        <f>IF(AG476="Käytetty",0,Y476*O476*Alukset_fx!$K$61/1000)</f>
        <v>0</v>
      </c>
      <c r="AN476" s="213">
        <f t="shared" si="98"/>
        <v>0</v>
      </c>
    </row>
    <row r="477" spans="1:40" x14ac:dyDescent="0.25">
      <c r="A477" s="203">
        <f>Alukset_Käynnit!A484</f>
        <v>0</v>
      </c>
      <c r="B477" s="203">
        <f>Alukset_Käynnit!B484</f>
        <v>0</v>
      </c>
      <c r="C477" s="262">
        <f>Alukset_Käynnit!C484</f>
        <v>0</v>
      </c>
      <c r="D477" s="266">
        <f>Alukset_Käynnit!D484</f>
        <v>0</v>
      </c>
      <c r="E477" s="262">
        <f>Alukset_Käynnit!E484</f>
        <v>0</v>
      </c>
      <c r="F477" s="262">
        <f>Alukset_Käynnit!F484</f>
        <v>0</v>
      </c>
      <c r="G477" s="262">
        <f>Alukset_Käynnit!G484</f>
        <v>0</v>
      </c>
      <c r="H477" s="262">
        <f>Alukset_Käynnit!H484</f>
        <v>0</v>
      </c>
      <c r="I477" s="262">
        <f>Alukset_Käynnit!I484</f>
        <v>0</v>
      </c>
      <c r="J477" s="262">
        <f>Alukset_Käynnit!J484</f>
        <v>0</v>
      </c>
      <c r="K477" s="262">
        <f>Alukset_Käynnit!K484</f>
        <v>0</v>
      </c>
      <c r="L477" s="205">
        <f>Alukset_Käynnit!L484</f>
        <v>0</v>
      </c>
      <c r="N477" s="273">
        <f t="shared" si="99"/>
        <v>0</v>
      </c>
      <c r="O477" s="274">
        <f t="shared" si="100"/>
        <v>0</v>
      </c>
      <c r="Q477" s="204">
        <f t="shared" si="89"/>
        <v>0</v>
      </c>
      <c r="R477" s="202">
        <f>IF(Q477="Other dry cargo",L477*Alukset_fx!$B$71,IF(OR(Q477="Dry bulk",Q477="Bulk carrier"),L477*Alukset_fx!$B$69,IF(Q477="Tugboat",L477*Alukset_fx!$B$76,IF(OR(Q477="Tanker",Q477="Gas tanker",Q477="Chemical tanker",Q477="Oil tanker"),L477*Alukset_fx!$B$68,IF(OR(Q477="RoRo",Q477="Vehicle carrier"),L477*Alukset_fx!$B$72,IF(Q477="RoPax",L477*Alukset_fx!$B$73,IF(Q477="Container ship",L477*Alukset_fx!$B$70,IF(Q477="Barge",0,L477*Alukset_fx!$B$75))))))))</f>
        <v>0</v>
      </c>
      <c r="S477" s="210">
        <f>IF(L477=0,IF(Q477="Other dry cargo",Alukset_fx!$H$73*(Alukset_Käynnit_Lask!K477^Alukset_fx!$I$73),IF(OR(Q477="Dry Bulk",Q477="Bulk carrier"),Alukset_fx!$H$71*(Alukset_Käynnit_Lask!K477^Alukset_fx!$I$71),IF(Q477="Tugboat",Alukset_fx!$H$78*(Alukset_Käynnit_Lask!K477^Alukset_fx!$I$78),IF(OR(Q477="Tanker",Q477="Gas tanker",Q477="Chemical tanker",Q477="Oil tanker"),Alukset_fx!$H$70*(Alukset_Käynnit_Lask!K477^Alukset_fx!$I$70),IF(Q477="Container ship",Alukset_fx!$H$72*(Alukset_Käynnit_Lask!K477^Alukset_fx!$I$72),IF(Q477="Barge",0,IF(Q477="RoPax",Alukset_fx!$H$75*(Alukset_Käynnit_Lask!K477^Alukset_fx!$I$75),IF(OR(Q477="RoRo",Q477="Vehicle carrier"),Alukset_fx!$H$74*(Alukset_Käynnit_Lask!K477^Alukset_fx!$I$74),Alukset_fx!$H$77*(Alukset_Käynnit_Lask!K477^Alukset_fx!$I$77))))))))),"-")</f>
        <v>0</v>
      </c>
      <c r="T477" s="208">
        <f>IF(R477=0,IF(Q477="Other dry cargo",S477*Alukset_fx!$B$71,IF(OR(Q477="Dry bulk",Q477="Bulk carrier"),S477*Alukset_fx!$B$69,IF(Q477="Tugboat",S477*Alukset_fx!$B$76,IF(OR(Q477="Tanker",Q477="Gas tanker",Q477="Chemical tanker",Q477="Oil tanker"),S477*Alukset_fx!$B$68,IF(OR(Q477="RoRo",Q477="Vehicle carrier"),S477*Alukset_fx!$B$72,IF(Q477="RoPax",S477*Alukset_fx!$B$73,IF(Q477="Container ship",S477*Alukset_fx!$B$70,S477*Alukset_fx!$B$75))))))),"-")</f>
        <v>0</v>
      </c>
      <c r="U477" s="208">
        <f t="shared" si="90"/>
        <v>0</v>
      </c>
      <c r="V477" s="208">
        <f t="shared" si="91"/>
        <v>0</v>
      </c>
      <c r="W477" s="202">
        <f>Alukset_Käynnit!N484</f>
        <v>0</v>
      </c>
      <c r="X477" s="211">
        <f>IF(Q477="Other dry cargo", Alukset_fx!$C$52, IF(OR(Q477="Dry bulk",Q477="Bulk carrier"),Alukset_fx!$C$35,IF(OR(Q477="Tanker",Q477="Gas tanker",Q477="Oil tanker"),Alukset_fx!$C$57,IF(Q477="Chemical tanker",Alukset_fx!$C$56,IF(OR(Q477="Tugboat",Q477="Barge"),0,IF(Q477="Other vessel",Alukset_fx!$C$54,IF(Q477="Container ship",Alukset_fx!$C$37,IF(OR(Q477="RoPax",Q477="RoRo",Q477="Vehicle carrier"),Alukset_fx!$C$55,0))))))))</f>
        <v>0</v>
      </c>
      <c r="Y477" s="211">
        <f>IF(Q477="Other dry cargo", Alukset_fx!$Q$52, IF(OR(Q477="Dry bulk",Q477="Bulk carrier"),Alukset_fx!$Q$35,IF(OR(Q477="Tanker",Q477="Gas tanker",Q477="Oil tanker"),Alukset_fx!$Q$57,IF(Q477="Chemical tanker",Alukset_fx!$Q$56,IF(OR(Q477="Tugboat",Q477="Barge"),0,IF(Q477="Other vessel",Alukset_fx!$Q$54,IF(Q477="Container ship",Alukset_fx!$Q$37,IF(OR(Q477="RoPax",Q477="RoRo",Q477="Vehicle carrier"),Alukset_fx!$Q$55,0))))))))</f>
        <v>0</v>
      </c>
      <c r="Z477" t="str">
        <f t="shared" si="92"/>
        <v>MDO/MGO</v>
      </c>
      <c r="AA477" t="str">
        <f t="shared" si="93"/>
        <v>MSD</v>
      </c>
      <c r="AB477" t="str">
        <f t="shared" si="94"/>
        <v>MDO/MGO</v>
      </c>
      <c r="AC477" t="str">
        <f t="shared" si="95"/>
        <v>MSD</v>
      </c>
      <c r="AD477" t="str">
        <f t="shared" si="96"/>
        <v>MDO/MGO</v>
      </c>
      <c r="AE477" t="str">
        <f t="shared" si="97"/>
        <v>ST</v>
      </c>
      <c r="AG477">
        <f>Alukset_Käynnit!O484</f>
        <v>0</v>
      </c>
      <c r="AH477" s="207">
        <f>IF(AA477="SSD",((U477*Alukset_fx!$B$24)*Alukset_Käynnit_Lask!W477*(Alukset_fx!$K$49)/1000),IF(AA477="MSD",((U477*Alukset_fx!$B$24)*Alukset_Käynnit_Lask!W477*(Alukset_fx!$K$52)/1000),IF(AA477="HSD",((U477*Alukset_fx!$B$24)*Alukset_Käynnit_Lask!W477*(Alukset_fx!$K$55)/1000),0)))</f>
        <v>0</v>
      </c>
      <c r="AI477" s="207">
        <f>IF(AC477="MSD",((V477*Alukset_fx!$B$25)*Alukset_Käynnit_Lask!W477*(Alukset_fx!$L$52)/1000),IF(AC477="HSD",((V477*Alukset_fx!$B$25)*Alukset_Käynnit_Lask!W477*(Alukset_fx!$L$55)/1000),0))</f>
        <v>0</v>
      </c>
      <c r="AJ477" s="207">
        <f>X477*W477*Alukset_fx!$K$61/1000</f>
        <v>0</v>
      </c>
      <c r="AK477">
        <v>0</v>
      </c>
      <c r="AL477" s="207">
        <f>IF(AG477="Käytetty",0,IF(AC477="MSD",((V477*Alukset_fx!$O$25)*Alukset_Käynnit_Lask!O477*(Alukset_fx!$L$52)/1000),IF(AC477="HSD",((V477*Alukset_fx!$O$25)*Alukset_Käynnit_Lask!O477*(Alukset_fx!$L$55)/1000),0)))</f>
        <v>0</v>
      </c>
      <c r="AM477" s="207">
        <f>IF(AG477="Käytetty",0,Y477*O477*Alukset_fx!$K$61/1000)</f>
        <v>0</v>
      </c>
      <c r="AN477" s="213">
        <f t="shared" si="98"/>
        <v>0</v>
      </c>
    </row>
    <row r="478" spans="1:40" x14ac:dyDescent="0.25">
      <c r="A478" s="203">
        <f>Alukset_Käynnit!A485</f>
        <v>0</v>
      </c>
      <c r="B478" s="203">
        <f>Alukset_Käynnit!B485</f>
        <v>0</v>
      </c>
      <c r="C478" s="262">
        <f>Alukset_Käynnit!C485</f>
        <v>0</v>
      </c>
      <c r="D478" s="266">
        <f>Alukset_Käynnit!D485</f>
        <v>0</v>
      </c>
      <c r="E478" s="262">
        <f>Alukset_Käynnit!E485</f>
        <v>0</v>
      </c>
      <c r="F478" s="262">
        <f>Alukset_Käynnit!F485</f>
        <v>0</v>
      </c>
      <c r="G478" s="262">
        <f>Alukset_Käynnit!G485</f>
        <v>0</v>
      </c>
      <c r="H478" s="262">
        <f>Alukset_Käynnit!H485</f>
        <v>0</v>
      </c>
      <c r="I478" s="262">
        <f>Alukset_Käynnit!I485</f>
        <v>0</v>
      </c>
      <c r="J478" s="262">
        <f>Alukset_Käynnit!J485</f>
        <v>0</v>
      </c>
      <c r="K478" s="262">
        <f>Alukset_Käynnit!K485</f>
        <v>0</v>
      </c>
      <c r="L478" s="205">
        <f>Alukset_Käynnit!L485</f>
        <v>0</v>
      </c>
      <c r="N478" s="273">
        <f t="shared" si="99"/>
        <v>0</v>
      </c>
      <c r="O478" s="274">
        <f t="shared" si="100"/>
        <v>0</v>
      </c>
      <c r="Q478" s="204">
        <f t="shared" si="89"/>
        <v>0</v>
      </c>
      <c r="R478" s="202">
        <f>IF(Q478="Other dry cargo",L478*Alukset_fx!$B$71,IF(OR(Q478="Dry bulk",Q478="Bulk carrier"),L478*Alukset_fx!$B$69,IF(Q478="Tugboat",L478*Alukset_fx!$B$76,IF(OR(Q478="Tanker",Q478="Gas tanker",Q478="Chemical tanker",Q478="Oil tanker"),L478*Alukset_fx!$B$68,IF(OR(Q478="RoRo",Q478="Vehicle carrier"),L478*Alukset_fx!$B$72,IF(Q478="RoPax",L478*Alukset_fx!$B$73,IF(Q478="Container ship",L478*Alukset_fx!$B$70,IF(Q478="Barge",0,L478*Alukset_fx!$B$75))))))))</f>
        <v>0</v>
      </c>
      <c r="S478" s="210">
        <f>IF(L478=0,IF(Q478="Other dry cargo",Alukset_fx!$H$73*(Alukset_Käynnit_Lask!K478^Alukset_fx!$I$73),IF(OR(Q478="Dry Bulk",Q478="Bulk carrier"),Alukset_fx!$H$71*(Alukset_Käynnit_Lask!K478^Alukset_fx!$I$71),IF(Q478="Tugboat",Alukset_fx!$H$78*(Alukset_Käynnit_Lask!K478^Alukset_fx!$I$78),IF(OR(Q478="Tanker",Q478="Gas tanker",Q478="Chemical tanker",Q478="Oil tanker"),Alukset_fx!$H$70*(Alukset_Käynnit_Lask!K478^Alukset_fx!$I$70),IF(Q478="Container ship",Alukset_fx!$H$72*(Alukset_Käynnit_Lask!K478^Alukset_fx!$I$72),IF(Q478="Barge",0,IF(Q478="RoPax",Alukset_fx!$H$75*(Alukset_Käynnit_Lask!K478^Alukset_fx!$I$75),IF(OR(Q478="RoRo",Q478="Vehicle carrier"),Alukset_fx!$H$74*(Alukset_Käynnit_Lask!K478^Alukset_fx!$I$74),Alukset_fx!$H$77*(Alukset_Käynnit_Lask!K478^Alukset_fx!$I$77))))))))),"-")</f>
        <v>0</v>
      </c>
      <c r="T478" s="208">
        <f>IF(R478=0,IF(Q478="Other dry cargo",S478*Alukset_fx!$B$71,IF(OR(Q478="Dry bulk",Q478="Bulk carrier"),S478*Alukset_fx!$B$69,IF(Q478="Tugboat",S478*Alukset_fx!$B$76,IF(OR(Q478="Tanker",Q478="Gas tanker",Q478="Chemical tanker",Q478="Oil tanker"),S478*Alukset_fx!$B$68,IF(OR(Q478="RoRo",Q478="Vehicle carrier"),S478*Alukset_fx!$B$72,IF(Q478="RoPax",S478*Alukset_fx!$B$73,IF(Q478="Container ship",S478*Alukset_fx!$B$70,S478*Alukset_fx!$B$75))))))),"-")</f>
        <v>0</v>
      </c>
      <c r="U478" s="208">
        <f t="shared" si="90"/>
        <v>0</v>
      </c>
      <c r="V478" s="208">
        <f t="shared" si="91"/>
        <v>0</v>
      </c>
      <c r="W478" s="202">
        <f>Alukset_Käynnit!N485</f>
        <v>0</v>
      </c>
      <c r="X478" s="211">
        <f>IF(Q478="Other dry cargo", Alukset_fx!$C$52, IF(OR(Q478="Dry bulk",Q478="Bulk carrier"),Alukset_fx!$C$35,IF(OR(Q478="Tanker",Q478="Gas tanker",Q478="Oil tanker"),Alukset_fx!$C$57,IF(Q478="Chemical tanker",Alukset_fx!$C$56,IF(OR(Q478="Tugboat",Q478="Barge"),0,IF(Q478="Other vessel",Alukset_fx!$C$54,IF(Q478="Container ship",Alukset_fx!$C$37,IF(OR(Q478="RoPax",Q478="RoRo",Q478="Vehicle carrier"),Alukset_fx!$C$55,0))))))))</f>
        <v>0</v>
      </c>
      <c r="Y478" s="211">
        <f>IF(Q478="Other dry cargo", Alukset_fx!$Q$52, IF(OR(Q478="Dry bulk",Q478="Bulk carrier"),Alukset_fx!$Q$35,IF(OR(Q478="Tanker",Q478="Gas tanker",Q478="Oil tanker"),Alukset_fx!$Q$57,IF(Q478="Chemical tanker",Alukset_fx!$Q$56,IF(OR(Q478="Tugboat",Q478="Barge"),0,IF(Q478="Other vessel",Alukset_fx!$Q$54,IF(Q478="Container ship",Alukset_fx!$Q$37,IF(OR(Q478="RoPax",Q478="RoRo",Q478="Vehicle carrier"),Alukset_fx!$Q$55,0))))))))</f>
        <v>0</v>
      </c>
      <c r="Z478" t="str">
        <f t="shared" si="92"/>
        <v>MDO/MGO</v>
      </c>
      <c r="AA478" t="str">
        <f t="shared" si="93"/>
        <v>MSD</v>
      </c>
      <c r="AB478" t="str">
        <f t="shared" si="94"/>
        <v>MDO/MGO</v>
      </c>
      <c r="AC478" t="str">
        <f t="shared" si="95"/>
        <v>MSD</v>
      </c>
      <c r="AD478" t="str">
        <f t="shared" si="96"/>
        <v>MDO/MGO</v>
      </c>
      <c r="AE478" t="str">
        <f t="shared" si="97"/>
        <v>ST</v>
      </c>
      <c r="AG478">
        <f>Alukset_Käynnit!O485</f>
        <v>0</v>
      </c>
      <c r="AH478" s="207">
        <f>IF(AA478="SSD",((U478*Alukset_fx!$B$24)*Alukset_Käynnit_Lask!W478*(Alukset_fx!$K$49)/1000),IF(AA478="MSD",((U478*Alukset_fx!$B$24)*Alukset_Käynnit_Lask!W478*(Alukset_fx!$K$52)/1000),IF(AA478="HSD",((U478*Alukset_fx!$B$24)*Alukset_Käynnit_Lask!W478*(Alukset_fx!$K$55)/1000),0)))</f>
        <v>0</v>
      </c>
      <c r="AI478" s="207">
        <f>IF(AC478="MSD",((V478*Alukset_fx!$B$25)*Alukset_Käynnit_Lask!W478*(Alukset_fx!$L$52)/1000),IF(AC478="HSD",((V478*Alukset_fx!$B$25)*Alukset_Käynnit_Lask!W478*(Alukset_fx!$L$55)/1000),0))</f>
        <v>0</v>
      </c>
      <c r="AJ478" s="207">
        <f>X478*W478*Alukset_fx!$K$61/1000</f>
        <v>0</v>
      </c>
      <c r="AK478">
        <v>0</v>
      </c>
      <c r="AL478" s="207">
        <f>IF(AG478="Käytetty",0,IF(AC478="MSD",((V478*Alukset_fx!$O$25)*Alukset_Käynnit_Lask!O478*(Alukset_fx!$L$52)/1000),IF(AC478="HSD",((V478*Alukset_fx!$O$25)*Alukset_Käynnit_Lask!O478*(Alukset_fx!$L$55)/1000),0)))</f>
        <v>0</v>
      </c>
      <c r="AM478" s="207">
        <f>IF(AG478="Käytetty",0,Y478*O478*Alukset_fx!$K$61/1000)</f>
        <v>0</v>
      </c>
      <c r="AN478" s="213">
        <f t="shared" si="98"/>
        <v>0</v>
      </c>
    </row>
    <row r="479" spans="1:40" x14ac:dyDescent="0.25">
      <c r="A479" s="203">
        <f>Alukset_Käynnit!A486</f>
        <v>0</v>
      </c>
      <c r="B479" s="203">
        <f>Alukset_Käynnit!B486</f>
        <v>0</v>
      </c>
      <c r="C479" s="262">
        <f>Alukset_Käynnit!C486</f>
        <v>0</v>
      </c>
      <c r="D479" s="266">
        <f>Alukset_Käynnit!D486</f>
        <v>0</v>
      </c>
      <c r="E479" s="262">
        <f>Alukset_Käynnit!E486</f>
        <v>0</v>
      </c>
      <c r="F479" s="262">
        <f>Alukset_Käynnit!F486</f>
        <v>0</v>
      </c>
      <c r="G479" s="262">
        <f>Alukset_Käynnit!G486</f>
        <v>0</v>
      </c>
      <c r="H479" s="262">
        <f>Alukset_Käynnit!H486</f>
        <v>0</v>
      </c>
      <c r="I479" s="262">
        <f>Alukset_Käynnit!I486</f>
        <v>0</v>
      </c>
      <c r="J479" s="262">
        <f>Alukset_Käynnit!J486</f>
        <v>0</v>
      </c>
      <c r="K479" s="262">
        <f>Alukset_Käynnit!K486</f>
        <v>0</v>
      </c>
      <c r="L479" s="205">
        <f>Alukset_Käynnit!L486</f>
        <v>0</v>
      </c>
      <c r="N479" s="273">
        <f t="shared" si="99"/>
        <v>0</v>
      </c>
      <c r="O479" s="274">
        <f t="shared" si="100"/>
        <v>0</v>
      </c>
      <c r="Q479" s="204">
        <f t="shared" si="89"/>
        <v>0</v>
      </c>
      <c r="R479" s="202">
        <f>IF(Q479="Other dry cargo",L479*Alukset_fx!$B$71,IF(OR(Q479="Dry bulk",Q479="Bulk carrier"),L479*Alukset_fx!$B$69,IF(Q479="Tugboat",L479*Alukset_fx!$B$76,IF(OR(Q479="Tanker",Q479="Gas tanker",Q479="Chemical tanker",Q479="Oil tanker"),L479*Alukset_fx!$B$68,IF(OR(Q479="RoRo",Q479="Vehicle carrier"),L479*Alukset_fx!$B$72,IF(Q479="RoPax",L479*Alukset_fx!$B$73,IF(Q479="Container ship",L479*Alukset_fx!$B$70,IF(Q479="Barge",0,L479*Alukset_fx!$B$75))))))))</f>
        <v>0</v>
      </c>
      <c r="S479" s="210">
        <f>IF(L479=0,IF(Q479="Other dry cargo",Alukset_fx!$H$73*(Alukset_Käynnit_Lask!K479^Alukset_fx!$I$73),IF(OR(Q479="Dry Bulk",Q479="Bulk carrier"),Alukset_fx!$H$71*(Alukset_Käynnit_Lask!K479^Alukset_fx!$I$71),IF(Q479="Tugboat",Alukset_fx!$H$78*(Alukset_Käynnit_Lask!K479^Alukset_fx!$I$78),IF(OR(Q479="Tanker",Q479="Gas tanker",Q479="Chemical tanker",Q479="Oil tanker"),Alukset_fx!$H$70*(Alukset_Käynnit_Lask!K479^Alukset_fx!$I$70),IF(Q479="Container ship",Alukset_fx!$H$72*(Alukset_Käynnit_Lask!K479^Alukset_fx!$I$72),IF(Q479="Barge",0,IF(Q479="RoPax",Alukset_fx!$H$75*(Alukset_Käynnit_Lask!K479^Alukset_fx!$I$75),IF(OR(Q479="RoRo",Q479="Vehicle carrier"),Alukset_fx!$H$74*(Alukset_Käynnit_Lask!K479^Alukset_fx!$I$74),Alukset_fx!$H$77*(Alukset_Käynnit_Lask!K479^Alukset_fx!$I$77))))))))),"-")</f>
        <v>0</v>
      </c>
      <c r="T479" s="208">
        <f>IF(R479=0,IF(Q479="Other dry cargo",S479*Alukset_fx!$B$71,IF(OR(Q479="Dry bulk",Q479="Bulk carrier"),S479*Alukset_fx!$B$69,IF(Q479="Tugboat",S479*Alukset_fx!$B$76,IF(OR(Q479="Tanker",Q479="Gas tanker",Q479="Chemical tanker",Q479="Oil tanker"),S479*Alukset_fx!$B$68,IF(OR(Q479="RoRo",Q479="Vehicle carrier"),S479*Alukset_fx!$B$72,IF(Q479="RoPax",S479*Alukset_fx!$B$73,IF(Q479="Container ship",S479*Alukset_fx!$B$70,S479*Alukset_fx!$B$75))))))),"-")</f>
        <v>0</v>
      </c>
      <c r="U479" s="208">
        <f t="shared" si="90"/>
        <v>0</v>
      </c>
      <c r="V479" s="208">
        <f t="shared" si="91"/>
        <v>0</v>
      </c>
      <c r="W479" s="202">
        <f>Alukset_Käynnit!N486</f>
        <v>0</v>
      </c>
      <c r="X479" s="211">
        <f>IF(Q479="Other dry cargo", Alukset_fx!$C$52, IF(OR(Q479="Dry bulk",Q479="Bulk carrier"),Alukset_fx!$C$35,IF(OR(Q479="Tanker",Q479="Gas tanker",Q479="Oil tanker"),Alukset_fx!$C$57,IF(Q479="Chemical tanker",Alukset_fx!$C$56,IF(OR(Q479="Tugboat",Q479="Barge"),0,IF(Q479="Other vessel",Alukset_fx!$C$54,IF(Q479="Container ship",Alukset_fx!$C$37,IF(OR(Q479="RoPax",Q479="RoRo",Q479="Vehicle carrier"),Alukset_fx!$C$55,0))))))))</f>
        <v>0</v>
      </c>
      <c r="Y479" s="211">
        <f>IF(Q479="Other dry cargo", Alukset_fx!$Q$52, IF(OR(Q479="Dry bulk",Q479="Bulk carrier"),Alukset_fx!$Q$35,IF(OR(Q479="Tanker",Q479="Gas tanker",Q479="Oil tanker"),Alukset_fx!$Q$57,IF(Q479="Chemical tanker",Alukset_fx!$Q$56,IF(OR(Q479="Tugboat",Q479="Barge"),0,IF(Q479="Other vessel",Alukset_fx!$Q$54,IF(Q479="Container ship",Alukset_fx!$Q$37,IF(OR(Q479="RoPax",Q479="RoRo",Q479="Vehicle carrier"),Alukset_fx!$Q$55,0))))))))</f>
        <v>0</v>
      </c>
      <c r="Z479" t="str">
        <f t="shared" si="92"/>
        <v>MDO/MGO</v>
      </c>
      <c r="AA479" t="str">
        <f t="shared" si="93"/>
        <v>MSD</v>
      </c>
      <c r="AB479" t="str">
        <f t="shared" si="94"/>
        <v>MDO/MGO</v>
      </c>
      <c r="AC479" t="str">
        <f t="shared" si="95"/>
        <v>MSD</v>
      </c>
      <c r="AD479" t="str">
        <f t="shared" si="96"/>
        <v>MDO/MGO</v>
      </c>
      <c r="AE479" t="str">
        <f t="shared" si="97"/>
        <v>ST</v>
      </c>
      <c r="AG479">
        <f>Alukset_Käynnit!O486</f>
        <v>0</v>
      </c>
      <c r="AH479" s="207">
        <f>IF(AA479="SSD",((U479*Alukset_fx!$B$24)*Alukset_Käynnit_Lask!W479*(Alukset_fx!$K$49)/1000),IF(AA479="MSD",((U479*Alukset_fx!$B$24)*Alukset_Käynnit_Lask!W479*(Alukset_fx!$K$52)/1000),IF(AA479="HSD",((U479*Alukset_fx!$B$24)*Alukset_Käynnit_Lask!W479*(Alukset_fx!$K$55)/1000),0)))</f>
        <v>0</v>
      </c>
      <c r="AI479" s="207">
        <f>IF(AC479="MSD",((V479*Alukset_fx!$B$25)*Alukset_Käynnit_Lask!W479*(Alukset_fx!$L$52)/1000),IF(AC479="HSD",((V479*Alukset_fx!$B$25)*Alukset_Käynnit_Lask!W479*(Alukset_fx!$L$55)/1000),0))</f>
        <v>0</v>
      </c>
      <c r="AJ479" s="207">
        <f>X479*W479*Alukset_fx!$K$61/1000</f>
        <v>0</v>
      </c>
      <c r="AK479">
        <v>0</v>
      </c>
      <c r="AL479" s="207">
        <f>IF(AG479="Käytetty",0,IF(AC479="MSD",((V479*Alukset_fx!$O$25)*Alukset_Käynnit_Lask!O479*(Alukset_fx!$L$52)/1000),IF(AC479="HSD",((V479*Alukset_fx!$O$25)*Alukset_Käynnit_Lask!O479*(Alukset_fx!$L$55)/1000),0)))</f>
        <v>0</v>
      </c>
      <c r="AM479" s="207">
        <f>IF(AG479="Käytetty",0,Y479*O479*Alukset_fx!$K$61/1000)</f>
        <v>0</v>
      </c>
      <c r="AN479" s="213">
        <f t="shared" si="98"/>
        <v>0</v>
      </c>
    </row>
    <row r="480" spans="1:40" x14ac:dyDescent="0.25">
      <c r="A480" s="203">
        <f>Alukset_Käynnit!A487</f>
        <v>0</v>
      </c>
      <c r="B480" s="203">
        <f>Alukset_Käynnit!B487</f>
        <v>0</v>
      </c>
      <c r="C480" s="262">
        <f>Alukset_Käynnit!C487</f>
        <v>0</v>
      </c>
      <c r="D480" s="266">
        <f>Alukset_Käynnit!D487</f>
        <v>0</v>
      </c>
      <c r="E480" s="262">
        <f>Alukset_Käynnit!E487</f>
        <v>0</v>
      </c>
      <c r="F480" s="262">
        <f>Alukset_Käynnit!F487</f>
        <v>0</v>
      </c>
      <c r="G480" s="262">
        <f>Alukset_Käynnit!G487</f>
        <v>0</v>
      </c>
      <c r="H480" s="262">
        <f>Alukset_Käynnit!H487</f>
        <v>0</v>
      </c>
      <c r="I480" s="262">
        <f>Alukset_Käynnit!I487</f>
        <v>0</v>
      </c>
      <c r="J480" s="262">
        <f>Alukset_Käynnit!J487</f>
        <v>0</v>
      </c>
      <c r="K480" s="262">
        <f>Alukset_Käynnit!K487</f>
        <v>0</v>
      </c>
      <c r="L480" s="205">
        <f>Alukset_Käynnit!L487</f>
        <v>0</v>
      </c>
      <c r="N480" s="273">
        <f t="shared" si="99"/>
        <v>0</v>
      </c>
      <c r="O480" s="274">
        <f t="shared" si="100"/>
        <v>0</v>
      </c>
      <c r="Q480" s="204">
        <f t="shared" si="89"/>
        <v>0</v>
      </c>
      <c r="R480" s="202">
        <f>IF(Q480="Other dry cargo",L480*Alukset_fx!$B$71,IF(OR(Q480="Dry bulk",Q480="Bulk carrier"),L480*Alukset_fx!$B$69,IF(Q480="Tugboat",L480*Alukset_fx!$B$76,IF(OR(Q480="Tanker",Q480="Gas tanker",Q480="Chemical tanker",Q480="Oil tanker"),L480*Alukset_fx!$B$68,IF(OR(Q480="RoRo",Q480="Vehicle carrier"),L480*Alukset_fx!$B$72,IF(Q480="RoPax",L480*Alukset_fx!$B$73,IF(Q480="Container ship",L480*Alukset_fx!$B$70,IF(Q480="Barge",0,L480*Alukset_fx!$B$75))))))))</f>
        <v>0</v>
      </c>
      <c r="S480" s="210">
        <f>IF(L480=0,IF(Q480="Other dry cargo",Alukset_fx!$H$73*(Alukset_Käynnit_Lask!K480^Alukset_fx!$I$73),IF(OR(Q480="Dry Bulk",Q480="Bulk carrier"),Alukset_fx!$H$71*(Alukset_Käynnit_Lask!K480^Alukset_fx!$I$71),IF(Q480="Tugboat",Alukset_fx!$H$78*(Alukset_Käynnit_Lask!K480^Alukset_fx!$I$78),IF(OR(Q480="Tanker",Q480="Gas tanker",Q480="Chemical tanker",Q480="Oil tanker"),Alukset_fx!$H$70*(Alukset_Käynnit_Lask!K480^Alukset_fx!$I$70),IF(Q480="Container ship",Alukset_fx!$H$72*(Alukset_Käynnit_Lask!K480^Alukset_fx!$I$72),IF(Q480="Barge",0,IF(Q480="RoPax",Alukset_fx!$H$75*(Alukset_Käynnit_Lask!K480^Alukset_fx!$I$75),IF(OR(Q480="RoRo",Q480="Vehicle carrier"),Alukset_fx!$H$74*(Alukset_Käynnit_Lask!K480^Alukset_fx!$I$74),Alukset_fx!$H$77*(Alukset_Käynnit_Lask!K480^Alukset_fx!$I$77))))))))),"-")</f>
        <v>0</v>
      </c>
      <c r="T480" s="208">
        <f>IF(R480=0,IF(Q480="Other dry cargo",S480*Alukset_fx!$B$71,IF(OR(Q480="Dry bulk",Q480="Bulk carrier"),S480*Alukset_fx!$B$69,IF(Q480="Tugboat",S480*Alukset_fx!$B$76,IF(OR(Q480="Tanker",Q480="Gas tanker",Q480="Chemical tanker",Q480="Oil tanker"),S480*Alukset_fx!$B$68,IF(OR(Q480="RoRo",Q480="Vehicle carrier"),S480*Alukset_fx!$B$72,IF(Q480="RoPax",S480*Alukset_fx!$B$73,IF(Q480="Container ship",S480*Alukset_fx!$B$70,S480*Alukset_fx!$B$75))))))),"-")</f>
        <v>0</v>
      </c>
      <c r="U480" s="208">
        <f t="shared" si="90"/>
        <v>0</v>
      </c>
      <c r="V480" s="208">
        <f t="shared" si="91"/>
        <v>0</v>
      </c>
      <c r="W480" s="202">
        <f>Alukset_Käynnit!N487</f>
        <v>0</v>
      </c>
      <c r="X480" s="211">
        <f>IF(Q480="Other dry cargo", Alukset_fx!$C$52, IF(OR(Q480="Dry bulk",Q480="Bulk carrier"),Alukset_fx!$C$35,IF(OR(Q480="Tanker",Q480="Gas tanker",Q480="Oil tanker"),Alukset_fx!$C$57,IF(Q480="Chemical tanker",Alukset_fx!$C$56,IF(OR(Q480="Tugboat",Q480="Barge"),0,IF(Q480="Other vessel",Alukset_fx!$C$54,IF(Q480="Container ship",Alukset_fx!$C$37,IF(OR(Q480="RoPax",Q480="RoRo",Q480="Vehicle carrier"),Alukset_fx!$C$55,0))))))))</f>
        <v>0</v>
      </c>
      <c r="Y480" s="211">
        <f>IF(Q480="Other dry cargo", Alukset_fx!$Q$52, IF(OR(Q480="Dry bulk",Q480="Bulk carrier"),Alukset_fx!$Q$35,IF(OR(Q480="Tanker",Q480="Gas tanker",Q480="Oil tanker"),Alukset_fx!$Q$57,IF(Q480="Chemical tanker",Alukset_fx!$Q$56,IF(OR(Q480="Tugboat",Q480="Barge"),0,IF(Q480="Other vessel",Alukset_fx!$Q$54,IF(Q480="Container ship",Alukset_fx!$Q$37,IF(OR(Q480="RoPax",Q480="RoRo",Q480="Vehicle carrier"),Alukset_fx!$Q$55,0))))))))</f>
        <v>0</v>
      </c>
      <c r="Z480" t="str">
        <f t="shared" si="92"/>
        <v>MDO/MGO</v>
      </c>
      <c r="AA480" t="str">
        <f t="shared" si="93"/>
        <v>MSD</v>
      </c>
      <c r="AB480" t="str">
        <f t="shared" si="94"/>
        <v>MDO/MGO</v>
      </c>
      <c r="AC480" t="str">
        <f t="shared" si="95"/>
        <v>MSD</v>
      </c>
      <c r="AD480" t="str">
        <f t="shared" si="96"/>
        <v>MDO/MGO</v>
      </c>
      <c r="AE480" t="str">
        <f t="shared" si="97"/>
        <v>ST</v>
      </c>
      <c r="AG480">
        <f>Alukset_Käynnit!O487</f>
        <v>0</v>
      </c>
      <c r="AH480" s="207">
        <f>IF(AA480="SSD",((U480*Alukset_fx!$B$24)*Alukset_Käynnit_Lask!W480*(Alukset_fx!$K$49)/1000),IF(AA480="MSD",((U480*Alukset_fx!$B$24)*Alukset_Käynnit_Lask!W480*(Alukset_fx!$K$52)/1000),IF(AA480="HSD",((U480*Alukset_fx!$B$24)*Alukset_Käynnit_Lask!W480*(Alukset_fx!$K$55)/1000),0)))</f>
        <v>0</v>
      </c>
      <c r="AI480" s="207">
        <f>IF(AC480="MSD",((V480*Alukset_fx!$B$25)*Alukset_Käynnit_Lask!W480*(Alukset_fx!$L$52)/1000),IF(AC480="HSD",((V480*Alukset_fx!$B$25)*Alukset_Käynnit_Lask!W480*(Alukset_fx!$L$55)/1000),0))</f>
        <v>0</v>
      </c>
      <c r="AJ480" s="207">
        <f>X480*W480*Alukset_fx!$K$61/1000</f>
        <v>0</v>
      </c>
      <c r="AK480">
        <v>0</v>
      </c>
      <c r="AL480" s="207">
        <f>IF(AG480="Käytetty",0,IF(AC480="MSD",((V480*Alukset_fx!$O$25)*Alukset_Käynnit_Lask!O480*(Alukset_fx!$L$52)/1000),IF(AC480="HSD",((V480*Alukset_fx!$O$25)*Alukset_Käynnit_Lask!O480*(Alukset_fx!$L$55)/1000),0)))</f>
        <v>0</v>
      </c>
      <c r="AM480" s="207">
        <f>IF(AG480="Käytetty",0,Y480*O480*Alukset_fx!$K$61/1000)</f>
        <v>0</v>
      </c>
      <c r="AN480" s="213">
        <f t="shared" si="98"/>
        <v>0</v>
      </c>
    </row>
    <row r="481" spans="1:40" x14ac:dyDescent="0.25">
      <c r="A481" s="203">
        <f>Alukset_Käynnit!A488</f>
        <v>0</v>
      </c>
      <c r="B481" s="203">
        <f>Alukset_Käynnit!B488</f>
        <v>0</v>
      </c>
      <c r="C481" s="262">
        <f>Alukset_Käynnit!C488</f>
        <v>0</v>
      </c>
      <c r="D481" s="266">
        <f>Alukset_Käynnit!D488</f>
        <v>0</v>
      </c>
      <c r="E481" s="262">
        <f>Alukset_Käynnit!E488</f>
        <v>0</v>
      </c>
      <c r="F481" s="262">
        <f>Alukset_Käynnit!F488</f>
        <v>0</v>
      </c>
      <c r="G481" s="262">
        <f>Alukset_Käynnit!G488</f>
        <v>0</v>
      </c>
      <c r="H481" s="262">
        <f>Alukset_Käynnit!H488</f>
        <v>0</v>
      </c>
      <c r="I481" s="262">
        <f>Alukset_Käynnit!I488</f>
        <v>0</v>
      </c>
      <c r="J481" s="262">
        <f>Alukset_Käynnit!J488</f>
        <v>0</v>
      </c>
      <c r="K481" s="262">
        <f>Alukset_Käynnit!K488</f>
        <v>0</v>
      </c>
      <c r="L481" s="205">
        <f>Alukset_Käynnit!L488</f>
        <v>0</v>
      </c>
      <c r="N481" s="273">
        <f t="shared" si="99"/>
        <v>0</v>
      </c>
      <c r="O481" s="274">
        <f t="shared" si="100"/>
        <v>0</v>
      </c>
      <c r="Q481" s="204">
        <f t="shared" si="89"/>
        <v>0</v>
      </c>
      <c r="R481" s="202">
        <f>IF(Q481="Other dry cargo",L481*Alukset_fx!$B$71,IF(OR(Q481="Dry bulk",Q481="Bulk carrier"),L481*Alukset_fx!$B$69,IF(Q481="Tugboat",L481*Alukset_fx!$B$76,IF(OR(Q481="Tanker",Q481="Gas tanker",Q481="Chemical tanker",Q481="Oil tanker"),L481*Alukset_fx!$B$68,IF(OR(Q481="RoRo",Q481="Vehicle carrier"),L481*Alukset_fx!$B$72,IF(Q481="RoPax",L481*Alukset_fx!$B$73,IF(Q481="Container ship",L481*Alukset_fx!$B$70,IF(Q481="Barge",0,L481*Alukset_fx!$B$75))))))))</f>
        <v>0</v>
      </c>
      <c r="S481" s="210">
        <f>IF(L481=0,IF(Q481="Other dry cargo",Alukset_fx!$H$73*(Alukset_Käynnit_Lask!K481^Alukset_fx!$I$73),IF(OR(Q481="Dry Bulk",Q481="Bulk carrier"),Alukset_fx!$H$71*(Alukset_Käynnit_Lask!K481^Alukset_fx!$I$71),IF(Q481="Tugboat",Alukset_fx!$H$78*(Alukset_Käynnit_Lask!K481^Alukset_fx!$I$78),IF(OR(Q481="Tanker",Q481="Gas tanker",Q481="Chemical tanker",Q481="Oil tanker"),Alukset_fx!$H$70*(Alukset_Käynnit_Lask!K481^Alukset_fx!$I$70),IF(Q481="Container ship",Alukset_fx!$H$72*(Alukset_Käynnit_Lask!K481^Alukset_fx!$I$72),IF(Q481="Barge",0,IF(Q481="RoPax",Alukset_fx!$H$75*(Alukset_Käynnit_Lask!K481^Alukset_fx!$I$75),IF(OR(Q481="RoRo",Q481="Vehicle carrier"),Alukset_fx!$H$74*(Alukset_Käynnit_Lask!K481^Alukset_fx!$I$74),Alukset_fx!$H$77*(Alukset_Käynnit_Lask!K481^Alukset_fx!$I$77))))))))),"-")</f>
        <v>0</v>
      </c>
      <c r="T481" s="208">
        <f>IF(R481=0,IF(Q481="Other dry cargo",S481*Alukset_fx!$B$71,IF(OR(Q481="Dry bulk",Q481="Bulk carrier"),S481*Alukset_fx!$B$69,IF(Q481="Tugboat",S481*Alukset_fx!$B$76,IF(OR(Q481="Tanker",Q481="Gas tanker",Q481="Chemical tanker",Q481="Oil tanker"),S481*Alukset_fx!$B$68,IF(OR(Q481="RoRo",Q481="Vehicle carrier"),S481*Alukset_fx!$B$72,IF(Q481="RoPax",S481*Alukset_fx!$B$73,IF(Q481="Container ship",S481*Alukset_fx!$B$70,S481*Alukset_fx!$B$75))))))),"-")</f>
        <v>0</v>
      </c>
      <c r="U481" s="208">
        <f t="shared" si="90"/>
        <v>0</v>
      </c>
      <c r="V481" s="208">
        <f t="shared" si="91"/>
        <v>0</v>
      </c>
      <c r="W481" s="202">
        <f>Alukset_Käynnit!N488</f>
        <v>0</v>
      </c>
      <c r="X481" s="211">
        <f>IF(Q481="Other dry cargo", Alukset_fx!$C$52, IF(OR(Q481="Dry bulk",Q481="Bulk carrier"),Alukset_fx!$C$35,IF(OR(Q481="Tanker",Q481="Gas tanker",Q481="Oil tanker"),Alukset_fx!$C$57,IF(Q481="Chemical tanker",Alukset_fx!$C$56,IF(OR(Q481="Tugboat",Q481="Barge"),0,IF(Q481="Other vessel",Alukset_fx!$C$54,IF(Q481="Container ship",Alukset_fx!$C$37,IF(OR(Q481="RoPax",Q481="RoRo",Q481="Vehicle carrier"),Alukset_fx!$C$55,0))))))))</f>
        <v>0</v>
      </c>
      <c r="Y481" s="211">
        <f>IF(Q481="Other dry cargo", Alukset_fx!$Q$52, IF(OR(Q481="Dry bulk",Q481="Bulk carrier"),Alukset_fx!$Q$35,IF(OR(Q481="Tanker",Q481="Gas tanker",Q481="Oil tanker"),Alukset_fx!$Q$57,IF(Q481="Chemical tanker",Alukset_fx!$Q$56,IF(OR(Q481="Tugboat",Q481="Barge"),0,IF(Q481="Other vessel",Alukset_fx!$Q$54,IF(Q481="Container ship",Alukset_fx!$Q$37,IF(OR(Q481="RoPax",Q481="RoRo",Q481="Vehicle carrier"),Alukset_fx!$Q$55,0))))))))</f>
        <v>0</v>
      </c>
      <c r="Z481" t="str">
        <f t="shared" si="92"/>
        <v>MDO/MGO</v>
      </c>
      <c r="AA481" t="str">
        <f t="shared" si="93"/>
        <v>MSD</v>
      </c>
      <c r="AB481" t="str">
        <f t="shared" si="94"/>
        <v>MDO/MGO</v>
      </c>
      <c r="AC481" t="str">
        <f t="shared" si="95"/>
        <v>MSD</v>
      </c>
      <c r="AD481" t="str">
        <f t="shared" si="96"/>
        <v>MDO/MGO</v>
      </c>
      <c r="AE481" t="str">
        <f t="shared" si="97"/>
        <v>ST</v>
      </c>
      <c r="AG481">
        <f>Alukset_Käynnit!O488</f>
        <v>0</v>
      </c>
      <c r="AH481" s="207">
        <f>IF(AA481="SSD",((U481*Alukset_fx!$B$24)*Alukset_Käynnit_Lask!W481*(Alukset_fx!$K$49)/1000),IF(AA481="MSD",((U481*Alukset_fx!$B$24)*Alukset_Käynnit_Lask!W481*(Alukset_fx!$K$52)/1000),IF(AA481="HSD",((U481*Alukset_fx!$B$24)*Alukset_Käynnit_Lask!W481*(Alukset_fx!$K$55)/1000),0)))</f>
        <v>0</v>
      </c>
      <c r="AI481" s="207">
        <f>IF(AC481="MSD",((V481*Alukset_fx!$B$25)*Alukset_Käynnit_Lask!W481*(Alukset_fx!$L$52)/1000),IF(AC481="HSD",((V481*Alukset_fx!$B$25)*Alukset_Käynnit_Lask!W481*(Alukset_fx!$L$55)/1000),0))</f>
        <v>0</v>
      </c>
      <c r="AJ481" s="207">
        <f>X481*W481*Alukset_fx!$K$61/1000</f>
        <v>0</v>
      </c>
      <c r="AK481">
        <v>0</v>
      </c>
      <c r="AL481" s="207">
        <f>IF(AG481="Käytetty",0,IF(AC481="MSD",((V481*Alukset_fx!$O$25)*Alukset_Käynnit_Lask!O481*(Alukset_fx!$L$52)/1000),IF(AC481="HSD",((V481*Alukset_fx!$O$25)*Alukset_Käynnit_Lask!O481*(Alukset_fx!$L$55)/1000),0)))</f>
        <v>0</v>
      </c>
      <c r="AM481" s="207">
        <f>IF(AG481="Käytetty",0,Y481*O481*Alukset_fx!$K$61/1000)</f>
        <v>0</v>
      </c>
      <c r="AN481" s="213">
        <f t="shared" si="98"/>
        <v>0</v>
      </c>
    </row>
    <row r="482" spans="1:40" x14ac:dyDescent="0.25">
      <c r="A482" s="203">
        <f>Alukset_Käynnit!A489</f>
        <v>0</v>
      </c>
      <c r="B482" s="203">
        <f>Alukset_Käynnit!B489</f>
        <v>0</v>
      </c>
      <c r="C482" s="262">
        <f>Alukset_Käynnit!C489</f>
        <v>0</v>
      </c>
      <c r="D482" s="266">
        <f>Alukset_Käynnit!D489</f>
        <v>0</v>
      </c>
      <c r="E482" s="262">
        <f>Alukset_Käynnit!E489</f>
        <v>0</v>
      </c>
      <c r="F482" s="262">
        <f>Alukset_Käynnit!F489</f>
        <v>0</v>
      </c>
      <c r="G482" s="262">
        <f>Alukset_Käynnit!G489</f>
        <v>0</v>
      </c>
      <c r="H482" s="262">
        <f>Alukset_Käynnit!H489</f>
        <v>0</v>
      </c>
      <c r="I482" s="262">
        <f>Alukset_Käynnit!I489</f>
        <v>0</v>
      </c>
      <c r="J482" s="262">
        <f>Alukset_Käynnit!J489</f>
        <v>0</v>
      </c>
      <c r="K482" s="262">
        <f>Alukset_Käynnit!K489</f>
        <v>0</v>
      </c>
      <c r="L482" s="205">
        <f>Alukset_Käynnit!L489</f>
        <v>0</v>
      </c>
      <c r="N482" s="273">
        <f t="shared" si="99"/>
        <v>0</v>
      </c>
      <c r="O482" s="274">
        <f t="shared" si="100"/>
        <v>0</v>
      </c>
      <c r="Q482" s="204">
        <f t="shared" si="89"/>
        <v>0</v>
      </c>
      <c r="R482" s="202">
        <f>IF(Q482="Other dry cargo",L482*Alukset_fx!$B$71,IF(OR(Q482="Dry bulk",Q482="Bulk carrier"),L482*Alukset_fx!$B$69,IF(Q482="Tugboat",L482*Alukset_fx!$B$76,IF(OR(Q482="Tanker",Q482="Gas tanker",Q482="Chemical tanker",Q482="Oil tanker"),L482*Alukset_fx!$B$68,IF(OR(Q482="RoRo",Q482="Vehicle carrier"),L482*Alukset_fx!$B$72,IF(Q482="RoPax",L482*Alukset_fx!$B$73,IF(Q482="Container ship",L482*Alukset_fx!$B$70,IF(Q482="Barge",0,L482*Alukset_fx!$B$75))))))))</f>
        <v>0</v>
      </c>
      <c r="S482" s="210">
        <f>IF(L482=0,IF(Q482="Other dry cargo",Alukset_fx!$H$73*(Alukset_Käynnit_Lask!K482^Alukset_fx!$I$73),IF(OR(Q482="Dry Bulk",Q482="Bulk carrier"),Alukset_fx!$H$71*(Alukset_Käynnit_Lask!K482^Alukset_fx!$I$71),IF(Q482="Tugboat",Alukset_fx!$H$78*(Alukset_Käynnit_Lask!K482^Alukset_fx!$I$78),IF(OR(Q482="Tanker",Q482="Gas tanker",Q482="Chemical tanker",Q482="Oil tanker"),Alukset_fx!$H$70*(Alukset_Käynnit_Lask!K482^Alukset_fx!$I$70),IF(Q482="Container ship",Alukset_fx!$H$72*(Alukset_Käynnit_Lask!K482^Alukset_fx!$I$72),IF(Q482="Barge",0,IF(Q482="RoPax",Alukset_fx!$H$75*(Alukset_Käynnit_Lask!K482^Alukset_fx!$I$75),IF(OR(Q482="RoRo",Q482="Vehicle carrier"),Alukset_fx!$H$74*(Alukset_Käynnit_Lask!K482^Alukset_fx!$I$74),Alukset_fx!$H$77*(Alukset_Käynnit_Lask!K482^Alukset_fx!$I$77))))))))),"-")</f>
        <v>0</v>
      </c>
      <c r="T482" s="208">
        <f>IF(R482=0,IF(Q482="Other dry cargo",S482*Alukset_fx!$B$71,IF(OR(Q482="Dry bulk",Q482="Bulk carrier"),S482*Alukset_fx!$B$69,IF(Q482="Tugboat",S482*Alukset_fx!$B$76,IF(OR(Q482="Tanker",Q482="Gas tanker",Q482="Chemical tanker",Q482="Oil tanker"),S482*Alukset_fx!$B$68,IF(OR(Q482="RoRo",Q482="Vehicle carrier"),S482*Alukset_fx!$B$72,IF(Q482="RoPax",S482*Alukset_fx!$B$73,IF(Q482="Container ship",S482*Alukset_fx!$B$70,S482*Alukset_fx!$B$75))))))),"-")</f>
        <v>0</v>
      </c>
      <c r="U482" s="208">
        <f t="shared" si="90"/>
        <v>0</v>
      </c>
      <c r="V482" s="208">
        <f t="shared" si="91"/>
        <v>0</v>
      </c>
      <c r="W482" s="202">
        <f>Alukset_Käynnit!N489</f>
        <v>0</v>
      </c>
      <c r="X482" s="211">
        <f>IF(Q482="Other dry cargo", Alukset_fx!$C$52, IF(OR(Q482="Dry bulk",Q482="Bulk carrier"),Alukset_fx!$C$35,IF(OR(Q482="Tanker",Q482="Gas tanker",Q482="Oil tanker"),Alukset_fx!$C$57,IF(Q482="Chemical tanker",Alukset_fx!$C$56,IF(OR(Q482="Tugboat",Q482="Barge"),0,IF(Q482="Other vessel",Alukset_fx!$C$54,IF(Q482="Container ship",Alukset_fx!$C$37,IF(OR(Q482="RoPax",Q482="RoRo",Q482="Vehicle carrier"),Alukset_fx!$C$55,0))))))))</f>
        <v>0</v>
      </c>
      <c r="Y482" s="211">
        <f>IF(Q482="Other dry cargo", Alukset_fx!$Q$52, IF(OR(Q482="Dry bulk",Q482="Bulk carrier"),Alukset_fx!$Q$35,IF(OR(Q482="Tanker",Q482="Gas tanker",Q482="Oil tanker"),Alukset_fx!$Q$57,IF(Q482="Chemical tanker",Alukset_fx!$Q$56,IF(OR(Q482="Tugboat",Q482="Barge"),0,IF(Q482="Other vessel",Alukset_fx!$Q$54,IF(Q482="Container ship",Alukset_fx!$Q$37,IF(OR(Q482="RoPax",Q482="RoRo",Q482="Vehicle carrier"),Alukset_fx!$Q$55,0))))))))</f>
        <v>0</v>
      </c>
      <c r="Z482" t="str">
        <f t="shared" si="92"/>
        <v>MDO/MGO</v>
      </c>
      <c r="AA482" t="str">
        <f t="shared" si="93"/>
        <v>MSD</v>
      </c>
      <c r="AB482" t="str">
        <f t="shared" si="94"/>
        <v>MDO/MGO</v>
      </c>
      <c r="AC482" t="str">
        <f t="shared" si="95"/>
        <v>MSD</v>
      </c>
      <c r="AD482" t="str">
        <f t="shared" si="96"/>
        <v>MDO/MGO</v>
      </c>
      <c r="AE482" t="str">
        <f t="shared" si="97"/>
        <v>ST</v>
      </c>
      <c r="AG482">
        <f>Alukset_Käynnit!O489</f>
        <v>0</v>
      </c>
      <c r="AH482" s="207">
        <f>IF(AA482="SSD",((U482*Alukset_fx!$B$24)*Alukset_Käynnit_Lask!W482*(Alukset_fx!$K$49)/1000),IF(AA482="MSD",((U482*Alukset_fx!$B$24)*Alukset_Käynnit_Lask!W482*(Alukset_fx!$K$52)/1000),IF(AA482="HSD",((U482*Alukset_fx!$B$24)*Alukset_Käynnit_Lask!W482*(Alukset_fx!$K$55)/1000),0)))</f>
        <v>0</v>
      </c>
      <c r="AI482" s="207">
        <f>IF(AC482="MSD",((V482*Alukset_fx!$B$25)*Alukset_Käynnit_Lask!W482*(Alukset_fx!$L$52)/1000),IF(AC482="HSD",((V482*Alukset_fx!$B$25)*Alukset_Käynnit_Lask!W482*(Alukset_fx!$L$55)/1000),0))</f>
        <v>0</v>
      </c>
      <c r="AJ482" s="207">
        <f>X482*W482*Alukset_fx!$K$61/1000</f>
        <v>0</v>
      </c>
      <c r="AK482">
        <v>0</v>
      </c>
      <c r="AL482" s="207">
        <f>IF(AG482="Käytetty",0,IF(AC482="MSD",((V482*Alukset_fx!$O$25)*Alukset_Käynnit_Lask!O482*(Alukset_fx!$L$52)/1000),IF(AC482="HSD",((V482*Alukset_fx!$O$25)*Alukset_Käynnit_Lask!O482*(Alukset_fx!$L$55)/1000),0)))</f>
        <v>0</v>
      </c>
      <c r="AM482" s="207">
        <f>IF(AG482="Käytetty",0,Y482*O482*Alukset_fx!$K$61/1000)</f>
        <v>0</v>
      </c>
      <c r="AN482" s="213">
        <f t="shared" si="98"/>
        <v>0</v>
      </c>
    </row>
    <row r="483" spans="1:40" x14ac:dyDescent="0.25">
      <c r="A483" s="203">
        <f>Alukset_Käynnit!A490</f>
        <v>0</v>
      </c>
      <c r="B483" s="203">
        <f>Alukset_Käynnit!B490</f>
        <v>0</v>
      </c>
      <c r="C483" s="262">
        <f>Alukset_Käynnit!C490</f>
        <v>0</v>
      </c>
      <c r="D483" s="266">
        <f>Alukset_Käynnit!D490</f>
        <v>0</v>
      </c>
      <c r="E483" s="262">
        <f>Alukset_Käynnit!E490</f>
        <v>0</v>
      </c>
      <c r="F483" s="262">
        <f>Alukset_Käynnit!F490</f>
        <v>0</v>
      </c>
      <c r="G483" s="262">
        <f>Alukset_Käynnit!G490</f>
        <v>0</v>
      </c>
      <c r="H483" s="262">
        <f>Alukset_Käynnit!H490</f>
        <v>0</v>
      </c>
      <c r="I483" s="262">
        <f>Alukset_Käynnit!I490</f>
        <v>0</v>
      </c>
      <c r="J483" s="262">
        <f>Alukset_Käynnit!J490</f>
        <v>0</v>
      </c>
      <c r="K483" s="262">
        <f>Alukset_Käynnit!K490</f>
        <v>0</v>
      </c>
      <c r="L483" s="205">
        <f>Alukset_Käynnit!L490</f>
        <v>0</v>
      </c>
      <c r="N483" s="273">
        <f t="shared" si="99"/>
        <v>0</v>
      </c>
      <c r="O483" s="274">
        <f t="shared" si="100"/>
        <v>0</v>
      </c>
      <c r="Q483" s="204">
        <f t="shared" si="89"/>
        <v>0</v>
      </c>
      <c r="R483" s="202">
        <f>IF(Q483="Other dry cargo",L483*Alukset_fx!$B$71,IF(OR(Q483="Dry bulk",Q483="Bulk carrier"),L483*Alukset_fx!$B$69,IF(Q483="Tugboat",L483*Alukset_fx!$B$76,IF(OR(Q483="Tanker",Q483="Gas tanker",Q483="Chemical tanker",Q483="Oil tanker"),L483*Alukset_fx!$B$68,IF(OR(Q483="RoRo",Q483="Vehicle carrier"),L483*Alukset_fx!$B$72,IF(Q483="RoPax",L483*Alukset_fx!$B$73,IF(Q483="Container ship",L483*Alukset_fx!$B$70,IF(Q483="Barge",0,L483*Alukset_fx!$B$75))))))))</f>
        <v>0</v>
      </c>
      <c r="S483" s="210">
        <f>IF(L483=0,IF(Q483="Other dry cargo",Alukset_fx!$H$73*(Alukset_Käynnit_Lask!K483^Alukset_fx!$I$73),IF(OR(Q483="Dry Bulk",Q483="Bulk carrier"),Alukset_fx!$H$71*(Alukset_Käynnit_Lask!K483^Alukset_fx!$I$71),IF(Q483="Tugboat",Alukset_fx!$H$78*(Alukset_Käynnit_Lask!K483^Alukset_fx!$I$78),IF(OR(Q483="Tanker",Q483="Gas tanker",Q483="Chemical tanker",Q483="Oil tanker"),Alukset_fx!$H$70*(Alukset_Käynnit_Lask!K483^Alukset_fx!$I$70),IF(Q483="Container ship",Alukset_fx!$H$72*(Alukset_Käynnit_Lask!K483^Alukset_fx!$I$72),IF(Q483="Barge",0,IF(Q483="RoPax",Alukset_fx!$H$75*(Alukset_Käynnit_Lask!K483^Alukset_fx!$I$75),IF(OR(Q483="RoRo",Q483="Vehicle carrier"),Alukset_fx!$H$74*(Alukset_Käynnit_Lask!K483^Alukset_fx!$I$74),Alukset_fx!$H$77*(Alukset_Käynnit_Lask!K483^Alukset_fx!$I$77))))))))),"-")</f>
        <v>0</v>
      </c>
      <c r="T483" s="208">
        <f>IF(R483=0,IF(Q483="Other dry cargo",S483*Alukset_fx!$B$71,IF(OR(Q483="Dry bulk",Q483="Bulk carrier"),S483*Alukset_fx!$B$69,IF(Q483="Tugboat",S483*Alukset_fx!$B$76,IF(OR(Q483="Tanker",Q483="Gas tanker",Q483="Chemical tanker",Q483="Oil tanker"),S483*Alukset_fx!$B$68,IF(OR(Q483="RoRo",Q483="Vehicle carrier"),S483*Alukset_fx!$B$72,IF(Q483="RoPax",S483*Alukset_fx!$B$73,IF(Q483="Container ship",S483*Alukset_fx!$B$70,S483*Alukset_fx!$B$75))))))),"-")</f>
        <v>0</v>
      </c>
      <c r="U483" s="208">
        <f t="shared" si="90"/>
        <v>0</v>
      </c>
      <c r="V483" s="208">
        <f t="shared" si="91"/>
        <v>0</v>
      </c>
      <c r="W483" s="202">
        <f>Alukset_Käynnit!N490</f>
        <v>0</v>
      </c>
      <c r="X483" s="211">
        <f>IF(Q483="Other dry cargo", Alukset_fx!$C$52, IF(OR(Q483="Dry bulk",Q483="Bulk carrier"),Alukset_fx!$C$35,IF(OR(Q483="Tanker",Q483="Gas tanker",Q483="Oil tanker"),Alukset_fx!$C$57,IF(Q483="Chemical tanker",Alukset_fx!$C$56,IF(OR(Q483="Tugboat",Q483="Barge"),0,IF(Q483="Other vessel",Alukset_fx!$C$54,IF(Q483="Container ship",Alukset_fx!$C$37,IF(OR(Q483="RoPax",Q483="RoRo",Q483="Vehicle carrier"),Alukset_fx!$C$55,0))))))))</f>
        <v>0</v>
      </c>
      <c r="Y483" s="211">
        <f>IF(Q483="Other dry cargo", Alukset_fx!$Q$52, IF(OR(Q483="Dry bulk",Q483="Bulk carrier"),Alukset_fx!$Q$35,IF(OR(Q483="Tanker",Q483="Gas tanker",Q483="Oil tanker"),Alukset_fx!$Q$57,IF(Q483="Chemical tanker",Alukset_fx!$Q$56,IF(OR(Q483="Tugboat",Q483="Barge"),0,IF(Q483="Other vessel",Alukset_fx!$Q$54,IF(Q483="Container ship",Alukset_fx!$Q$37,IF(OR(Q483="RoPax",Q483="RoRo",Q483="Vehicle carrier"),Alukset_fx!$Q$55,0))))))))</f>
        <v>0</v>
      </c>
      <c r="Z483" t="str">
        <f t="shared" si="92"/>
        <v>MDO/MGO</v>
      </c>
      <c r="AA483" t="str">
        <f t="shared" si="93"/>
        <v>MSD</v>
      </c>
      <c r="AB483" t="str">
        <f t="shared" si="94"/>
        <v>MDO/MGO</v>
      </c>
      <c r="AC483" t="str">
        <f t="shared" si="95"/>
        <v>MSD</v>
      </c>
      <c r="AD483" t="str">
        <f t="shared" si="96"/>
        <v>MDO/MGO</v>
      </c>
      <c r="AE483" t="str">
        <f t="shared" si="97"/>
        <v>ST</v>
      </c>
      <c r="AG483">
        <f>Alukset_Käynnit!O490</f>
        <v>0</v>
      </c>
      <c r="AH483" s="207">
        <f>IF(AA483="SSD",((U483*Alukset_fx!$B$24)*Alukset_Käynnit_Lask!W483*(Alukset_fx!$K$49)/1000),IF(AA483="MSD",((U483*Alukset_fx!$B$24)*Alukset_Käynnit_Lask!W483*(Alukset_fx!$K$52)/1000),IF(AA483="HSD",((U483*Alukset_fx!$B$24)*Alukset_Käynnit_Lask!W483*(Alukset_fx!$K$55)/1000),0)))</f>
        <v>0</v>
      </c>
      <c r="AI483" s="207">
        <f>IF(AC483="MSD",((V483*Alukset_fx!$B$25)*Alukset_Käynnit_Lask!W483*(Alukset_fx!$L$52)/1000),IF(AC483="HSD",((V483*Alukset_fx!$B$25)*Alukset_Käynnit_Lask!W483*(Alukset_fx!$L$55)/1000),0))</f>
        <v>0</v>
      </c>
      <c r="AJ483" s="207">
        <f>X483*W483*Alukset_fx!$K$61/1000</f>
        <v>0</v>
      </c>
      <c r="AK483">
        <v>0</v>
      </c>
      <c r="AL483" s="207">
        <f>IF(AG483="Käytetty",0,IF(AC483="MSD",((V483*Alukset_fx!$O$25)*Alukset_Käynnit_Lask!O483*(Alukset_fx!$L$52)/1000),IF(AC483="HSD",((V483*Alukset_fx!$O$25)*Alukset_Käynnit_Lask!O483*(Alukset_fx!$L$55)/1000),0)))</f>
        <v>0</v>
      </c>
      <c r="AM483" s="207">
        <f>IF(AG483="Käytetty",0,Y483*O483*Alukset_fx!$K$61/1000)</f>
        <v>0</v>
      </c>
      <c r="AN483" s="213">
        <f t="shared" si="98"/>
        <v>0</v>
      </c>
    </row>
    <row r="484" spans="1:40" x14ac:dyDescent="0.25">
      <c r="A484" s="203">
        <f>Alukset_Käynnit!A491</f>
        <v>0</v>
      </c>
      <c r="B484" s="203">
        <f>Alukset_Käynnit!B491</f>
        <v>0</v>
      </c>
      <c r="C484" s="262">
        <f>Alukset_Käynnit!C491</f>
        <v>0</v>
      </c>
      <c r="D484" s="266">
        <f>Alukset_Käynnit!D491</f>
        <v>0</v>
      </c>
      <c r="E484" s="262">
        <f>Alukset_Käynnit!E491</f>
        <v>0</v>
      </c>
      <c r="F484" s="262">
        <f>Alukset_Käynnit!F491</f>
        <v>0</v>
      </c>
      <c r="G484" s="262">
        <f>Alukset_Käynnit!G491</f>
        <v>0</v>
      </c>
      <c r="H484" s="262">
        <f>Alukset_Käynnit!H491</f>
        <v>0</v>
      </c>
      <c r="I484" s="262">
        <f>Alukset_Käynnit!I491</f>
        <v>0</v>
      </c>
      <c r="J484" s="262">
        <f>Alukset_Käynnit!J491</f>
        <v>0</v>
      </c>
      <c r="K484" s="262">
        <f>Alukset_Käynnit!K491</f>
        <v>0</v>
      </c>
      <c r="L484" s="205">
        <f>Alukset_Käynnit!L491</f>
        <v>0</v>
      </c>
      <c r="N484" s="273">
        <f t="shared" si="99"/>
        <v>0</v>
      </c>
      <c r="O484" s="274">
        <f t="shared" si="100"/>
        <v>0</v>
      </c>
      <c r="Q484" s="204">
        <f t="shared" si="89"/>
        <v>0</v>
      </c>
      <c r="R484" s="202">
        <f>IF(Q484="Other dry cargo",L484*Alukset_fx!$B$71,IF(OR(Q484="Dry bulk",Q484="Bulk carrier"),L484*Alukset_fx!$B$69,IF(Q484="Tugboat",L484*Alukset_fx!$B$76,IF(OR(Q484="Tanker",Q484="Gas tanker",Q484="Chemical tanker",Q484="Oil tanker"),L484*Alukset_fx!$B$68,IF(OR(Q484="RoRo",Q484="Vehicle carrier"),L484*Alukset_fx!$B$72,IF(Q484="RoPax",L484*Alukset_fx!$B$73,IF(Q484="Container ship",L484*Alukset_fx!$B$70,IF(Q484="Barge",0,L484*Alukset_fx!$B$75))))))))</f>
        <v>0</v>
      </c>
      <c r="S484" s="210">
        <f>IF(L484=0,IF(Q484="Other dry cargo",Alukset_fx!$H$73*(Alukset_Käynnit_Lask!K484^Alukset_fx!$I$73),IF(OR(Q484="Dry Bulk",Q484="Bulk carrier"),Alukset_fx!$H$71*(Alukset_Käynnit_Lask!K484^Alukset_fx!$I$71),IF(Q484="Tugboat",Alukset_fx!$H$78*(Alukset_Käynnit_Lask!K484^Alukset_fx!$I$78),IF(OR(Q484="Tanker",Q484="Gas tanker",Q484="Chemical tanker",Q484="Oil tanker"),Alukset_fx!$H$70*(Alukset_Käynnit_Lask!K484^Alukset_fx!$I$70),IF(Q484="Container ship",Alukset_fx!$H$72*(Alukset_Käynnit_Lask!K484^Alukset_fx!$I$72),IF(Q484="Barge",0,IF(Q484="RoPax",Alukset_fx!$H$75*(Alukset_Käynnit_Lask!K484^Alukset_fx!$I$75),IF(OR(Q484="RoRo",Q484="Vehicle carrier"),Alukset_fx!$H$74*(Alukset_Käynnit_Lask!K484^Alukset_fx!$I$74),Alukset_fx!$H$77*(Alukset_Käynnit_Lask!K484^Alukset_fx!$I$77))))))))),"-")</f>
        <v>0</v>
      </c>
      <c r="T484" s="208">
        <f>IF(R484=0,IF(Q484="Other dry cargo",S484*Alukset_fx!$B$71,IF(OR(Q484="Dry bulk",Q484="Bulk carrier"),S484*Alukset_fx!$B$69,IF(Q484="Tugboat",S484*Alukset_fx!$B$76,IF(OR(Q484="Tanker",Q484="Gas tanker",Q484="Chemical tanker",Q484="Oil tanker"),S484*Alukset_fx!$B$68,IF(OR(Q484="RoRo",Q484="Vehicle carrier"),S484*Alukset_fx!$B$72,IF(Q484="RoPax",S484*Alukset_fx!$B$73,IF(Q484="Container ship",S484*Alukset_fx!$B$70,S484*Alukset_fx!$B$75))))))),"-")</f>
        <v>0</v>
      </c>
      <c r="U484" s="208">
        <f t="shared" si="90"/>
        <v>0</v>
      </c>
      <c r="V484" s="208">
        <f t="shared" si="91"/>
        <v>0</v>
      </c>
      <c r="W484" s="202">
        <f>Alukset_Käynnit!N491</f>
        <v>0</v>
      </c>
      <c r="X484" s="211">
        <f>IF(Q484="Other dry cargo", Alukset_fx!$C$52, IF(OR(Q484="Dry bulk",Q484="Bulk carrier"),Alukset_fx!$C$35,IF(OR(Q484="Tanker",Q484="Gas tanker",Q484="Oil tanker"),Alukset_fx!$C$57,IF(Q484="Chemical tanker",Alukset_fx!$C$56,IF(OR(Q484="Tugboat",Q484="Barge"),0,IF(Q484="Other vessel",Alukset_fx!$C$54,IF(Q484="Container ship",Alukset_fx!$C$37,IF(OR(Q484="RoPax",Q484="RoRo",Q484="Vehicle carrier"),Alukset_fx!$C$55,0))))))))</f>
        <v>0</v>
      </c>
      <c r="Y484" s="211">
        <f>IF(Q484="Other dry cargo", Alukset_fx!$Q$52, IF(OR(Q484="Dry bulk",Q484="Bulk carrier"),Alukset_fx!$Q$35,IF(OR(Q484="Tanker",Q484="Gas tanker",Q484="Oil tanker"),Alukset_fx!$Q$57,IF(Q484="Chemical tanker",Alukset_fx!$Q$56,IF(OR(Q484="Tugboat",Q484="Barge"),0,IF(Q484="Other vessel",Alukset_fx!$Q$54,IF(Q484="Container ship",Alukset_fx!$Q$37,IF(OR(Q484="RoPax",Q484="RoRo",Q484="Vehicle carrier"),Alukset_fx!$Q$55,0))))))))</f>
        <v>0</v>
      </c>
      <c r="Z484" t="str">
        <f t="shared" si="92"/>
        <v>MDO/MGO</v>
      </c>
      <c r="AA484" t="str">
        <f t="shared" si="93"/>
        <v>MSD</v>
      </c>
      <c r="AB484" t="str">
        <f t="shared" si="94"/>
        <v>MDO/MGO</v>
      </c>
      <c r="AC484" t="str">
        <f t="shared" si="95"/>
        <v>MSD</v>
      </c>
      <c r="AD484" t="str">
        <f t="shared" si="96"/>
        <v>MDO/MGO</v>
      </c>
      <c r="AE484" t="str">
        <f t="shared" si="97"/>
        <v>ST</v>
      </c>
      <c r="AG484">
        <f>Alukset_Käynnit!O491</f>
        <v>0</v>
      </c>
      <c r="AH484" s="207">
        <f>IF(AA484="SSD",((U484*Alukset_fx!$B$24)*Alukset_Käynnit_Lask!W484*(Alukset_fx!$K$49)/1000),IF(AA484="MSD",((U484*Alukset_fx!$B$24)*Alukset_Käynnit_Lask!W484*(Alukset_fx!$K$52)/1000),IF(AA484="HSD",((U484*Alukset_fx!$B$24)*Alukset_Käynnit_Lask!W484*(Alukset_fx!$K$55)/1000),0)))</f>
        <v>0</v>
      </c>
      <c r="AI484" s="207">
        <f>IF(AC484="MSD",((V484*Alukset_fx!$B$25)*Alukset_Käynnit_Lask!W484*(Alukset_fx!$L$52)/1000),IF(AC484="HSD",((V484*Alukset_fx!$B$25)*Alukset_Käynnit_Lask!W484*(Alukset_fx!$L$55)/1000),0))</f>
        <v>0</v>
      </c>
      <c r="AJ484" s="207">
        <f>X484*W484*Alukset_fx!$K$61/1000</f>
        <v>0</v>
      </c>
      <c r="AK484">
        <v>0</v>
      </c>
      <c r="AL484" s="207">
        <f>IF(AG484="Käytetty",0,IF(AC484="MSD",((V484*Alukset_fx!$O$25)*Alukset_Käynnit_Lask!O484*(Alukset_fx!$L$52)/1000),IF(AC484="HSD",((V484*Alukset_fx!$O$25)*Alukset_Käynnit_Lask!O484*(Alukset_fx!$L$55)/1000),0)))</f>
        <v>0</v>
      </c>
      <c r="AM484" s="207">
        <f>IF(AG484="Käytetty",0,Y484*O484*Alukset_fx!$K$61/1000)</f>
        <v>0</v>
      </c>
      <c r="AN484" s="213">
        <f t="shared" si="98"/>
        <v>0</v>
      </c>
    </row>
    <row r="485" spans="1:40" x14ac:dyDescent="0.25">
      <c r="A485" s="203">
        <f>Alukset_Käynnit!A492</f>
        <v>0</v>
      </c>
      <c r="B485" s="203">
        <f>Alukset_Käynnit!B492</f>
        <v>0</v>
      </c>
      <c r="C485" s="262">
        <f>Alukset_Käynnit!C492</f>
        <v>0</v>
      </c>
      <c r="D485" s="266">
        <f>Alukset_Käynnit!D492</f>
        <v>0</v>
      </c>
      <c r="E485" s="262">
        <f>Alukset_Käynnit!E492</f>
        <v>0</v>
      </c>
      <c r="F485" s="262">
        <f>Alukset_Käynnit!F492</f>
        <v>0</v>
      </c>
      <c r="G485" s="262">
        <f>Alukset_Käynnit!G492</f>
        <v>0</v>
      </c>
      <c r="H485" s="262">
        <f>Alukset_Käynnit!H492</f>
        <v>0</v>
      </c>
      <c r="I485" s="262">
        <f>Alukset_Käynnit!I492</f>
        <v>0</v>
      </c>
      <c r="J485" s="262">
        <f>Alukset_Käynnit!J492</f>
        <v>0</v>
      </c>
      <c r="K485" s="262">
        <f>Alukset_Käynnit!K492</f>
        <v>0</v>
      </c>
      <c r="L485" s="205">
        <f>Alukset_Käynnit!L492</f>
        <v>0</v>
      </c>
      <c r="N485" s="273">
        <f t="shared" si="99"/>
        <v>0</v>
      </c>
      <c r="O485" s="274">
        <f t="shared" si="100"/>
        <v>0</v>
      </c>
      <c r="Q485" s="204">
        <f t="shared" si="89"/>
        <v>0</v>
      </c>
      <c r="R485" s="202">
        <f>IF(Q485="Other dry cargo",L485*Alukset_fx!$B$71,IF(OR(Q485="Dry bulk",Q485="Bulk carrier"),L485*Alukset_fx!$B$69,IF(Q485="Tugboat",L485*Alukset_fx!$B$76,IF(OR(Q485="Tanker",Q485="Gas tanker",Q485="Chemical tanker",Q485="Oil tanker"),L485*Alukset_fx!$B$68,IF(OR(Q485="RoRo",Q485="Vehicle carrier"),L485*Alukset_fx!$B$72,IF(Q485="RoPax",L485*Alukset_fx!$B$73,IF(Q485="Container ship",L485*Alukset_fx!$B$70,IF(Q485="Barge",0,L485*Alukset_fx!$B$75))))))))</f>
        <v>0</v>
      </c>
      <c r="S485" s="210">
        <f>IF(L485=0,IF(Q485="Other dry cargo",Alukset_fx!$H$73*(Alukset_Käynnit_Lask!K485^Alukset_fx!$I$73),IF(OR(Q485="Dry Bulk",Q485="Bulk carrier"),Alukset_fx!$H$71*(Alukset_Käynnit_Lask!K485^Alukset_fx!$I$71),IF(Q485="Tugboat",Alukset_fx!$H$78*(Alukset_Käynnit_Lask!K485^Alukset_fx!$I$78),IF(OR(Q485="Tanker",Q485="Gas tanker",Q485="Chemical tanker",Q485="Oil tanker"),Alukset_fx!$H$70*(Alukset_Käynnit_Lask!K485^Alukset_fx!$I$70),IF(Q485="Container ship",Alukset_fx!$H$72*(Alukset_Käynnit_Lask!K485^Alukset_fx!$I$72),IF(Q485="Barge",0,IF(Q485="RoPax",Alukset_fx!$H$75*(Alukset_Käynnit_Lask!K485^Alukset_fx!$I$75),IF(OR(Q485="RoRo",Q485="Vehicle carrier"),Alukset_fx!$H$74*(Alukset_Käynnit_Lask!K485^Alukset_fx!$I$74),Alukset_fx!$H$77*(Alukset_Käynnit_Lask!K485^Alukset_fx!$I$77))))))))),"-")</f>
        <v>0</v>
      </c>
      <c r="T485" s="208">
        <f>IF(R485=0,IF(Q485="Other dry cargo",S485*Alukset_fx!$B$71,IF(OR(Q485="Dry bulk",Q485="Bulk carrier"),S485*Alukset_fx!$B$69,IF(Q485="Tugboat",S485*Alukset_fx!$B$76,IF(OR(Q485="Tanker",Q485="Gas tanker",Q485="Chemical tanker",Q485="Oil tanker"),S485*Alukset_fx!$B$68,IF(OR(Q485="RoRo",Q485="Vehicle carrier"),S485*Alukset_fx!$B$72,IF(Q485="RoPax",S485*Alukset_fx!$B$73,IF(Q485="Container ship",S485*Alukset_fx!$B$70,S485*Alukset_fx!$B$75))))))),"-")</f>
        <v>0</v>
      </c>
      <c r="U485" s="208">
        <f t="shared" si="90"/>
        <v>0</v>
      </c>
      <c r="V485" s="208">
        <f t="shared" si="91"/>
        <v>0</v>
      </c>
      <c r="W485" s="202">
        <f>Alukset_Käynnit!N492</f>
        <v>0</v>
      </c>
      <c r="X485" s="211">
        <f>IF(Q485="Other dry cargo", Alukset_fx!$C$52, IF(OR(Q485="Dry bulk",Q485="Bulk carrier"),Alukset_fx!$C$35,IF(OR(Q485="Tanker",Q485="Gas tanker",Q485="Oil tanker"),Alukset_fx!$C$57,IF(Q485="Chemical tanker",Alukset_fx!$C$56,IF(OR(Q485="Tugboat",Q485="Barge"),0,IF(Q485="Other vessel",Alukset_fx!$C$54,IF(Q485="Container ship",Alukset_fx!$C$37,IF(OR(Q485="RoPax",Q485="RoRo",Q485="Vehicle carrier"),Alukset_fx!$C$55,0))))))))</f>
        <v>0</v>
      </c>
      <c r="Y485" s="211">
        <f>IF(Q485="Other dry cargo", Alukset_fx!$Q$52, IF(OR(Q485="Dry bulk",Q485="Bulk carrier"),Alukset_fx!$Q$35,IF(OR(Q485="Tanker",Q485="Gas tanker",Q485="Oil tanker"),Alukset_fx!$Q$57,IF(Q485="Chemical tanker",Alukset_fx!$Q$56,IF(OR(Q485="Tugboat",Q485="Barge"),0,IF(Q485="Other vessel",Alukset_fx!$Q$54,IF(Q485="Container ship",Alukset_fx!$Q$37,IF(OR(Q485="RoPax",Q485="RoRo",Q485="Vehicle carrier"),Alukset_fx!$Q$55,0))))))))</f>
        <v>0</v>
      </c>
      <c r="Z485" t="str">
        <f t="shared" si="92"/>
        <v>MDO/MGO</v>
      </c>
      <c r="AA485" t="str">
        <f t="shared" si="93"/>
        <v>MSD</v>
      </c>
      <c r="AB485" t="str">
        <f t="shared" si="94"/>
        <v>MDO/MGO</v>
      </c>
      <c r="AC485" t="str">
        <f t="shared" si="95"/>
        <v>MSD</v>
      </c>
      <c r="AD485" t="str">
        <f t="shared" si="96"/>
        <v>MDO/MGO</v>
      </c>
      <c r="AE485" t="str">
        <f t="shared" si="97"/>
        <v>ST</v>
      </c>
      <c r="AG485">
        <f>Alukset_Käynnit!O492</f>
        <v>0</v>
      </c>
      <c r="AH485" s="207">
        <f>IF(AA485="SSD",((U485*Alukset_fx!$B$24)*Alukset_Käynnit_Lask!W485*(Alukset_fx!$K$49)/1000),IF(AA485="MSD",((U485*Alukset_fx!$B$24)*Alukset_Käynnit_Lask!W485*(Alukset_fx!$K$52)/1000),IF(AA485="HSD",((U485*Alukset_fx!$B$24)*Alukset_Käynnit_Lask!W485*(Alukset_fx!$K$55)/1000),0)))</f>
        <v>0</v>
      </c>
      <c r="AI485" s="207">
        <f>IF(AC485="MSD",((V485*Alukset_fx!$B$25)*Alukset_Käynnit_Lask!W485*(Alukset_fx!$L$52)/1000),IF(AC485="HSD",((V485*Alukset_fx!$B$25)*Alukset_Käynnit_Lask!W485*(Alukset_fx!$L$55)/1000),0))</f>
        <v>0</v>
      </c>
      <c r="AJ485" s="207">
        <f>X485*W485*Alukset_fx!$K$61/1000</f>
        <v>0</v>
      </c>
      <c r="AK485">
        <v>0</v>
      </c>
      <c r="AL485" s="207">
        <f>IF(AG485="Käytetty",0,IF(AC485="MSD",((V485*Alukset_fx!$O$25)*Alukset_Käynnit_Lask!O485*(Alukset_fx!$L$52)/1000),IF(AC485="HSD",((V485*Alukset_fx!$O$25)*Alukset_Käynnit_Lask!O485*(Alukset_fx!$L$55)/1000),0)))</f>
        <v>0</v>
      </c>
      <c r="AM485" s="207">
        <f>IF(AG485="Käytetty",0,Y485*O485*Alukset_fx!$K$61/1000)</f>
        <v>0</v>
      </c>
      <c r="AN485" s="213">
        <f t="shared" si="98"/>
        <v>0</v>
      </c>
    </row>
    <row r="486" spans="1:40" x14ac:dyDescent="0.25">
      <c r="A486" s="203">
        <f>Alukset_Käynnit!A493</f>
        <v>0</v>
      </c>
      <c r="B486" s="203">
        <f>Alukset_Käynnit!B493</f>
        <v>0</v>
      </c>
      <c r="C486" s="262">
        <f>Alukset_Käynnit!C493</f>
        <v>0</v>
      </c>
      <c r="D486" s="266">
        <f>Alukset_Käynnit!D493</f>
        <v>0</v>
      </c>
      <c r="E486" s="262">
        <f>Alukset_Käynnit!E493</f>
        <v>0</v>
      </c>
      <c r="F486" s="262">
        <f>Alukset_Käynnit!F493</f>
        <v>0</v>
      </c>
      <c r="G486" s="262">
        <f>Alukset_Käynnit!G493</f>
        <v>0</v>
      </c>
      <c r="H486" s="262">
        <f>Alukset_Käynnit!H493</f>
        <v>0</v>
      </c>
      <c r="I486" s="262">
        <f>Alukset_Käynnit!I493</f>
        <v>0</v>
      </c>
      <c r="J486" s="262">
        <f>Alukset_Käynnit!J493</f>
        <v>0</v>
      </c>
      <c r="K486" s="262">
        <f>Alukset_Käynnit!K493</f>
        <v>0</v>
      </c>
      <c r="L486" s="205">
        <f>Alukset_Käynnit!L493</f>
        <v>0</v>
      </c>
      <c r="N486" s="273">
        <f t="shared" si="99"/>
        <v>0</v>
      </c>
      <c r="O486" s="274">
        <f t="shared" si="100"/>
        <v>0</v>
      </c>
      <c r="Q486" s="204">
        <f t="shared" si="89"/>
        <v>0</v>
      </c>
      <c r="R486" s="202">
        <f>IF(Q486="Other dry cargo",L486*Alukset_fx!$B$71,IF(OR(Q486="Dry bulk",Q486="Bulk carrier"),L486*Alukset_fx!$B$69,IF(Q486="Tugboat",L486*Alukset_fx!$B$76,IF(OR(Q486="Tanker",Q486="Gas tanker",Q486="Chemical tanker",Q486="Oil tanker"),L486*Alukset_fx!$B$68,IF(OR(Q486="RoRo",Q486="Vehicle carrier"),L486*Alukset_fx!$B$72,IF(Q486="RoPax",L486*Alukset_fx!$B$73,IF(Q486="Container ship",L486*Alukset_fx!$B$70,IF(Q486="Barge",0,L486*Alukset_fx!$B$75))))))))</f>
        <v>0</v>
      </c>
      <c r="S486" s="210">
        <f>IF(L486=0,IF(Q486="Other dry cargo",Alukset_fx!$H$73*(Alukset_Käynnit_Lask!K486^Alukset_fx!$I$73),IF(OR(Q486="Dry Bulk",Q486="Bulk carrier"),Alukset_fx!$H$71*(Alukset_Käynnit_Lask!K486^Alukset_fx!$I$71),IF(Q486="Tugboat",Alukset_fx!$H$78*(Alukset_Käynnit_Lask!K486^Alukset_fx!$I$78),IF(OR(Q486="Tanker",Q486="Gas tanker",Q486="Chemical tanker",Q486="Oil tanker"),Alukset_fx!$H$70*(Alukset_Käynnit_Lask!K486^Alukset_fx!$I$70),IF(Q486="Container ship",Alukset_fx!$H$72*(Alukset_Käynnit_Lask!K486^Alukset_fx!$I$72),IF(Q486="Barge",0,IF(Q486="RoPax",Alukset_fx!$H$75*(Alukset_Käynnit_Lask!K486^Alukset_fx!$I$75),IF(OR(Q486="RoRo",Q486="Vehicle carrier"),Alukset_fx!$H$74*(Alukset_Käynnit_Lask!K486^Alukset_fx!$I$74),Alukset_fx!$H$77*(Alukset_Käynnit_Lask!K486^Alukset_fx!$I$77))))))))),"-")</f>
        <v>0</v>
      </c>
      <c r="T486" s="208">
        <f>IF(R486=0,IF(Q486="Other dry cargo",S486*Alukset_fx!$B$71,IF(OR(Q486="Dry bulk",Q486="Bulk carrier"),S486*Alukset_fx!$B$69,IF(Q486="Tugboat",S486*Alukset_fx!$B$76,IF(OR(Q486="Tanker",Q486="Gas tanker",Q486="Chemical tanker",Q486="Oil tanker"),S486*Alukset_fx!$B$68,IF(OR(Q486="RoRo",Q486="Vehicle carrier"),S486*Alukset_fx!$B$72,IF(Q486="RoPax",S486*Alukset_fx!$B$73,IF(Q486="Container ship",S486*Alukset_fx!$B$70,S486*Alukset_fx!$B$75))))))),"-")</f>
        <v>0</v>
      </c>
      <c r="U486" s="208">
        <f t="shared" si="90"/>
        <v>0</v>
      </c>
      <c r="V486" s="208">
        <f t="shared" si="91"/>
        <v>0</v>
      </c>
      <c r="W486" s="202">
        <f>Alukset_Käynnit!N493</f>
        <v>0</v>
      </c>
      <c r="X486" s="211">
        <f>IF(Q486="Other dry cargo", Alukset_fx!$C$52, IF(OR(Q486="Dry bulk",Q486="Bulk carrier"),Alukset_fx!$C$35,IF(OR(Q486="Tanker",Q486="Gas tanker",Q486="Oil tanker"),Alukset_fx!$C$57,IF(Q486="Chemical tanker",Alukset_fx!$C$56,IF(OR(Q486="Tugboat",Q486="Barge"),0,IF(Q486="Other vessel",Alukset_fx!$C$54,IF(Q486="Container ship",Alukset_fx!$C$37,IF(OR(Q486="RoPax",Q486="RoRo",Q486="Vehicle carrier"),Alukset_fx!$C$55,0))))))))</f>
        <v>0</v>
      </c>
      <c r="Y486" s="211">
        <f>IF(Q486="Other dry cargo", Alukset_fx!$Q$52, IF(OR(Q486="Dry bulk",Q486="Bulk carrier"),Alukset_fx!$Q$35,IF(OR(Q486="Tanker",Q486="Gas tanker",Q486="Oil tanker"),Alukset_fx!$Q$57,IF(Q486="Chemical tanker",Alukset_fx!$Q$56,IF(OR(Q486="Tugboat",Q486="Barge"),0,IF(Q486="Other vessel",Alukset_fx!$Q$54,IF(Q486="Container ship",Alukset_fx!$Q$37,IF(OR(Q486="RoPax",Q486="RoRo",Q486="Vehicle carrier"),Alukset_fx!$Q$55,0))))))))</f>
        <v>0</v>
      </c>
      <c r="Z486" t="str">
        <f t="shared" si="92"/>
        <v>MDO/MGO</v>
      </c>
      <c r="AA486" t="str">
        <f t="shared" si="93"/>
        <v>MSD</v>
      </c>
      <c r="AB486" t="str">
        <f t="shared" si="94"/>
        <v>MDO/MGO</v>
      </c>
      <c r="AC486" t="str">
        <f t="shared" si="95"/>
        <v>MSD</v>
      </c>
      <c r="AD486" t="str">
        <f t="shared" si="96"/>
        <v>MDO/MGO</v>
      </c>
      <c r="AE486" t="str">
        <f t="shared" si="97"/>
        <v>ST</v>
      </c>
      <c r="AG486">
        <f>Alukset_Käynnit!O493</f>
        <v>0</v>
      </c>
      <c r="AH486" s="207">
        <f>IF(AA486="SSD",((U486*Alukset_fx!$B$24)*Alukset_Käynnit_Lask!W486*(Alukset_fx!$K$49)/1000),IF(AA486="MSD",((U486*Alukset_fx!$B$24)*Alukset_Käynnit_Lask!W486*(Alukset_fx!$K$52)/1000),IF(AA486="HSD",((U486*Alukset_fx!$B$24)*Alukset_Käynnit_Lask!W486*(Alukset_fx!$K$55)/1000),0)))</f>
        <v>0</v>
      </c>
      <c r="AI486" s="207">
        <f>IF(AC486="MSD",((V486*Alukset_fx!$B$25)*Alukset_Käynnit_Lask!W486*(Alukset_fx!$L$52)/1000),IF(AC486="HSD",((V486*Alukset_fx!$B$25)*Alukset_Käynnit_Lask!W486*(Alukset_fx!$L$55)/1000),0))</f>
        <v>0</v>
      </c>
      <c r="AJ486" s="207">
        <f>X486*W486*Alukset_fx!$K$61/1000</f>
        <v>0</v>
      </c>
      <c r="AK486">
        <v>0</v>
      </c>
      <c r="AL486" s="207">
        <f>IF(AG486="Käytetty",0,IF(AC486="MSD",((V486*Alukset_fx!$O$25)*Alukset_Käynnit_Lask!O486*(Alukset_fx!$L$52)/1000),IF(AC486="HSD",((V486*Alukset_fx!$O$25)*Alukset_Käynnit_Lask!O486*(Alukset_fx!$L$55)/1000),0)))</f>
        <v>0</v>
      </c>
      <c r="AM486" s="207">
        <f>IF(AG486="Käytetty",0,Y486*O486*Alukset_fx!$K$61/1000)</f>
        <v>0</v>
      </c>
      <c r="AN486" s="213">
        <f t="shared" si="98"/>
        <v>0</v>
      </c>
    </row>
    <row r="487" spans="1:40" x14ac:dyDescent="0.25">
      <c r="A487" s="203">
        <f>Alukset_Käynnit!A494</f>
        <v>0</v>
      </c>
      <c r="B487" s="203">
        <f>Alukset_Käynnit!B494</f>
        <v>0</v>
      </c>
      <c r="C487" s="262">
        <f>Alukset_Käynnit!C494</f>
        <v>0</v>
      </c>
      <c r="D487" s="266">
        <f>Alukset_Käynnit!D494</f>
        <v>0</v>
      </c>
      <c r="E487" s="262">
        <f>Alukset_Käynnit!E494</f>
        <v>0</v>
      </c>
      <c r="F487" s="262">
        <f>Alukset_Käynnit!F494</f>
        <v>0</v>
      </c>
      <c r="G487" s="262">
        <f>Alukset_Käynnit!G494</f>
        <v>0</v>
      </c>
      <c r="H487" s="262">
        <f>Alukset_Käynnit!H494</f>
        <v>0</v>
      </c>
      <c r="I487" s="262">
        <f>Alukset_Käynnit!I494</f>
        <v>0</v>
      </c>
      <c r="J487" s="262">
        <f>Alukset_Käynnit!J494</f>
        <v>0</v>
      </c>
      <c r="K487" s="262">
        <f>Alukset_Käynnit!K494</f>
        <v>0</v>
      </c>
      <c r="L487" s="205">
        <f>Alukset_Käynnit!L494</f>
        <v>0</v>
      </c>
      <c r="N487" s="273">
        <f t="shared" si="99"/>
        <v>0</v>
      </c>
      <c r="O487" s="274">
        <f t="shared" si="100"/>
        <v>0</v>
      </c>
      <c r="Q487" s="204">
        <f t="shared" si="89"/>
        <v>0</v>
      </c>
      <c r="R487" s="202">
        <f>IF(Q487="Other dry cargo",L487*Alukset_fx!$B$71,IF(OR(Q487="Dry bulk",Q487="Bulk carrier"),L487*Alukset_fx!$B$69,IF(Q487="Tugboat",L487*Alukset_fx!$B$76,IF(OR(Q487="Tanker",Q487="Gas tanker",Q487="Chemical tanker",Q487="Oil tanker"),L487*Alukset_fx!$B$68,IF(OR(Q487="RoRo",Q487="Vehicle carrier"),L487*Alukset_fx!$B$72,IF(Q487="RoPax",L487*Alukset_fx!$B$73,IF(Q487="Container ship",L487*Alukset_fx!$B$70,IF(Q487="Barge",0,L487*Alukset_fx!$B$75))))))))</f>
        <v>0</v>
      </c>
      <c r="S487" s="210">
        <f>IF(L487=0,IF(Q487="Other dry cargo",Alukset_fx!$H$73*(Alukset_Käynnit_Lask!K487^Alukset_fx!$I$73),IF(OR(Q487="Dry Bulk",Q487="Bulk carrier"),Alukset_fx!$H$71*(Alukset_Käynnit_Lask!K487^Alukset_fx!$I$71),IF(Q487="Tugboat",Alukset_fx!$H$78*(Alukset_Käynnit_Lask!K487^Alukset_fx!$I$78),IF(OR(Q487="Tanker",Q487="Gas tanker",Q487="Chemical tanker",Q487="Oil tanker"),Alukset_fx!$H$70*(Alukset_Käynnit_Lask!K487^Alukset_fx!$I$70),IF(Q487="Container ship",Alukset_fx!$H$72*(Alukset_Käynnit_Lask!K487^Alukset_fx!$I$72),IF(Q487="Barge",0,IF(Q487="RoPax",Alukset_fx!$H$75*(Alukset_Käynnit_Lask!K487^Alukset_fx!$I$75),IF(OR(Q487="RoRo",Q487="Vehicle carrier"),Alukset_fx!$H$74*(Alukset_Käynnit_Lask!K487^Alukset_fx!$I$74),Alukset_fx!$H$77*(Alukset_Käynnit_Lask!K487^Alukset_fx!$I$77))))))))),"-")</f>
        <v>0</v>
      </c>
      <c r="T487" s="208">
        <f>IF(R487=0,IF(Q487="Other dry cargo",S487*Alukset_fx!$B$71,IF(OR(Q487="Dry bulk",Q487="Bulk carrier"),S487*Alukset_fx!$B$69,IF(Q487="Tugboat",S487*Alukset_fx!$B$76,IF(OR(Q487="Tanker",Q487="Gas tanker",Q487="Chemical tanker",Q487="Oil tanker"),S487*Alukset_fx!$B$68,IF(OR(Q487="RoRo",Q487="Vehicle carrier"),S487*Alukset_fx!$B$72,IF(Q487="RoPax",S487*Alukset_fx!$B$73,IF(Q487="Container ship",S487*Alukset_fx!$B$70,S487*Alukset_fx!$B$75))))))),"-")</f>
        <v>0</v>
      </c>
      <c r="U487" s="208">
        <f t="shared" si="90"/>
        <v>0</v>
      </c>
      <c r="V487" s="208">
        <f t="shared" si="91"/>
        <v>0</v>
      </c>
      <c r="W487" s="202">
        <f>Alukset_Käynnit!N494</f>
        <v>0</v>
      </c>
      <c r="X487" s="211">
        <f>IF(Q487="Other dry cargo", Alukset_fx!$C$52, IF(OR(Q487="Dry bulk",Q487="Bulk carrier"),Alukset_fx!$C$35,IF(OR(Q487="Tanker",Q487="Gas tanker",Q487="Oil tanker"),Alukset_fx!$C$57,IF(Q487="Chemical tanker",Alukset_fx!$C$56,IF(OR(Q487="Tugboat",Q487="Barge"),0,IF(Q487="Other vessel",Alukset_fx!$C$54,IF(Q487="Container ship",Alukset_fx!$C$37,IF(OR(Q487="RoPax",Q487="RoRo",Q487="Vehicle carrier"),Alukset_fx!$C$55,0))))))))</f>
        <v>0</v>
      </c>
      <c r="Y487" s="211">
        <f>IF(Q487="Other dry cargo", Alukset_fx!$Q$52, IF(OR(Q487="Dry bulk",Q487="Bulk carrier"),Alukset_fx!$Q$35,IF(OR(Q487="Tanker",Q487="Gas tanker",Q487="Oil tanker"),Alukset_fx!$Q$57,IF(Q487="Chemical tanker",Alukset_fx!$Q$56,IF(OR(Q487="Tugboat",Q487="Barge"),0,IF(Q487="Other vessel",Alukset_fx!$Q$54,IF(Q487="Container ship",Alukset_fx!$Q$37,IF(OR(Q487="RoPax",Q487="RoRo",Q487="Vehicle carrier"),Alukset_fx!$Q$55,0))))))))</f>
        <v>0</v>
      </c>
      <c r="Z487" t="str">
        <f t="shared" si="92"/>
        <v>MDO/MGO</v>
      </c>
      <c r="AA487" t="str">
        <f t="shared" si="93"/>
        <v>MSD</v>
      </c>
      <c r="AB487" t="str">
        <f t="shared" si="94"/>
        <v>MDO/MGO</v>
      </c>
      <c r="AC487" t="str">
        <f t="shared" si="95"/>
        <v>MSD</v>
      </c>
      <c r="AD487" t="str">
        <f t="shared" si="96"/>
        <v>MDO/MGO</v>
      </c>
      <c r="AE487" t="str">
        <f t="shared" si="97"/>
        <v>ST</v>
      </c>
      <c r="AG487">
        <f>Alukset_Käynnit!O494</f>
        <v>0</v>
      </c>
      <c r="AH487" s="207">
        <f>IF(AA487="SSD",((U487*Alukset_fx!$B$24)*Alukset_Käynnit_Lask!W487*(Alukset_fx!$K$49)/1000),IF(AA487="MSD",((U487*Alukset_fx!$B$24)*Alukset_Käynnit_Lask!W487*(Alukset_fx!$K$52)/1000),IF(AA487="HSD",((U487*Alukset_fx!$B$24)*Alukset_Käynnit_Lask!W487*(Alukset_fx!$K$55)/1000),0)))</f>
        <v>0</v>
      </c>
      <c r="AI487" s="207">
        <f>IF(AC487="MSD",((V487*Alukset_fx!$B$25)*Alukset_Käynnit_Lask!W487*(Alukset_fx!$L$52)/1000),IF(AC487="HSD",((V487*Alukset_fx!$B$25)*Alukset_Käynnit_Lask!W487*(Alukset_fx!$L$55)/1000),0))</f>
        <v>0</v>
      </c>
      <c r="AJ487" s="207">
        <f>X487*W487*Alukset_fx!$K$61/1000</f>
        <v>0</v>
      </c>
      <c r="AK487">
        <v>0</v>
      </c>
      <c r="AL487" s="207">
        <f>IF(AG487="Käytetty",0,IF(AC487="MSD",((V487*Alukset_fx!$O$25)*Alukset_Käynnit_Lask!O487*(Alukset_fx!$L$52)/1000),IF(AC487="HSD",((V487*Alukset_fx!$O$25)*Alukset_Käynnit_Lask!O487*(Alukset_fx!$L$55)/1000),0)))</f>
        <v>0</v>
      </c>
      <c r="AM487" s="207">
        <f>IF(AG487="Käytetty",0,Y487*O487*Alukset_fx!$K$61/1000)</f>
        <v>0</v>
      </c>
      <c r="AN487" s="213">
        <f t="shared" si="98"/>
        <v>0</v>
      </c>
    </row>
    <row r="488" spans="1:40" x14ac:dyDescent="0.25">
      <c r="A488" s="203">
        <f>Alukset_Käynnit!A495</f>
        <v>0</v>
      </c>
      <c r="B488" s="203">
        <f>Alukset_Käynnit!B495</f>
        <v>0</v>
      </c>
      <c r="C488" s="262">
        <f>Alukset_Käynnit!C495</f>
        <v>0</v>
      </c>
      <c r="D488" s="266">
        <f>Alukset_Käynnit!D495</f>
        <v>0</v>
      </c>
      <c r="E488" s="262">
        <f>Alukset_Käynnit!E495</f>
        <v>0</v>
      </c>
      <c r="F488" s="262">
        <f>Alukset_Käynnit!F495</f>
        <v>0</v>
      </c>
      <c r="G488" s="262">
        <f>Alukset_Käynnit!G495</f>
        <v>0</v>
      </c>
      <c r="H488" s="262">
        <f>Alukset_Käynnit!H495</f>
        <v>0</v>
      </c>
      <c r="I488" s="262">
        <f>Alukset_Käynnit!I495</f>
        <v>0</v>
      </c>
      <c r="J488" s="262">
        <f>Alukset_Käynnit!J495</f>
        <v>0</v>
      </c>
      <c r="K488" s="262">
        <f>Alukset_Käynnit!K495</f>
        <v>0</v>
      </c>
      <c r="L488" s="205">
        <f>Alukset_Käynnit!L495</f>
        <v>0</v>
      </c>
      <c r="N488" s="273">
        <f t="shared" si="99"/>
        <v>0</v>
      </c>
      <c r="O488" s="274">
        <f t="shared" si="100"/>
        <v>0</v>
      </c>
      <c r="Q488" s="204">
        <f t="shared" si="89"/>
        <v>0</v>
      </c>
      <c r="R488" s="202">
        <f>IF(Q488="Other dry cargo",L488*Alukset_fx!$B$71,IF(OR(Q488="Dry bulk",Q488="Bulk carrier"),L488*Alukset_fx!$B$69,IF(Q488="Tugboat",L488*Alukset_fx!$B$76,IF(OR(Q488="Tanker",Q488="Gas tanker",Q488="Chemical tanker",Q488="Oil tanker"),L488*Alukset_fx!$B$68,IF(OR(Q488="RoRo",Q488="Vehicle carrier"),L488*Alukset_fx!$B$72,IF(Q488="RoPax",L488*Alukset_fx!$B$73,IF(Q488="Container ship",L488*Alukset_fx!$B$70,IF(Q488="Barge",0,L488*Alukset_fx!$B$75))))))))</f>
        <v>0</v>
      </c>
      <c r="S488" s="210">
        <f>IF(L488=0,IF(Q488="Other dry cargo",Alukset_fx!$H$73*(Alukset_Käynnit_Lask!K488^Alukset_fx!$I$73),IF(OR(Q488="Dry Bulk",Q488="Bulk carrier"),Alukset_fx!$H$71*(Alukset_Käynnit_Lask!K488^Alukset_fx!$I$71),IF(Q488="Tugboat",Alukset_fx!$H$78*(Alukset_Käynnit_Lask!K488^Alukset_fx!$I$78),IF(OR(Q488="Tanker",Q488="Gas tanker",Q488="Chemical tanker",Q488="Oil tanker"),Alukset_fx!$H$70*(Alukset_Käynnit_Lask!K488^Alukset_fx!$I$70),IF(Q488="Container ship",Alukset_fx!$H$72*(Alukset_Käynnit_Lask!K488^Alukset_fx!$I$72),IF(Q488="Barge",0,IF(Q488="RoPax",Alukset_fx!$H$75*(Alukset_Käynnit_Lask!K488^Alukset_fx!$I$75),IF(OR(Q488="RoRo",Q488="Vehicle carrier"),Alukset_fx!$H$74*(Alukset_Käynnit_Lask!K488^Alukset_fx!$I$74),Alukset_fx!$H$77*(Alukset_Käynnit_Lask!K488^Alukset_fx!$I$77))))))))),"-")</f>
        <v>0</v>
      </c>
      <c r="T488" s="208">
        <f>IF(R488=0,IF(Q488="Other dry cargo",S488*Alukset_fx!$B$71,IF(OR(Q488="Dry bulk",Q488="Bulk carrier"),S488*Alukset_fx!$B$69,IF(Q488="Tugboat",S488*Alukset_fx!$B$76,IF(OR(Q488="Tanker",Q488="Gas tanker",Q488="Chemical tanker",Q488="Oil tanker"),S488*Alukset_fx!$B$68,IF(OR(Q488="RoRo",Q488="Vehicle carrier"),S488*Alukset_fx!$B$72,IF(Q488="RoPax",S488*Alukset_fx!$B$73,IF(Q488="Container ship",S488*Alukset_fx!$B$70,S488*Alukset_fx!$B$75))))))),"-")</f>
        <v>0</v>
      </c>
      <c r="U488" s="208">
        <f t="shared" si="90"/>
        <v>0</v>
      </c>
      <c r="V488" s="208">
        <f t="shared" si="91"/>
        <v>0</v>
      </c>
      <c r="W488" s="202">
        <f>Alukset_Käynnit!N495</f>
        <v>0</v>
      </c>
      <c r="X488" s="211">
        <f>IF(Q488="Other dry cargo", Alukset_fx!$C$52, IF(OR(Q488="Dry bulk",Q488="Bulk carrier"),Alukset_fx!$C$35,IF(OR(Q488="Tanker",Q488="Gas tanker",Q488="Oil tanker"),Alukset_fx!$C$57,IF(Q488="Chemical tanker",Alukset_fx!$C$56,IF(OR(Q488="Tugboat",Q488="Barge"),0,IF(Q488="Other vessel",Alukset_fx!$C$54,IF(Q488="Container ship",Alukset_fx!$C$37,IF(OR(Q488="RoPax",Q488="RoRo",Q488="Vehicle carrier"),Alukset_fx!$C$55,0))))))))</f>
        <v>0</v>
      </c>
      <c r="Y488" s="211">
        <f>IF(Q488="Other dry cargo", Alukset_fx!$Q$52, IF(OR(Q488="Dry bulk",Q488="Bulk carrier"),Alukset_fx!$Q$35,IF(OR(Q488="Tanker",Q488="Gas tanker",Q488="Oil tanker"),Alukset_fx!$Q$57,IF(Q488="Chemical tanker",Alukset_fx!$Q$56,IF(OR(Q488="Tugboat",Q488="Barge"),0,IF(Q488="Other vessel",Alukset_fx!$Q$54,IF(Q488="Container ship",Alukset_fx!$Q$37,IF(OR(Q488="RoPax",Q488="RoRo",Q488="Vehicle carrier"),Alukset_fx!$Q$55,0))))))))</f>
        <v>0</v>
      </c>
      <c r="Z488" t="str">
        <f t="shared" si="92"/>
        <v>MDO/MGO</v>
      </c>
      <c r="AA488" t="str">
        <f t="shared" si="93"/>
        <v>MSD</v>
      </c>
      <c r="AB488" t="str">
        <f t="shared" si="94"/>
        <v>MDO/MGO</v>
      </c>
      <c r="AC488" t="str">
        <f t="shared" si="95"/>
        <v>MSD</v>
      </c>
      <c r="AD488" t="str">
        <f t="shared" si="96"/>
        <v>MDO/MGO</v>
      </c>
      <c r="AE488" t="str">
        <f t="shared" si="97"/>
        <v>ST</v>
      </c>
      <c r="AG488">
        <f>Alukset_Käynnit!O495</f>
        <v>0</v>
      </c>
      <c r="AH488" s="207">
        <f>IF(AA488="SSD",((U488*Alukset_fx!$B$24)*Alukset_Käynnit_Lask!W488*(Alukset_fx!$K$49)/1000),IF(AA488="MSD",((U488*Alukset_fx!$B$24)*Alukset_Käynnit_Lask!W488*(Alukset_fx!$K$52)/1000),IF(AA488="HSD",((U488*Alukset_fx!$B$24)*Alukset_Käynnit_Lask!W488*(Alukset_fx!$K$55)/1000),0)))</f>
        <v>0</v>
      </c>
      <c r="AI488" s="207">
        <f>IF(AC488="MSD",((V488*Alukset_fx!$B$25)*Alukset_Käynnit_Lask!W488*(Alukset_fx!$L$52)/1000),IF(AC488="HSD",((V488*Alukset_fx!$B$25)*Alukset_Käynnit_Lask!W488*(Alukset_fx!$L$55)/1000),0))</f>
        <v>0</v>
      </c>
      <c r="AJ488" s="207">
        <f>X488*W488*Alukset_fx!$K$61/1000</f>
        <v>0</v>
      </c>
      <c r="AK488">
        <v>0</v>
      </c>
      <c r="AL488" s="207">
        <f>IF(AG488="Käytetty",0,IF(AC488="MSD",((V488*Alukset_fx!$O$25)*Alukset_Käynnit_Lask!O488*(Alukset_fx!$L$52)/1000),IF(AC488="HSD",((V488*Alukset_fx!$O$25)*Alukset_Käynnit_Lask!O488*(Alukset_fx!$L$55)/1000),0)))</f>
        <v>0</v>
      </c>
      <c r="AM488" s="207">
        <f>IF(AG488="Käytetty",0,Y488*O488*Alukset_fx!$K$61/1000)</f>
        <v>0</v>
      </c>
      <c r="AN488" s="213">
        <f t="shared" si="98"/>
        <v>0</v>
      </c>
    </row>
    <row r="489" spans="1:40" x14ac:dyDescent="0.25">
      <c r="A489" s="203">
        <f>Alukset_Käynnit!A496</f>
        <v>0</v>
      </c>
      <c r="B489" s="203">
        <f>Alukset_Käynnit!B496</f>
        <v>0</v>
      </c>
      <c r="C489" s="262">
        <f>Alukset_Käynnit!C496</f>
        <v>0</v>
      </c>
      <c r="D489" s="266">
        <f>Alukset_Käynnit!D496</f>
        <v>0</v>
      </c>
      <c r="E489" s="262">
        <f>Alukset_Käynnit!E496</f>
        <v>0</v>
      </c>
      <c r="F489" s="262">
        <f>Alukset_Käynnit!F496</f>
        <v>0</v>
      </c>
      <c r="G489" s="262">
        <f>Alukset_Käynnit!G496</f>
        <v>0</v>
      </c>
      <c r="H489" s="262">
        <f>Alukset_Käynnit!H496</f>
        <v>0</v>
      </c>
      <c r="I489" s="262">
        <f>Alukset_Käynnit!I496</f>
        <v>0</v>
      </c>
      <c r="J489" s="262">
        <f>Alukset_Käynnit!J496</f>
        <v>0</v>
      </c>
      <c r="K489" s="262">
        <f>Alukset_Käynnit!K496</f>
        <v>0</v>
      </c>
      <c r="L489" s="205">
        <f>Alukset_Käynnit!L496</f>
        <v>0</v>
      </c>
      <c r="N489" s="273">
        <f t="shared" si="99"/>
        <v>0</v>
      </c>
      <c r="O489" s="274">
        <f t="shared" si="100"/>
        <v>0</v>
      </c>
      <c r="Q489" s="204">
        <f t="shared" si="89"/>
        <v>0</v>
      </c>
      <c r="R489" s="202">
        <f>IF(Q489="Other dry cargo",L489*Alukset_fx!$B$71,IF(OR(Q489="Dry bulk",Q489="Bulk carrier"),L489*Alukset_fx!$B$69,IF(Q489="Tugboat",L489*Alukset_fx!$B$76,IF(OR(Q489="Tanker",Q489="Gas tanker",Q489="Chemical tanker",Q489="Oil tanker"),L489*Alukset_fx!$B$68,IF(OR(Q489="RoRo",Q489="Vehicle carrier"),L489*Alukset_fx!$B$72,IF(Q489="RoPax",L489*Alukset_fx!$B$73,IF(Q489="Container ship",L489*Alukset_fx!$B$70,IF(Q489="Barge",0,L489*Alukset_fx!$B$75))))))))</f>
        <v>0</v>
      </c>
      <c r="S489" s="210">
        <f>IF(L489=0,IF(Q489="Other dry cargo",Alukset_fx!$H$73*(Alukset_Käynnit_Lask!K489^Alukset_fx!$I$73),IF(OR(Q489="Dry Bulk",Q489="Bulk carrier"),Alukset_fx!$H$71*(Alukset_Käynnit_Lask!K489^Alukset_fx!$I$71),IF(Q489="Tugboat",Alukset_fx!$H$78*(Alukset_Käynnit_Lask!K489^Alukset_fx!$I$78),IF(OR(Q489="Tanker",Q489="Gas tanker",Q489="Chemical tanker",Q489="Oil tanker"),Alukset_fx!$H$70*(Alukset_Käynnit_Lask!K489^Alukset_fx!$I$70),IF(Q489="Container ship",Alukset_fx!$H$72*(Alukset_Käynnit_Lask!K489^Alukset_fx!$I$72),IF(Q489="Barge",0,IF(Q489="RoPax",Alukset_fx!$H$75*(Alukset_Käynnit_Lask!K489^Alukset_fx!$I$75),IF(OR(Q489="RoRo",Q489="Vehicle carrier"),Alukset_fx!$H$74*(Alukset_Käynnit_Lask!K489^Alukset_fx!$I$74),Alukset_fx!$H$77*(Alukset_Käynnit_Lask!K489^Alukset_fx!$I$77))))))))),"-")</f>
        <v>0</v>
      </c>
      <c r="T489" s="208">
        <f>IF(R489=0,IF(Q489="Other dry cargo",S489*Alukset_fx!$B$71,IF(OR(Q489="Dry bulk",Q489="Bulk carrier"),S489*Alukset_fx!$B$69,IF(Q489="Tugboat",S489*Alukset_fx!$B$76,IF(OR(Q489="Tanker",Q489="Gas tanker",Q489="Chemical tanker",Q489="Oil tanker"),S489*Alukset_fx!$B$68,IF(OR(Q489="RoRo",Q489="Vehicle carrier"),S489*Alukset_fx!$B$72,IF(Q489="RoPax",S489*Alukset_fx!$B$73,IF(Q489="Container ship",S489*Alukset_fx!$B$70,S489*Alukset_fx!$B$75))))))),"-")</f>
        <v>0</v>
      </c>
      <c r="U489" s="208">
        <f t="shared" si="90"/>
        <v>0</v>
      </c>
      <c r="V489" s="208">
        <f t="shared" si="91"/>
        <v>0</v>
      </c>
      <c r="W489" s="202">
        <f>Alukset_Käynnit!N496</f>
        <v>0</v>
      </c>
      <c r="X489" s="211">
        <f>IF(Q489="Other dry cargo", Alukset_fx!$C$52, IF(OR(Q489="Dry bulk",Q489="Bulk carrier"),Alukset_fx!$C$35,IF(OR(Q489="Tanker",Q489="Gas tanker",Q489="Oil tanker"),Alukset_fx!$C$57,IF(Q489="Chemical tanker",Alukset_fx!$C$56,IF(OR(Q489="Tugboat",Q489="Barge"),0,IF(Q489="Other vessel",Alukset_fx!$C$54,IF(Q489="Container ship",Alukset_fx!$C$37,IF(OR(Q489="RoPax",Q489="RoRo",Q489="Vehicle carrier"),Alukset_fx!$C$55,0))))))))</f>
        <v>0</v>
      </c>
      <c r="Y489" s="211">
        <f>IF(Q489="Other dry cargo", Alukset_fx!$Q$52, IF(OR(Q489="Dry bulk",Q489="Bulk carrier"),Alukset_fx!$Q$35,IF(OR(Q489="Tanker",Q489="Gas tanker",Q489="Oil tanker"),Alukset_fx!$Q$57,IF(Q489="Chemical tanker",Alukset_fx!$Q$56,IF(OR(Q489="Tugboat",Q489="Barge"),0,IF(Q489="Other vessel",Alukset_fx!$Q$54,IF(Q489="Container ship",Alukset_fx!$Q$37,IF(OR(Q489="RoPax",Q489="RoRo",Q489="Vehicle carrier"),Alukset_fx!$Q$55,0))))))))</f>
        <v>0</v>
      </c>
      <c r="Z489" t="str">
        <f t="shared" si="92"/>
        <v>MDO/MGO</v>
      </c>
      <c r="AA489" t="str">
        <f t="shared" si="93"/>
        <v>MSD</v>
      </c>
      <c r="AB489" t="str">
        <f t="shared" si="94"/>
        <v>MDO/MGO</v>
      </c>
      <c r="AC489" t="str">
        <f t="shared" si="95"/>
        <v>MSD</v>
      </c>
      <c r="AD489" t="str">
        <f t="shared" si="96"/>
        <v>MDO/MGO</v>
      </c>
      <c r="AE489" t="str">
        <f t="shared" si="97"/>
        <v>ST</v>
      </c>
      <c r="AG489">
        <f>Alukset_Käynnit!O496</f>
        <v>0</v>
      </c>
      <c r="AH489" s="207">
        <f>IF(AA489="SSD",((U489*Alukset_fx!$B$24)*Alukset_Käynnit_Lask!W489*(Alukset_fx!$K$49)/1000),IF(AA489="MSD",((U489*Alukset_fx!$B$24)*Alukset_Käynnit_Lask!W489*(Alukset_fx!$K$52)/1000),IF(AA489="HSD",((U489*Alukset_fx!$B$24)*Alukset_Käynnit_Lask!W489*(Alukset_fx!$K$55)/1000),0)))</f>
        <v>0</v>
      </c>
      <c r="AI489" s="207">
        <f>IF(AC489="MSD",((V489*Alukset_fx!$B$25)*Alukset_Käynnit_Lask!W489*(Alukset_fx!$L$52)/1000),IF(AC489="HSD",((V489*Alukset_fx!$B$25)*Alukset_Käynnit_Lask!W489*(Alukset_fx!$L$55)/1000),0))</f>
        <v>0</v>
      </c>
      <c r="AJ489" s="207">
        <f>X489*W489*Alukset_fx!$K$61/1000</f>
        <v>0</v>
      </c>
      <c r="AK489">
        <v>0</v>
      </c>
      <c r="AL489" s="207">
        <f>IF(AG489="Käytetty",0,IF(AC489="MSD",((V489*Alukset_fx!$O$25)*Alukset_Käynnit_Lask!O489*(Alukset_fx!$L$52)/1000),IF(AC489="HSD",((V489*Alukset_fx!$O$25)*Alukset_Käynnit_Lask!O489*(Alukset_fx!$L$55)/1000),0)))</f>
        <v>0</v>
      </c>
      <c r="AM489" s="207">
        <f>IF(AG489="Käytetty",0,Y489*O489*Alukset_fx!$K$61/1000)</f>
        <v>0</v>
      </c>
      <c r="AN489" s="213">
        <f t="shared" si="98"/>
        <v>0</v>
      </c>
    </row>
    <row r="490" spans="1:40" x14ac:dyDescent="0.25">
      <c r="A490" s="203">
        <f>Alukset_Käynnit!A497</f>
        <v>0</v>
      </c>
      <c r="B490" s="203">
        <f>Alukset_Käynnit!B497</f>
        <v>0</v>
      </c>
      <c r="C490" s="262">
        <f>Alukset_Käynnit!C497</f>
        <v>0</v>
      </c>
      <c r="D490" s="266">
        <f>Alukset_Käynnit!D497</f>
        <v>0</v>
      </c>
      <c r="E490" s="262">
        <f>Alukset_Käynnit!E497</f>
        <v>0</v>
      </c>
      <c r="F490" s="262">
        <f>Alukset_Käynnit!F497</f>
        <v>0</v>
      </c>
      <c r="G490" s="262">
        <f>Alukset_Käynnit!G497</f>
        <v>0</v>
      </c>
      <c r="H490" s="262">
        <f>Alukset_Käynnit!H497</f>
        <v>0</v>
      </c>
      <c r="I490" s="262">
        <f>Alukset_Käynnit!I497</f>
        <v>0</v>
      </c>
      <c r="J490" s="262">
        <f>Alukset_Käynnit!J497</f>
        <v>0</v>
      </c>
      <c r="K490" s="262">
        <f>Alukset_Käynnit!K497</f>
        <v>0</v>
      </c>
      <c r="L490" s="205">
        <f>Alukset_Käynnit!L497</f>
        <v>0</v>
      </c>
      <c r="N490" s="273">
        <f t="shared" si="99"/>
        <v>0</v>
      </c>
      <c r="O490" s="274">
        <f t="shared" si="100"/>
        <v>0</v>
      </c>
      <c r="Q490" s="204">
        <f t="shared" si="89"/>
        <v>0</v>
      </c>
      <c r="R490" s="202">
        <f>IF(Q490="Other dry cargo",L490*Alukset_fx!$B$71,IF(OR(Q490="Dry bulk",Q490="Bulk carrier"),L490*Alukset_fx!$B$69,IF(Q490="Tugboat",L490*Alukset_fx!$B$76,IF(OR(Q490="Tanker",Q490="Gas tanker",Q490="Chemical tanker",Q490="Oil tanker"),L490*Alukset_fx!$B$68,IF(OR(Q490="RoRo",Q490="Vehicle carrier"),L490*Alukset_fx!$B$72,IF(Q490="RoPax",L490*Alukset_fx!$B$73,IF(Q490="Container ship",L490*Alukset_fx!$B$70,IF(Q490="Barge",0,L490*Alukset_fx!$B$75))))))))</f>
        <v>0</v>
      </c>
      <c r="S490" s="210">
        <f>IF(L490=0,IF(Q490="Other dry cargo",Alukset_fx!$H$73*(Alukset_Käynnit_Lask!K490^Alukset_fx!$I$73),IF(OR(Q490="Dry Bulk",Q490="Bulk carrier"),Alukset_fx!$H$71*(Alukset_Käynnit_Lask!K490^Alukset_fx!$I$71),IF(Q490="Tugboat",Alukset_fx!$H$78*(Alukset_Käynnit_Lask!K490^Alukset_fx!$I$78),IF(OR(Q490="Tanker",Q490="Gas tanker",Q490="Chemical tanker",Q490="Oil tanker"),Alukset_fx!$H$70*(Alukset_Käynnit_Lask!K490^Alukset_fx!$I$70),IF(Q490="Container ship",Alukset_fx!$H$72*(Alukset_Käynnit_Lask!K490^Alukset_fx!$I$72),IF(Q490="Barge",0,IF(Q490="RoPax",Alukset_fx!$H$75*(Alukset_Käynnit_Lask!K490^Alukset_fx!$I$75),IF(OR(Q490="RoRo",Q490="Vehicle carrier"),Alukset_fx!$H$74*(Alukset_Käynnit_Lask!K490^Alukset_fx!$I$74),Alukset_fx!$H$77*(Alukset_Käynnit_Lask!K490^Alukset_fx!$I$77))))))))),"-")</f>
        <v>0</v>
      </c>
      <c r="T490" s="208">
        <f>IF(R490=0,IF(Q490="Other dry cargo",S490*Alukset_fx!$B$71,IF(OR(Q490="Dry bulk",Q490="Bulk carrier"),S490*Alukset_fx!$B$69,IF(Q490="Tugboat",S490*Alukset_fx!$B$76,IF(OR(Q490="Tanker",Q490="Gas tanker",Q490="Chemical tanker",Q490="Oil tanker"),S490*Alukset_fx!$B$68,IF(OR(Q490="RoRo",Q490="Vehicle carrier"),S490*Alukset_fx!$B$72,IF(Q490="RoPax",S490*Alukset_fx!$B$73,IF(Q490="Container ship",S490*Alukset_fx!$B$70,S490*Alukset_fx!$B$75))))))),"-")</f>
        <v>0</v>
      </c>
      <c r="U490" s="208">
        <f t="shared" si="90"/>
        <v>0</v>
      </c>
      <c r="V490" s="208">
        <f t="shared" si="91"/>
        <v>0</v>
      </c>
      <c r="W490" s="202">
        <f>Alukset_Käynnit!N497</f>
        <v>0</v>
      </c>
      <c r="X490" s="211">
        <f>IF(Q490="Other dry cargo", Alukset_fx!$C$52, IF(OR(Q490="Dry bulk",Q490="Bulk carrier"),Alukset_fx!$C$35,IF(OR(Q490="Tanker",Q490="Gas tanker",Q490="Oil tanker"),Alukset_fx!$C$57,IF(Q490="Chemical tanker",Alukset_fx!$C$56,IF(OR(Q490="Tugboat",Q490="Barge"),0,IF(Q490="Other vessel",Alukset_fx!$C$54,IF(Q490="Container ship",Alukset_fx!$C$37,IF(OR(Q490="RoPax",Q490="RoRo",Q490="Vehicle carrier"),Alukset_fx!$C$55,0))))))))</f>
        <v>0</v>
      </c>
      <c r="Y490" s="211">
        <f>IF(Q490="Other dry cargo", Alukset_fx!$Q$52, IF(OR(Q490="Dry bulk",Q490="Bulk carrier"),Alukset_fx!$Q$35,IF(OR(Q490="Tanker",Q490="Gas tanker",Q490="Oil tanker"),Alukset_fx!$Q$57,IF(Q490="Chemical tanker",Alukset_fx!$Q$56,IF(OR(Q490="Tugboat",Q490="Barge"),0,IF(Q490="Other vessel",Alukset_fx!$Q$54,IF(Q490="Container ship",Alukset_fx!$Q$37,IF(OR(Q490="RoPax",Q490="RoRo",Q490="Vehicle carrier"),Alukset_fx!$Q$55,0))))))))</f>
        <v>0</v>
      </c>
      <c r="Z490" t="str">
        <f t="shared" si="92"/>
        <v>MDO/MGO</v>
      </c>
      <c r="AA490" t="str">
        <f t="shared" si="93"/>
        <v>MSD</v>
      </c>
      <c r="AB490" t="str">
        <f t="shared" si="94"/>
        <v>MDO/MGO</v>
      </c>
      <c r="AC490" t="str">
        <f t="shared" si="95"/>
        <v>MSD</v>
      </c>
      <c r="AD490" t="str">
        <f t="shared" si="96"/>
        <v>MDO/MGO</v>
      </c>
      <c r="AE490" t="str">
        <f t="shared" si="97"/>
        <v>ST</v>
      </c>
      <c r="AG490">
        <f>Alukset_Käynnit!O497</f>
        <v>0</v>
      </c>
      <c r="AH490" s="207">
        <f>IF(AA490="SSD",((U490*Alukset_fx!$B$24)*Alukset_Käynnit_Lask!W490*(Alukset_fx!$K$49)/1000),IF(AA490="MSD",((U490*Alukset_fx!$B$24)*Alukset_Käynnit_Lask!W490*(Alukset_fx!$K$52)/1000),IF(AA490="HSD",((U490*Alukset_fx!$B$24)*Alukset_Käynnit_Lask!W490*(Alukset_fx!$K$55)/1000),0)))</f>
        <v>0</v>
      </c>
      <c r="AI490" s="207">
        <f>IF(AC490="MSD",((V490*Alukset_fx!$B$25)*Alukset_Käynnit_Lask!W490*(Alukset_fx!$L$52)/1000),IF(AC490="HSD",((V490*Alukset_fx!$B$25)*Alukset_Käynnit_Lask!W490*(Alukset_fx!$L$55)/1000),0))</f>
        <v>0</v>
      </c>
      <c r="AJ490" s="207">
        <f>X490*W490*Alukset_fx!$K$61/1000</f>
        <v>0</v>
      </c>
      <c r="AK490">
        <v>0</v>
      </c>
      <c r="AL490" s="207">
        <f>IF(AG490="Käytetty",0,IF(AC490="MSD",((V490*Alukset_fx!$O$25)*Alukset_Käynnit_Lask!O490*(Alukset_fx!$L$52)/1000),IF(AC490="HSD",((V490*Alukset_fx!$O$25)*Alukset_Käynnit_Lask!O490*(Alukset_fx!$L$55)/1000),0)))</f>
        <v>0</v>
      </c>
      <c r="AM490" s="207">
        <f>IF(AG490="Käytetty",0,Y490*O490*Alukset_fx!$K$61/1000)</f>
        <v>0</v>
      </c>
      <c r="AN490" s="213">
        <f t="shared" si="98"/>
        <v>0</v>
      </c>
    </row>
    <row r="491" spans="1:40" x14ac:dyDescent="0.25">
      <c r="A491" s="203">
        <f>Alukset_Käynnit!A498</f>
        <v>0</v>
      </c>
      <c r="B491" s="203">
        <f>Alukset_Käynnit!B498</f>
        <v>0</v>
      </c>
      <c r="C491" s="262">
        <f>Alukset_Käynnit!C498</f>
        <v>0</v>
      </c>
      <c r="D491" s="266">
        <f>Alukset_Käynnit!D498</f>
        <v>0</v>
      </c>
      <c r="E491" s="262">
        <f>Alukset_Käynnit!E498</f>
        <v>0</v>
      </c>
      <c r="F491" s="262">
        <f>Alukset_Käynnit!F498</f>
        <v>0</v>
      </c>
      <c r="G491" s="262">
        <f>Alukset_Käynnit!G498</f>
        <v>0</v>
      </c>
      <c r="H491" s="262">
        <f>Alukset_Käynnit!H498</f>
        <v>0</v>
      </c>
      <c r="I491" s="262">
        <f>Alukset_Käynnit!I498</f>
        <v>0</v>
      </c>
      <c r="J491" s="262">
        <f>Alukset_Käynnit!J498</f>
        <v>0</v>
      </c>
      <c r="K491" s="262">
        <f>Alukset_Käynnit!K498</f>
        <v>0</v>
      </c>
      <c r="L491" s="205">
        <f>Alukset_Käynnit!L498</f>
        <v>0</v>
      </c>
      <c r="N491" s="273">
        <f t="shared" si="99"/>
        <v>0</v>
      </c>
      <c r="O491" s="274">
        <f t="shared" si="100"/>
        <v>0</v>
      </c>
      <c r="Q491" s="204">
        <f t="shared" si="89"/>
        <v>0</v>
      </c>
      <c r="R491" s="202">
        <f>IF(Q491="Other dry cargo",L491*Alukset_fx!$B$71,IF(OR(Q491="Dry bulk",Q491="Bulk carrier"),L491*Alukset_fx!$B$69,IF(Q491="Tugboat",L491*Alukset_fx!$B$76,IF(OR(Q491="Tanker",Q491="Gas tanker",Q491="Chemical tanker",Q491="Oil tanker"),L491*Alukset_fx!$B$68,IF(OR(Q491="RoRo",Q491="Vehicle carrier"),L491*Alukset_fx!$B$72,IF(Q491="RoPax",L491*Alukset_fx!$B$73,IF(Q491="Container ship",L491*Alukset_fx!$B$70,IF(Q491="Barge",0,L491*Alukset_fx!$B$75))))))))</f>
        <v>0</v>
      </c>
      <c r="S491" s="210">
        <f>IF(L491=0,IF(Q491="Other dry cargo",Alukset_fx!$H$73*(Alukset_Käynnit_Lask!K491^Alukset_fx!$I$73),IF(OR(Q491="Dry Bulk",Q491="Bulk carrier"),Alukset_fx!$H$71*(Alukset_Käynnit_Lask!K491^Alukset_fx!$I$71),IF(Q491="Tugboat",Alukset_fx!$H$78*(Alukset_Käynnit_Lask!K491^Alukset_fx!$I$78),IF(OR(Q491="Tanker",Q491="Gas tanker",Q491="Chemical tanker",Q491="Oil tanker"),Alukset_fx!$H$70*(Alukset_Käynnit_Lask!K491^Alukset_fx!$I$70),IF(Q491="Container ship",Alukset_fx!$H$72*(Alukset_Käynnit_Lask!K491^Alukset_fx!$I$72),IF(Q491="Barge",0,IF(Q491="RoPax",Alukset_fx!$H$75*(Alukset_Käynnit_Lask!K491^Alukset_fx!$I$75),IF(OR(Q491="RoRo",Q491="Vehicle carrier"),Alukset_fx!$H$74*(Alukset_Käynnit_Lask!K491^Alukset_fx!$I$74),Alukset_fx!$H$77*(Alukset_Käynnit_Lask!K491^Alukset_fx!$I$77))))))))),"-")</f>
        <v>0</v>
      </c>
      <c r="T491" s="208">
        <f>IF(R491=0,IF(Q491="Other dry cargo",S491*Alukset_fx!$B$71,IF(OR(Q491="Dry bulk",Q491="Bulk carrier"),S491*Alukset_fx!$B$69,IF(Q491="Tugboat",S491*Alukset_fx!$B$76,IF(OR(Q491="Tanker",Q491="Gas tanker",Q491="Chemical tanker",Q491="Oil tanker"),S491*Alukset_fx!$B$68,IF(OR(Q491="RoRo",Q491="Vehicle carrier"),S491*Alukset_fx!$B$72,IF(Q491="RoPax",S491*Alukset_fx!$B$73,IF(Q491="Container ship",S491*Alukset_fx!$B$70,S491*Alukset_fx!$B$75))))))),"-")</f>
        <v>0</v>
      </c>
      <c r="U491" s="208">
        <f t="shared" si="90"/>
        <v>0</v>
      </c>
      <c r="V491" s="208">
        <f t="shared" si="91"/>
        <v>0</v>
      </c>
      <c r="W491" s="202">
        <f>Alukset_Käynnit!N498</f>
        <v>0</v>
      </c>
      <c r="X491" s="211">
        <f>IF(Q491="Other dry cargo", Alukset_fx!$C$52, IF(OR(Q491="Dry bulk",Q491="Bulk carrier"),Alukset_fx!$C$35,IF(OR(Q491="Tanker",Q491="Gas tanker",Q491="Oil tanker"),Alukset_fx!$C$57,IF(Q491="Chemical tanker",Alukset_fx!$C$56,IF(OR(Q491="Tugboat",Q491="Barge"),0,IF(Q491="Other vessel",Alukset_fx!$C$54,IF(Q491="Container ship",Alukset_fx!$C$37,IF(OR(Q491="RoPax",Q491="RoRo",Q491="Vehicle carrier"),Alukset_fx!$C$55,0))))))))</f>
        <v>0</v>
      </c>
      <c r="Y491" s="211">
        <f>IF(Q491="Other dry cargo", Alukset_fx!$Q$52, IF(OR(Q491="Dry bulk",Q491="Bulk carrier"),Alukset_fx!$Q$35,IF(OR(Q491="Tanker",Q491="Gas tanker",Q491="Oil tanker"),Alukset_fx!$Q$57,IF(Q491="Chemical tanker",Alukset_fx!$Q$56,IF(OR(Q491="Tugboat",Q491="Barge"),0,IF(Q491="Other vessel",Alukset_fx!$Q$54,IF(Q491="Container ship",Alukset_fx!$Q$37,IF(OR(Q491="RoPax",Q491="RoRo",Q491="Vehicle carrier"),Alukset_fx!$Q$55,0))))))))</f>
        <v>0</v>
      </c>
      <c r="Z491" t="str">
        <f t="shared" si="92"/>
        <v>MDO/MGO</v>
      </c>
      <c r="AA491" t="str">
        <f t="shared" si="93"/>
        <v>MSD</v>
      </c>
      <c r="AB491" t="str">
        <f t="shared" si="94"/>
        <v>MDO/MGO</v>
      </c>
      <c r="AC491" t="str">
        <f t="shared" si="95"/>
        <v>MSD</v>
      </c>
      <c r="AD491" t="str">
        <f t="shared" si="96"/>
        <v>MDO/MGO</v>
      </c>
      <c r="AE491" t="str">
        <f t="shared" si="97"/>
        <v>ST</v>
      </c>
      <c r="AG491">
        <f>Alukset_Käynnit!O498</f>
        <v>0</v>
      </c>
      <c r="AH491" s="207">
        <f>IF(AA491="SSD",((U491*Alukset_fx!$B$24)*Alukset_Käynnit_Lask!W491*(Alukset_fx!$K$49)/1000),IF(AA491="MSD",((U491*Alukset_fx!$B$24)*Alukset_Käynnit_Lask!W491*(Alukset_fx!$K$52)/1000),IF(AA491="HSD",((U491*Alukset_fx!$B$24)*Alukset_Käynnit_Lask!W491*(Alukset_fx!$K$55)/1000),0)))</f>
        <v>0</v>
      </c>
      <c r="AI491" s="207">
        <f>IF(AC491="MSD",((V491*Alukset_fx!$B$25)*Alukset_Käynnit_Lask!W491*(Alukset_fx!$L$52)/1000),IF(AC491="HSD",((V491*Alukset_fx!$B$25)*Alukset_Käynnit_Lask!W491*(Alukset_fx!$L$55)/1000),0))</f>
        <v>0</v>
      </c>
      <c r="AJ491" s="207">
        <f>X491*W491*Alukset_fx!$K$61/1000</f>
        <v>0</v>
      </c>
      <c r="AK491">
        <v>0</v>
      </c>
      <c r="AL491" s="207">
        <f>IF(AG491="Käytetty",0,IF(AC491="MSD",((V491*Alukset_fx!$O$25)*Alukset_Käynnit_Lask!O491*(Alukset_fx!$L$52)/1000),IF(AC491="HSD",((V491*Alukset_fx!$O$25)*Alukset_Käynnit_Lask!O491*(Alukset_fx!$L$55)/1000),0)))</f>
        <v>0</v>
      </c>
      <c r="AM491" s="207">
        <f>IF(AG491="Käytetty",0,Y491*O491*Alukset_fx!$K$61/1000)</f>
        <v>0</v>
      </c>
      <c r="AN491" s="213">
        <f t="shared" si="98"/>
        <v>0</v>
      </c>
    </row>
    <row r="492" spans="1:40" x14ac:dyDescent="0.25">
      <c r="A492" s="203">
        <f>Alukset_Käynnit!A499</f>
        <v>0</v>
      </c>
      <c r="B492" s="203">
        <f>Alukset_Käynnit!B499</f>
        <v>0</v>
      </c>
      <c r="C492" s="262">
        <f>Alukset_Käynnit!C499</f>
        <v>0</v>
      </c>
      <c r="D492" s="266">
        <f>Alukset_Käynnit!D499</f>
        <v>0</v>
      </c>
      <c r="E492" s="262">
        <f>Alukset_Käynnit!E499</f>
        <v>0</v>
      </c>
      <c r="F492" s="262">
        <f>Alukset_Käynnit!F499</f>
        <v>0</v>
      </c>
      <c r="G492" s="262">
        <f>Alukset_Käynnit!G499</f>
        <v>0</v>
      </c>
      <c r="H492" s="262">
        <f>Alukset_Käynnit!H499</f>
        <v>0</v>
      </c>
      <c r="I492" s="262">
        <f>Alukset_Käynnit!I499</f>
        <v>0</v>
      </c>
      <c r="J492" s="262">
        <f>Alukset_Käynnit!J499</f>
        <v>0</v>
      </c>
      <c r="K492" s="262">
        <f>Alukset_Käynnit!K499</f>
        <v>0</v>
      </c>
      <c r="L492" s="205">
        <f>Alukset_Käynnit!L499</f>
        <v>0</v>
      </c>
      <c r="N492" s="273">
        <f t="shared" si="99"/>
        <v>0</v>
      </c>
      <c r="O492" s="274">
        <f t="shared" si="100"/>
        <v>0</v>
      </c>
      <c r="Q492" s="204">
        <f t="shared" si="89"/>
        <v>0</v>
      </c>
      <c r="R492" s="202">
        <f>IF(Q492="Other dry cargo",L492*Alukset_fx!$B$71,IF(OR(Q492="Dry bulk",Q492="Bulk carrier"),L492*Alukset_fx!$B$69,IF(Q492="Tugboat",L492*Alukset_fx!$B$76,IF(OR(Q492="Tanker",Q492="Gas tanker",Q492="Chemical tanker",Q492="Oil tanker"),L492*Alukset_fx!$B$68,IF(OR(Q492="RoRo",Q492="Vehicle carrier"),L492*Alukset_fx!$B$72,IF(Q492="RoPax",L492*Alukset_fx!$B$73,IF(Q492="Container ship",L492*Alukset_fx!$B$70,IF(Q492="Barge",0,L492*Alukset_fx!$B$75))))))))</f>
        <v>0</v>
      </c>
      <c r="S492" s="210">
        <f>IF(L492=0,IF(Q492="Other dry cargo",Alukset_fx!$H$73*(Alukset_Käynnit_Lask!K492^Alukset_fx!$I$73),IF(OR(Q492="Dry Bulk",Q492="Bulk carrier"),Alukset_fx!$H$71*(Alukset_Käynnit_Lask!K492^Alukset_fx!$I$71),IF(Q492="Tugboat",Alukset_fx!$H$78*(Alukset_Käynnit_Lask!K492^Alukset_fx!$I$78),IF(OR(Q492="Tanker",Q492="Gas tanker",Q492="Chemical tanker",Q492="Oil tanker"),Alukset_fx!$H$70*(Alukset_Käynnit_Lask!K492^Alukset_fx!$I$70),IF(Q492="Container ship",Alukset_fx!$H$72*(Alukset_Käynnit_Lask!K492^Alukset_fx!$I$72),IF(Q492="Barge",0,IF(Q492="RoPax",Alukset_fx!$H$75*(Alukset_Käynnit_Lask!K492^Alukset_fx!$I$75),IF(OR(Q492="RoRo",Q492="Vehicle carrier"),Alukset_fx!$H$74*(Alukset_Käynnit_Lask!K492^Alukset_fx!$I$74),Alukset_fx!$H$77*(Alukset_Käynnit_Lask!K492^Alukset_fx!$I$77))))))))),"-")</f>
        <v>0</v>
      </c>
      <c r="T492" s="208">
        <f>IF(R492=0,IF(Q492="Other dry cargo",S492*Alukset_fx!$B$71,IF(OR(Q492="Dry bulk",Q492="Bulk carrier"),S492*Alukset_fx!$B$69,IF(Q492="Tugboat",S492*Alukset_fx!$B$76,IF(OR(Q492="Tanker",Q492="Gas tanker",Q492="Chemical tanker",Q492="Oil tanker"),S492*Alukset_fx!$B$68,IF(OR(Q492="RoRo",Q492="Vehicle carrier"),S492*Alukset_fx!$B$72,IF(Q492="RoPax",S492*Alukset_fx!$B$73,IF(Q492="Container ship",S492*Alukset_fx!$B$70,S492*Alukset_fx!$B$75))))))),"-")</f>
        <v>0</v>
      </c>
      <c r="U492" s="208">
        <f t="shared" si="90"/>
        <v>0</v>
      </c>
      <c r="V492" s="208">
        <f t="shared" si="91"/>
        <v>0</v>
      </c>
      <c r="W492" s="202">
        <f>Alukset_Käynnit!N499</f>
        <v>0</v>
      </c>
      <c r="X492" s="211">
        <f>IF(Q492="Other dry cargo", Alukset_fx!$C$52, IF(OR(Q492="Dry bulk",Q492="Bulk carrier"),Alukset_fx!$C$35,IF(OR(Q492="Tanker",Q492="Gas tanker",Q492="Oil tanker"),Alukset_fx!$C$57,IF(Q492="Chemical tanker",Alukset_fx!$C$56,IF(OR(Q492="Tugboat",Q492="Barge"),0,IF(Q492="Other vessel",Alukset_fx!$C$54,IF(Q492="Container ship",Alukset_fx!$C$37,IF(OR(Q492="RoPax",Q492="RoRo",Q492="Vehicle carrier"),Alukset_fx!$C$55,0))))))))</f>
        <v>0</v>
      </c>
      <c r="Y492" s="211">
        <f>IF(Q492="Other dry cargo", Alukset_fx!$Q$52, IF(OR(Q492="Dry bulk",Q492="Bulk carrier"),Alukset_fx!$Q$35,IF(OR(Q492="Tanker",Q492="Gas tanker",Q492="Oil tanker"),Alukset_fx!$Q$57,IF(Q492="Chemical tanker",Alukset_fx!$Q$56,IF(OR(Q492="Tugboat",Q492="Barge"),0,IF(Q492="Other vessel",Alukset_fx!$Q$54,IF(Q492="Container ship",Alukset_fx!$Q$37,IF(OR(Q492="RoPax",Q492="RoRo",Q492="Vehicle carrier"),Alukset_fx!$Q$55,0))))))))</f>
        <v>0</v>
      </c>
      <c r="Z492" t="str">
        <f t="shared" si="92"/>
        <v>MDO/MGO</v>
      </c>
      <c r="AA492" t="str">
        <f t="shared" si="93"/>
        <v>MSD</v>
      </c>
      <c r="AB492" t="str">
        <f t="shared" si="94"/>
        <v>MDO/MGO</v>
      </c>
      <c r="AC492" t="str">
        <f t="shared" si="95"/>
        <v>MSD</v>
      </c>
      <c r="AD492" t="str">
        <f t="shared" si="96"/>
        <v>MDO/MGO</v>
      </c>
      <c r="AE492" t="str">
        <f t="shared" si="97"/>
        <v>ST</v>
      </c>
      <c r="AG492">
        <f>Alukset_Käynnit!O499</f>
        <v>0</v>
      </c>
      <c r="AH492" s="207">
        <f>IF(AA492="SSD",((U492*Alukset_fx!$B$24)*Alukset_Käynnit_Lask!W492*(Alukset_fx!$K$49)/1000),IF(AA492="MSD",((U492*Alukset_fx!$B$24)*Alukset_Käynnit_Lask!W492*(Alukset_fx!$K$52)/1000),IF(AA492="HSD",((U492*Alukset_fx!$B$24)*Alukset_Käynnit_Lask!W492*(Alukset_fx!$K$55)/1000),0)))</f>
        <v>0</v>
      </c>
      <c r="AI492" s="207">
        <f>IF(AC492="MSD",((V492*Alukset_fx!$B$25)*Alukset_Käynnit_Lask!W492*(Alukset_fx!$L$52)/1000),IF(AC492="HSD",((V492*Alukset_fx!$B$25)*Alukset_Käynnit_Lask!W492*(Alukset_fx!$L$55)/1000),0))</f>
        <v>0</v>
      </c>
      <c r="AJ492" s="207">
        <f>X492*W492*Alukset_fx!$K$61/1000</f>
        <v>0</v>
      </c>
      <c r="AK492">
        <v>0</v>
      </c>
      <c r="AL492" s="207">
        <f>IF(AG492="Käytetty",0,IF(AC492="MSD",((V492*Alukset_fx!$O$25)*Alukset_Käynnit_Lask!O492*(Alukset_fx!$L$52)/1000),IF(AC492="HSD",((V492*Alukset_fx!$O$25)*Alukset_Käynnit_Lask!O492*(Alukset_fx!$L$55)/1000),0)))</f>
        <v>0</v>
      </c>
      <c r="AM492" s="207">
        <f>IF(AG492="Käytetty",0,Y492*O492*Alukset_fx!$K$61/1000)</f>
        <v>0</v>
      </c>
      <c r="AN492" s="213">
        <f t="shared" si="98"/>
        <v>0</v>
      </c>
    </row>
    <row r="493" spans="1:40" x14ac:dyDescent="0.25">
      <c r="A493" s="203">
        <f>Alukset_Käynnit!A500</f>
        <v>0</v>
      </c>
      <c r="B493" s="203">
        <f>Alukset_Käynnit!B500</f>
        <v>0</v>
      </c>
      <c r="C493" s="262">
        <f>Alukset_Käynnit!C500</f>
        <v>0</v>
      </c>
      <c r="D493" s="266">
        <f>Alukset_Käynnit!D500</f>
        <v>0</v>
      </c>
      <c r="E493" s="262">
        <f>Alukset_Käynnit!E500</f>
        <v>0</v>
      </c>
      <c r="F493" s="262">
        <f>Alukset_Käynnit!F500</f>
        <v>0</v>
      </c>
      <c r="G493" s="262">
        <f>Alukset_Käynnit!G500</f>
        <v>0</v>
      </c>
      <c r="H493" s="262">
        <f>Alukset_Käynnit!H500</f>
        <v>0</v>
      </c>
      <c r="I493" s="262">
        <f>Alukset_Käynnit!I500</f>
        <v>0</v>
      </c>
      <c r="J493" s="262">
        <f>Alukset_Käynnit!J500</f>
        <v>0</v>
      </c>
      <c r="K493" s="262">
        <f>Alukset_Käynnit!K500</f>
        <v>0</v>
      </c>
      <c r="L493" s="205">
        <f>Alukset_Käynnit!L500</f>
        <v>0</v>
      </c>
      <c r="N493" s="273">
        <f t="shared" si="99"/>
        <v>0</v>
      </c>
      <c r="O493" s="274">
        <f t="shared" si="100"/>
        <v>0</v>
      </c>
      <c r="Q493" s="204">
        <f t="shared" si="89"/>
        <v>0</v>
      </c>
      <c r="R493" s="202">
        <f>IF(Q493="Other dry cargo",L493*Alukset_fx!$B$71,IF(OR(Q493="Dry bulk",Q493="Bulk carrier"),L493*Alukset_fx!$B$69,IF(Q493="Tugboat",L493*Alukset_fx!$B$76,IF(OR(Q493="Tanker",Q493="Gas tanker",Q493="Chemical tanker",Q493="Oil tanker"),L493*Alukset_fx!$B$68,IF(OR(Q493="RoRo",Q493="Vehicle carrier"),L493*Alukset_fx!$B$72,IF(Q493="RoPax",L493*Alukset_fx!$B$73,IF(Q493="Container ship",L493*Alukset_fx!$B$70,IF(Q493="Barge",0,L493*Alukset_fx!$B$75))))))))</f>
        <v>0</v>
      </c>
      <c r="S493" s="210">
        <f>IF(L493=0,IF(Q493="Other dry cargo",Alukset_fx!$H$73*(Alukset_Käynnit_Lask!K493^Alukset_fx!$I$73),IF(OR(Q493="Dry Bulk",Q493="Bulk carrier"),Alukset_fx!$H$71*(Alukset_Käynnit_Lask!K493^Alukset_fx!$I$71),IF(Q493="Tugboat",Alukset_fx!$H$78*(Alukset_Käynnit_Lask!K493^Alukset_fx!$I$78),IF(OR(Q493="Tanker",Q493="Gas tanker",Q493="Chemical tanker",Q493="Oil tanker"),Alukset_fx!$H$70*(Alukset_Käynnit_Lask!K493^Alukset_fx!$I$70),IF(Q493="Container ship",Alukset_fx!$H$72*(Alukset_Käynnit_Lask!K493^Alukset_fx!$I$72),IF(Q493="Barge",0,IF(Q493="RoPax",Alukset_fx!$H$75*(Alukset_Käynnit_Lask!K493^Alukset_fx!$I$75),IF(OR(Q493="RoRo",Q493="Vehicle carrier"),Alukset_fx!$H$74*(Alukset_Käynnit_Lask!K493^Alukset_fx!$I$74),Alukset_fx!$H$77*(Alukset_Käynnit_Lask!K493^Alukset_fx!$I$77))))))))),"-")</f>
        <v>0</v>
      </c>
      <c r="T493" s="208">
        <f>IF(R493=0,IF(Q493="Other dry cargo",S493*Alukset_fx!$B$71,IF(OR(Q493="Dry bulk",Q493="Bulk carrier"),S493*Alukset_fx!$B$69,IF(Q493="Tugboat",S493*Alukset_fx!$B$76,IF(OR(Q493="Tanker",Q493="Gas tanker",Q493="Chemical tanker",Q493="Oil tanker"),S493*Alukset_fx!$B$68,IF(OR(Q493="RoRo",Q493="Vehicle carrier"),S493*Alukset_fx!$B$72,IF(Q493="RoPax",S493*Alukset_fx!$B$73,IF(Q493="Container ship",S493*Alukset_fx!$B$70,S493*Alukset_fx!$B$75))))))),"-")</f>
        <v>0</v>
      </c>
      <c r="U493" s="208">
        <f t="shared" si="90"/>
        <v>0</v>
      </c>
      <c r="V493" s="208">
        <f t="shared" si="91"/>
        <v>0</v>
      </c>
      <c r="W493" s="202">
        <f>Alukset_Käynnit!N500</f>
        <v>0</v>
      </c>
      <c r="X493" s="211">
        <f>IF(Q493="Other dry cargo", Alukset_fx!$C$52, IF(OR(Q493="Dry bulk",Q493="Bulk carrier"),Alukset_fx!$C$35,IF(OR(Q493="Tanker",Q493="Gas tanker",Q493="Oil tanker"),Alukset_fx!$C$57,IF(Q493="Chemical tanker",Alukset_fx!$C$56,IF(OR(Q493="Tugboat",Q493="Barge"),0,IF(Q493="Other vessel",Alukset_fx!$C$54,IF(Q493="Container ship",Alukset_fx!$C$37,IF(OR(Q493="RoPax",Q493="RoRo",Q493="Vehicle carrier"),Alukset_fx!$C$55,0))))))))</f>
        <v>0</v>
      </c>
      <c r="Y493" s="211">
        <f>IF(Q493="Other dry cargo", Alukset_fx!$Q$52, IF(OR(Q493="Dry bulk",Q493="Bulk carrier"),Alukset_fx!$Q$35,IF(OR(Q493="Tanker",Q493="Gas tanker",Q493="Oil tanker"),Alukset_fx!$Q$57,IF(Q493="Chemical tanker",Alukset_fx!$Q$56,IF(OR(Q493="Tugboat",Q493="Barge"),0,IF(Q493="Other vessel",Alukset_fx!$Q$54,IF(Q493="Container ship",Alukset_fx!$Q$37,IF(OR(Q493="RoPax",Q493="RoRo",Q493="Vehicle carrier"),Alukset_fx!$Q$55,0))))))))</f>
        <v>0</v>
      </c>
      <c r="Z493" t="str">
        <f t="shared" si="92"/>
        <v>MDO/MGO</v>
      </c>
      <c r="AA493" t="str">
        <f t="shared" si="93"/>
        <v>MSD</v>
      </c>
      <c r="AB493" t="str">
        <f t="shared" si="94"/>
        <v>MDO/MGO</v>
      </c>
      <c r="AC493" t="str">
        <f t="shared" si="95"/>
        <v>MSD</v>
      </c>
      <c r="AD493" t="str">
        <f t="shared" si="96"/>
        <v>MDO/MGO</v>
      </c>
      <c r="AE493" t="str">
        <f t="shared" si="97"/>
        <v>ST</v>
      </c>
      <c r="AG493">
        <f>Alukset_Käynnit!O500</f>
        <v>0</v>
      </c>
      <c r="AH493" s="207">
        <f>IF(AA493="SSD",((U493*Alukset_fx!$B$24)*Alukset_Käynnit_Lask!W493*(Alukset_fx!$K$49)/1000),IF(AA493="MSD",((U493*Alukset_fx!$B$24)*Alukset_Käynnit_Lask!W493*(Alukset_fx!$K$52)/1000),IF(AA493="HSD",((U493*Alukset_fx!$B$24)*Alukset_Käynnit_Lask!W493*(Alukset_fx!$K$55)/1000),0)))</f>
        <v>0</v>
      </c>
      <c r="AI493" s="207">
        <f>IF(AC493="MSD",((V493*Alukset_fx!$B$25)*Alukset_Käynnit_Lask!W493*(Alukset_fx!$L$52)/1000),IF(AC493="HSD",((V493*Alukset_fx!$B$25)*Alukset_Käynnit_Lask!W493*(Alukset_fx!$L$55)/1000),0))</f>
        <v>0</v>
      </c>
      <c r="AJ493" s="207">
        <f>X493*W493*Alukset_fx!$K$61/1000</f>
        <v>0</v>
      </c>
      <c r="AK493">
        <v>0</v>
      </c>
      <c r="AL493" s="207">
        <f>IF(AG493="Käytetty",0,IF(AC493="MSD",((V493*Alukset_fx!$O$25)*Alukset_Käynnit_Lask!O493*(Alukset_fx!$L$52)/1000),IF(AC493="HSD",((V493*Alukset_fx!$O$25)*Alukset_Käynnit_Lask!O493*(Alukset_fx!$L$55)/1000),0)))</f>
        <v>0</v>
      </c>
      <c r="AM493" s="207">
        <f>IF(AG493="Käytetty",0,Y493*O493*Alukset_fx!$K$61/1000)</f>
        <v>0</v>
      </c>
      <c r="AN493" s="213">
        <f t="shared" si="98"/>
        <v>0</v>
      </c>
    </row>
    <row r="494" spans="1:40" x14ac:dyDescent="0.25">
      <c r="A494" s="203">
        <f>Alukset_Käynnit!A501</f>
        <v>0</v>
      </c>
      <c r="B494" s="203">
        <f>Alukset_Käynnit!B501</f>
        <v>0</v>
      </c>
      <c r="C494" s="262">
        <f>Alukset_Käynnit!C501</f>
        <v>0</v>
      </c>
      <c r="D494" s="266">
        <f>Alukset_Käynnit!D501</f>
        <v>0</v>
      </c>
      <c r="E494" s="262">
        <f>Alukset_Käynnit!E501</f>
        <v>0</v>
      </c>
      <c r="F494" s="262">
        <f>Alukset_Käynnit!F501</f>
        <v>0</v>
      </c>
      <c r="G494" s="262">
        <f>Alukset_Käynnit!G501</f>
        <v>0</v>
      </c>
      <c r="H494" s="262">
        <f>Alukset_Käynnit!H501</f>
        <v>0</v>
      </c>
      <c r="I494" s="262">
        <f>Alukset_Käynnit!I501</f>
        <v>0</v>
      </c>
      <c r="J494" s="262">
        <f>Alukset_Käynnit!J501</f>
        <v>0</v>
      </c>
      <c r="K494" s="262">
        <f>Alukset_Käynnit!K501</f>
        <v>0</v>
      </c>
      <c r="L494" s="205">
        <f>Alukset_Käynnit!L501</f>
        <v>0</v>
      </c>
      <c r="N494" s="273">
        <f t="shared" si="99"/>
        <v>0</v>
      </c>
      <c r="O494" s="274">
        <f t="shared" si="100"/>
        <v>0</v>
      </c>
      <c r="Q494" s="204">
        <f t="shared" si="89"/>
        <v>0</v>
      </c>
      <c r="R494" s="202">
        <f>IF(Q494="Other dry cargo",L494*Alukset_fx!$B$71,IF(OR(Q494="Dry bulk",Q494="Bulk carrier"),L494*Alukset_fx!$B$69,IF(Q494="Tugboat",L494*Alukset_fx!$B$76,IF(OR(Q494="Tanker",Q494="Gas tanker",Q494="Chemical tanker",Q494="Oil tanker"),L494*Alukset_fx!$B$68,IF(OR(Q494="RoRo",Q494="Vehicle carrier"),L494*Alukset_fx!$B$72,IF(Q494="RoPax",L494*Alukset_fx!$B$73,IF(Q494="Container ship",L494*Alukset_fx!$B$70,IF(Q494="Barge",0,L494*Alukset_fx!$B$75))))))))</f>
        <v>0</v>
      </c>
      <c r="S494" s="210">
        <f>IF(L494=0,IF(Q494="Other dry cargo",Alukset_fx!$H$73*(Alukset_Käynnit_Lask!K494^Alukset_fx!$I$73),IF(OR(Q494="Dry Bulk",Q494="Bulk carrier"),Alukset_fx!$H$71*(Alukset_Käynnit_Lask!K494^Alukset_fx!$I$71),IF(Q494="Tugboat",Alukset_fx!$H$78*(Alukset_Käynnit_Lask!K494^Alukset_fx!$I$78),IF(OR(Q494="Tanker",Q494="Gas tanker",Q494="Chemical tanker",Q494="Oil tanker"),Alukset_fx!$H$70*(Alukset_Käynnit_Lask!K494^Alukset_fx!$I$70),IF(Q494="Container ship",Alukset_fx!$H$72*(Alukset_Käynnit_Lask!K494^Alukset_fx!$I$72),IF(Q494="Barge",0,IF(Q494="RoPax",Alukset_fx!$H$75*(Alukset_Käynnit_Lask!K494^Alukset_fx!$I$75),IF(OR(Q494="RoRo",Q494="Vehicle carrier"),Alukset_fx!$H$74*(Alukset_Käynnit_Lask!K494^Alukset_fx!$I$74),Alukset_fx!$H$77*(Alukset_Käynnit_Lask!K494^Alukset_fx!$I$77))))))))),"-")</f>
        <v>0</v>
      </c>
      <c r="T494" s="208">
        <f>IF(R494=0,IF(Q494="Other dry cargo",S494*Alukset_fx!$B$71,IF(OR(Q494="Dry bulk",Q494="Bulk carrier"),S494*Alukset_fx!$B$69,IF(Q494="Tugboat",S494*Alukset_fx!$B$76,IF(OR(Q494="Tanker",Q494="Gas tanker",Q494="Chemical tanker",Q494="Oil tanker"),S494*Alukset_fx!$B$68,IF(OR(Q494="RoRo",Q494="Vehicle carrier"),S494*Alukset_fx!$B$72,IF(Q494="RoPax",S494*Alukset_fx!$B$73,IF(Q494="Container ship",S494*Alukset_fx!$B$70,S494*Alukset_fx!$B$75))))))),"-")</f>
        <v>0</v>
      </c>
      <c r="U494" s="208">
        <f t="shared" si="90"/>
        <v>0</v>
      </c>
      <c r="V494" s="208">
        <f t="shared" si="91"/>
        <v>0</v>
      </c>
      <c r="W494" s="202">
        <f>Alukset_Käynnit!N501</f>
        <v>0</v>
      </c>
      <c r="X494" s="211">
        <f>IF(Q494="Other dry cargo", Alukset_fx!$C$52, IF(OR(Q494="Dry bulk",Q494="Bulk carrier"),Alukset_fx!$C$35,IF(OR(Q494="Tanker",Q494="Gas tanker",Q494="Oil tanker"),Alukset_fx!$C$57,IF(Q494="Chemical tanker",Alukset_fx!$C$56,IF(OR(Q494="Tugboat",Q494="Barge"),0,IF(Q494="Other vessel",Alukset_fx!$C$54,IF(Q494="Container ship",Alukset_fx!$C$37,IF(OR(Q494="RoPax",Q494="RoRo",Q494="Vehicle carrier"),Alukset_fx!$C$55,0))))))))</f>
        <v>0</v>
      </c>
      <c r="Y494" s="211">
        <f>IF(Q494="Other dry cargo", Alukset_fx!$Q$52, IF(OR(Q494="Dry bulk",Q494="Bulk carrier"),Alukset_fx!$Q$35,IF(OR(Q494="Tanker",Q494="Gas tanker",Q494="Oil tanker"),Alukset_fx!$Q$57,IF(Q494="Chemical tanker",Alukset_fx!$Q$56,IF(OR(Q494="Tugboat",Q494="Barge"),0,IF(Q494="Other vessel",Alukset_fx!$Q$54,IF(Q494="Container ship",Alukset_fx!$Q$37,IF(OR(Q494="RoPax",Q494="RoRo",Q494="Vehicle carrier"),Alukset_fx!$Q$55,0))))))))</f>
        <v>0</v>
      </c>
      <c r="Z494" t="str">
        <f t="shared" si="92"/>
        <v>MDO/MGO</v>
      </c>
      <c r="AA494" t="str">
        <f t="shared" si="93"/>
        <v>MSD</v>
      </c>
      <c r="AB494" t="str">
        <f t="shared" si="94"/>
        <v>MDO/MGO</v>
      </c>
      <c r="AC494" t="str">
        <f t="shared" si="95"/>
        <v>MSD</v>
      </c>
      <c r="AD494" t="str">
        <f t="shared" si="96"/>
        <v>MDO/MGO</v>
      </c>
      <c r="AE494" t="str">
        <f t="shared" si="97"/>
        <v>ST</v>
      </c>
      <c r="AG494">
        <f>Alukset_Käynnit!O501</f>
        <v>0</v>
      </c>
      <c r="AH494" s="207">
        <f>IF(AA494="SSD",((U494*Alukset_fx!$B$24)*Alukset_Käynnit_Lask!W494*(Alukset_fx!$K$49)/1000),IF(AA494="MSD",((U494*Alukset_fx!$B$24)*Alukset_Käynnit_Lask!W494*(Alukset_fx!$K$52)/1000),IF(AA494="HSD",((U494*Alukset_fx!$B$24)*Alukset_Käynnit_Lask!W494*(Alukset_fx!$K$55)/1000),0)))</f>
        <v>0</v>
      </c>
      <c r="AI494" s="207">
        <f>IF(AC494="MSD",((V494*Alukset_fx!$B$25)*Alukset_Käynnit_Lask!W494*(Alukset_fx!$L$52)/1000),IF(AC494="HSD",((V494*Alukset_fx!$B$25)*Alukset_Käynnit_Lask!W494*(Alukset_fx!$L$55)/1000),0))</f>
        <v>0</v>
      </c>
      <c r="AJ494" s="207">
        <f>X494*W494*Alukset_fx!$K$61/1000</f>
        <v>0</v>
      </c>
      <c r="AK494">
        <v>0</v>
      </c>
      <c r="AL494" s="207">
        <f>IF(AG494="Käytetty",0,IF(AC494="MSD",((V494*Alukset_fx!$O$25)*Alukset_Käynnit_Lask!O494*(Alukset_fx!$L$52)/1000),IF(AC494="HSD",((V494*Alukset_fx!$O$25)*Alukset_Käynnit_Lask!O494*(Alukset_fx!$L$55)/1000),0)))</f>
        <v>0</v>
      </c>
      <c r="AM494" s="207">
        <f>IF(AG494="Käytetty",0,Y494*O494*Alukset_fx!$K$61/1000)</f>
        <v>0</v>
      </c>
      <c r="AN494" s="213">
        <f t="shared" si="98"/>
        <v>0</v>
      </c>
    </row>
    <row r="495" spans="1:40" x14ac:dyDescent="0.25">
      <c r="A495" s="203">
        <f>Alukset_Käynnit!A502</f>
        <v>0</v>
      </c>
      <c r="B495" s="203">
        <f>Alukset_Käynnit!B502</f>
        <v>0</v>
      </c>
      <c r="C495" s="262">
        <f>Alukset_Käynnit!C502</f>
        <v>0</v>
      </c>
      <c r="D495" s="266">
        <f>Alukset_Käynnit!D502</f>
        <v>0</v>
      </c>
      <c r="E495" s="262">
        <f>Alukset_Käynnit!E502</f>
        <v>0</v>
      </c>
      <c r="F495" s="262">
        <f>Alukset_Käynnit!F502</f>
        <v>0</v>
      </c>
      <c r="G495" s="262">
        <f>Alukset_Käynnit!G502</f>
        <v>0</v>
      </c>
      <c r="H495" s="262">
        <f>Alukset_Käynnit!H502</f>
        <v>0</v>
      </c>
      <c r="I495" s="262">
        <f>Alukset_Käynnit!I502</f>
        <v>0</v>
      </c>
      <c r="J495" s="262">
        <f>Alukset_Käynnit!J502</f>
        <v>0</v>
      </c>
      <c r="K495" s="262">
        <f>Alukset_Käynnit!K502</f>
        <v>0</v>
      </c>
      <c r="L495" s="205">
        <f>Alukset_Käynnit!L502</f>
        <v>0</v>
      </c>
      <c r="N495" s="273">
        <f t="shared" si="99"/>
        <v>0</v>
      </c>
      <c r="O495" s="274">
        <f t="shared" si="100"/>
        <v>0</v>
      </c>
      <c r="Q495" s="204">
        <f t="shared" si="89"/>
        <v>0</v>
      </c>
      <c r="R495" s="202">
        <f>IF(Q495="Other dry cargo",L495*Alukset_fx!$B$71,IF(OR(Q495="Dry bulk",Q495="Bulk carrier"),L495*Alukset_fx!$B$69,IF(Q495="Tugboat",L495*Alukset_fx!$B$76,IF(OR(Q495="Tanker",Q495="Gas tanker",Q495="Chemical tanker",Q495="Oil tanker"),L495*Alukset_fx!$B$68,IF(OR(Q495="RoRo",Q495="Vehicle carrier"),L495*Alukset_fx!$B$72,IF(Q495="RoPax",L495*Alukset_fx!$B$73,IF(Q495="Container ship",L495*Alukset_fx!$B$70,IF(Q495="Barge",0,L495*Alukset_fx!$B$75))))))))</f>
        <v>0</v>
      </c>
      <c r="S495" s="210">
        <f>IF(L495=0,IF(Q495="Other dry cargo",Alukset_fx!$H$73*(Alukset_Käynnit_Lask!K495^Alukset_fx!$I$73),IF(OR(Q495="Dry Bulk",Q495="Bulk carrier"),Alukset_fx!$H$71*(Alukset_Käynnit_Lask!K495^Alukset_fx!$I$71),IF(Q495="Tugboat",Alukset_fx!$H$78*(Alukset_Käynnit_Lask!K495^Alukset_fx!$I$78),IF(OR(Q495="Tanker",Q495="Gas tanker",Q495="Chemical tanker",Q495="Oil tanker"),Alukset_fx!$H$70*(Alukset_Käynnit_Lask!K495^Alukset_fx!$I$70),IF(Q495="Container ship",Alukset_fx!$H$72*(Alukset_Käynnit_Lask!K495^Alukset_fx!$I$72),IF(Q495="Barge",0,IF(Q495="RoPax",Alukset_fx!$H$75*(Alukset_Käynnit_Lask!K495^Alukset_fx!$I$75),IF(OR(Q495="RoRo",Q495="Vehicle carrier"),Alukset_fx!$H$74*(Alukset_Käynnit_Lask!K495^Alukset_fx!$I$74),Alukset_fx!$H$77*(Alukset_Käynnit_Lask!K495^Alukset_fx!$I$77))))))))),"-")</f>
        <v>0</v>
      </c>
      <c r="T495" s="208">
        <f>IF(R495=0,IF(Q495="Other dry cargo",S495*Alukset_fx!$B$71,IF(OR(Q495="Dry bulk",Q495="Bulk carrier"),S495*Alukset_fx!$B$69,IF(Q495="Tugboat",S495*Alukset_fx!$B$76,IF(OR(Q495="Tanker",Q495="Gas tanker",Q495="Chemical tanker",Q495="Oil tanker"),S495*Alukset_fx!$B$68,IF(OR(Q495="RoRo",Q495="Vehicle carrier"),S495*Alukset_fx!$B$72,IF(Q495="RoPax",S495*Alukset_fx!$B$73,IF(Q495="Container ship",S495*Alukset_fx!$B$70,S495*Alukset_fx!$B$75))))))),"-")</f>
        <v>0</v>
      </c>
      <c r="U495" s="208">
        <f t="shared" si="90"/>
        <v>0</v>
      </c>
      <c r="V495" s="208">
        <f t="shared" si="91"/>
        <v>0</v>
      </c>
      <c r="W495" s="202">
        <f>Alukset_Käynnit!N502</f>
        <v>0</v>
      </c>
      <c r="X495" s="211">
        <f>IF(Q495="Other dry cargo", Alukset_fx!$C$52, IF(OR(Q495="Dry bulk",Q495="Bulk carrier"),Alukset_fx!$C$35,IF(OR(Q495="Tanker",Q495="Gas tanker",Q495="Oil tanker"),Alukset_fx!$C$57,IF(Q495="Chemical tanker",Alukset_fx!$C$56,IF(OR(Q495="Tugboat",Q495="Barge"),0,IF(Q495="Other vessel",Alukset_fx!$C$54,IF(Q495="Container ship",Alukset_fx!$C$37,IF(OR(Q495="RoPax",Q495="RoRo",Q495="Vehicle carrier"),Alukset_fx!$C$55,0))))))))</f>
        <v>0</v>
      </c>
      <c r="Y495" s="211">
        <f>IF(Q495="Other dry cargo", Alukset_fx!$Q$52, IF(OR(Q495="Dry bulk",Q495="Bulk carrier"),Alukset_fx!$Q$35,IF(OR(Q495="Tanker",Q495="Gas tanker",Q495="Oil tanker"),Alukset_fx!$Q$57,IF(Q495="Chemical tanker",Alukset_fx!$Q$56,IF(OR(Q495="Tugboat",Q495="Barge"),0,IF(Q495="Other vessel",Alukset_fx!$Q$54,IF(Q495="Container ship",Alukset_fx!$Q$37,IF(OR(Q495="RoPax",Q495="RoRo",Q495="Vehicle carrier"),Alukset_fx!$Q$55,0))))))))</f>
        <v>0</v>
      </c>
      <c r="Z495" t="str">
        <f t="shared" si="92"/>
        <v>MDO/MGO</v>
      </c>
      <c r="AA495" t="str">
        <f t="shared" si="93"/>
        <v>MSD</v>
      </c>
      <c r="AB495" t="str">
        <f t="shared" si="94"/>
        <v>MDO/MGO</v>
      </c>
      <c r="AC495" t="str">
        <f t="shared" si="95"/>
        <v>MSD</v>
      </c>
      <c r="AD495" t="str">
        <f t="shared" si="96"/>
        <v>MDO/MGO</v>
      </c>
      <c r="AE495" t="str">
        <f t="shared" si="97"/>
        <v>ST</v>
      </c>
      <c r="AG495">
        <f>Alukset_Käynnit!O502</f>
        <v>0</v>
      </c>
      <c r="AH495" s="207">
        <f>IF(AA495="SSD",((U495*Alukset_fx!$B$24)*Alukset_Käynnit_Lask!W495*(Alukset_fx!$K$49)/1000),IF(AA495="MSD",((U495*Alukset_fx!$B$24)*Alukset_Käynnit_Lask!W495*(Alukset_fx!$K$52)/1000),IF(AA495="HSD",((U495*Alukset_fx!$B$24)*Alukset_Käynnit_Lask!W495*(Alukset_fx!$K$55)/1000),0)))</f>
        <v>0</v>
      </c>
      <c r="AI495" s="207">
        <f>IF(AC495="MSD",((V495*Alukset_fx!$B$25)*Alukset_Käynnit_Lask!W495*(Alukset_fx!$L$52)/1000),IF(AC495="HSD",((V495*Alukset_fx!$B$25)*Alukset_Käynnit_Lask!W495*(Alukset_fx!$L$55)/1000),0))</f>
        <v>0</v>
      </c>
      <c r="AJ495" s="207">
        <f>X495*W495*Alukset_fx!$K$61/1000</f>
        <v>0</v>
      </c>
      <c r="AK495">
        <v>0</v>
      </c>
      <c r="AL495" s="207">
        <f>IF(AG495="Käytetty",0,IF(AC495="MSD",((V495*Alukset_fx!$O$25)*Alukset_Käynnit_Lask!O495*(Alukset_fx!$L$52)/1000),IF(AC495="HSD",((V495*Alukset_fx!$O$25)*Alukset_Käynnit_Lask!O495*(Alukset_fx!$L$55)/1000),0)))</f>
        <v>0</v>
      </c>
      <c r="AM495" s="207">
        <f>IF(AG495="Käytetty",0,Y495*O495*Alukset_fx!$K$61/1000)</f>
        <v>0</v>
      </c>
      <c r="AN495" s="213">
        <f t="shared" si="98"/>
        <v>0</v>
      </c>
    </row>
    <row r="496" spans="1:40" x14ac:dyDescent="0.25">
      <c r="A496" s="203">
        <f>Alukset_Käynnit!A503</f>
        <v>0</v>
      </c>
      <c r="B496" s="203">
        <f>Alukset_Käynnit!B503</f>
        <v>0</v>
      </c>
      <c r="C496" s="262">
        <f>Alukset_Käynnit!C503</f>
        <v>0</v>
      </c>
      <c r="D496" s="266">
        <f>Alukset_Käynnit!D503</f>
        <v>0</v>
      </c>
      <c r="E496" s="262">
        <f>Alukset_Käynnit!E503</f>
        <v>0</v>
      </c>
      <c r="F496" s="262">
        <f>Alukset_Käynnit!F503</f>
        <v>0</v>
      </c>
      <c r="G496" s="262">
        <f>Alukset_Käynnit!G503</f>
        <v>0</v>
      </c>
      <c r="H496" s="262">
        <f>Alukset_Käynnit!H503</f>
        <v>0</v>
      </c>
      <c r="I496" s="262">
        <f>Alukset_Käynnit!I503</f>
        <v>0</v>
      </c>
      <c r="J496" s="262">
        <f>Alukset_Käynnit!J503</f>
        <v>0</v>
      </c>
      <c r="K496" s="262">
        <f>Alukset_Käynnit!K503</f>
        <v>0</v>
      </c>
      <c r="L496" s="205">
        <f>Alukset_Käynnit!L503</f>
        <v>0</v>
      </c>
      <c r="N496" s="273">
        <f t="shared" si="99"/>
        <v>0</v>
      </c>
      <c r="O496" s="274">
        <f t="shared" si="100"/>
        <v>0</v>
      </c>
      <c r="Q496" s="204">
        <f t="shared" si="89"/>
        <v>0</v>
      </c>
      <c r="R496" s="202">
        <f>IF(Q496="Other dry cargo",L496*Alukset_fx!$B$71,IF(OR(Q496="Dry bulk",Q496="Bulk carrier"),L496*Alukset_fx!$B$69,IF(Q496="Tugboat",L496*Alukset_fx!$B$76,IF(OR(Q496="Tanker",Q496="Gas tanker",Q496="Chemical tanker",Q496="Oil tanker"),L496*Alukset_fx!$B$68,IF(OR(Q496="RoRo",Q496="Vehicle carrier"),L496*Alukset_fx!$B$72,IF(Q496="RoPax",L496*Alukset_fx!$B$73,IF(Q496="Container ship",L496*Alukset_fx!$B$70,IF(Q496="Barge",0,L496*Alukset_fx!$B$75))))))))</f>
        <v>0</v>
      </c>
      <c r="S496" s="210">
        <f>IF(L496=0,IF(Q496="Other dry cargo",Alukset_fx!$H$73*(Alukset_Käynnit_Lask!K496^Alukset_fx!$I$73),IF(OR(Q496="Dry Bulk",Q496="Bulk carrier"),Alukset_fx!$H$71*(Alukset_Käynnit_Lask!K496^Alukset_fx!$I$71),IF(Q496="Tugboat",Alukset_fx!$H$78*(Alukset_Käynnit_Lask!K496^Alukset_fx!$I$78),IF(OR(Q496="Tanker",Q496="Gas tanker",Q496="Chemical tanker",Q496="Oil tanker"),Alukset_fx!$H$70*(Alukset_Käynnit_Lask!K496^Alukset_fx!$I$70),IF(Q496="Container ship",Alukset_fx!$H$72*(Alukset_Käynnit_Lask!K496^Alukset_fx!$I$72),IF(Q496="Barge",0,IF(Q496="RoPax",Alukset_fx!$H$75*(Alukset_Käynnit_Lask!K496^Alukset_fx!$I$75),IF(OR(Q496="RoRo",Q496="Vehicle carrier"),Alukset_fx!$H$74*(Alukset_Käynnit_Lask!K496^Alukset_fx!$I$74),Alukset_fx!$H$77*(Alukset_Käynnit_Lask!K496^Alukset_fx!$I$77))))))))),"-")</f>
        <v>0</v>
      </c>
      <c r="T496" s="208">
        <f>IF(R496=0,IF(Q496="Other dry cargo",S496*Alukset_fx!$B$71,IF(OR(Q496="Dry bulk",Q496="Bulk carrier"),S496*Alukset_fx!$B$69,IF(Q496="Tugboat",S496*Alukset_fx!$B$76,IF(OR(Q496="Tanker",Q496="Gas tanker",Q496="Chemical tanker",Q496="Oil tanker"),S496*Alukset_fx!$B$68,IF(OR(Q496="RoRo",Q496="Vehicle carrier"),S496*Alukset_fx!$B$72,IF(Q496="RoPax",S496*Alukset_fx!$B$73,IF(Q496="Container ship",S496*Alukset_fx!$B$70,S496*Alukset_fx!$B$75))))))),"-")</f>
        <v>0</v>
      </c>
      <c r="U496" s="208">
        <f t="shared" si="90"/>
        <v>0</v>
      </c>
      <c r="V496" s="208">
        <f t="shared" si="91"/>
        <v>0</v>
      </c>
      <c r="W496" s="202">
        <f>Alukset_Käynnit!N503</f>
        <v>0</v>
      </c>
      <c r="X496" s="211">
        <f>IF(Q496="Other dry cargo", Alukset_fx!$C$52, IF(OR(Q496="Dry bulk",Q496="Bulk carrier"),Alukset_fx!$C$35,IF(OR(Q496="Tanker",Q496="Gas tanker",Q496="Oil tanker"),Alukset_fx!$C$57,IF(Q496="Chemical tanker",Alukset_fx!$C$56,IF(OR(Q496="Tugboat",Q496="Barge"),0,IF(Q496="Other vessel",Alukset_fx!$C$54,IF(Q496="Container ship",Alukset_fx!$C$37,IF(OR(Q496="RoPax",Q496="RoRo",Q496="Vehicle carrier"),Alukset_fx!$C$55,0))))))))</f>
        <v>0</v>
      </c>
      <c r="Y496" s="211">
        <f>IF(Q496="Other dry cargo", Alukset_fx!$Q$52, IF(OR(Q496="Dry bulk",Q496="Bulk carrier"),Alukset_fx!$Q$35,IF(OR(Q496="Tanker",Q496="Gas tanker",Q496="Oil tanker"),Alukset_fx!$Q$57,IF(Q496="Chemical tanker",Alukset_fx!$Q$56,IF(OR(Q496="Tugboat",Q496="Barge"),0,IF(Q496="Other vessel",Alukset_fx!$Q$54,IF(Q496="Container ship",Alukset_fx!$Q$37,IF(OR(Q496="RoPax",Q496="RoRo",Q496="Vehicle carrier"),Alukset_fx!$Q$55,0))))))))</f>
        <v>0</v>
      </c>
      <c r="Z496" t="str">
        <f t="shared" si="92"/>
        <v>MDO/MGO</v>
      </c>
      <c r="AA496" t="str">
        <f t="shared" si="93"/>
        <v>MSD</v>
      </c>
      <c r="AB496" t="str">
        <f t="shared" si="94"/>
        <v>MDO/MGO</v>
      </c>
      <c r="AC496" t="str">
        <f t="shared" si="95"/>
        <v>MSD</v>
      </c>
      <c r="AD496" t="str">
        <f t="shared" si="96"/>
        <v>MDO/MGO</v>
      </c>
      <c r="AE496" t="str">
        <f t="shared" si="97"/>
        <v>ST</v>
      </c>
      <c r="AG496">
        <f>Alukset_Käynnit!O503</f>
        <v>0</v>
      </c>
      <c r="AH496" s="207">
        <f>IF(AA496="SSD",((U496*Alukset_fx!$B$24)*Alukset_Käynnit_Lask!W496*(Alukset_fx!$K$49)/1000),IF(AA496="MSD",((U496*Alukset_fx!$B$24)*Alukset_Käynnit_Lask!W496*(Alukset_fx!$K$52)/1000),IF(AA496="HSD",((U496*Alukset_fx!$B$24)*Alukset_Käynnit_Lask!W496*(Alukset_fx!$K$55)/1000),0)))</f>
        <v>0</v>
      </c>
      <c r="AI496" s="207">
        <f>IF(AC496="MSD",((V496*Alukset_fx!$B$25)*Alukset_Käynnit_Lask!W496*(Alukset_fx!$L$52)/1000),IF(AC496="HSD",((V496*Alukset_fx!$B$25)*Alukset_Käynnit_Lask!W496*(Alukset_fx!$L$55)/1000),0))</f>
        <v>0</v>
      </c>
      <c r="AJ496" s="207">
        <f>X496*W496*Alukset_fx!$K$61/1000</f>
        <v>0</v>
      </c>
      <c r="AK496">
        <v>0</v>
      </c>
      <c r="AL496" s="207">
        <f>IF(AG496="Käytetty",0,IF(AC496="MSD",((V496*Alukset_fx!$O$25)*Alukset_Käynnit_Lask!O496*(Alukset_fx!$L$52)/1000),IF(AC496="HSD",((V496*Alukset_fx!$O$25)*Alukset_Käynnit_Lask!O496*(Alukset_fx!$L$55)/1000),0)))</f>
        <v>0</v>
      </c>
      <c r="AM496" s="207">
        <f>IF(AG496="Käytetty",0,Y496*O496*Alukset_fx!$K$61/1000)</f>
        <v>0</v>
      </c>
      <c r="AN496" s="213">
        <f t="shared" si="98"/>
        <v>0</v>
      </c>
    </row>
    <row r="497" spans="1:40" x14ac:dyDescent="0.25">
      <c r="A497" s="203">
        <f>Alukset_Käynnit!A504</f>
        <v>0</v>
      </c>
      <c r="B497" s="203">
        <f>Alukset_Käynnit!B504</f>
        <v>0</v>
      </c>
      <c r="C497" s="262">
        <f>Alukset_Käynnit!C504</f>
        <v>0</v>
      </c>
      <c r="D497" s="266">
        <f>Alukset_Käynnit!D504</f>
        <v>0</v>
      </c>
      <c r="E497" s="262">
        <f>Alukset_Käynnit!E504</f>
        <v>0</v>
      </c>
      <c r="F497" s="262">
        <f>Alukset_Käynnit!F504</f>
        <v>0</v>
      </c>
      <c r="G497" s="262">
        <f>Alukset_Käynnit!G504</f>
        <v>0</v>
      </c>
      <c r="H497" s="262">
        <f>Alukset_Käynnit!H504</f>
        <v>0</v>
      </c>
      <c r="I497" s="262">
        <f>Alukset_Käynnit!I504</f>
        <v>0</v>
      </c>
      <c r="J497" s="262">
        <f>Alukset_Käynnit!J504</f>
        <v>0</v>
      </c>
      <c r="K497" s="262">
        <f>Alukset_Käynnit!K504</f>
        <v>0</v>
      </c>
      <c r="L497" s="205">
        <f>Alukset_Käynnit!L504</f>
        <v>0</v>
      </c>
      <c r="N497" s="273">
        <f t="shared" si="99"/>
        <v>0</v>
      </c>
      <c r="O497" s="274">
        <f t="shared" si="100"/>
        <v>0</v>
      </c>
      <c r="Q497" s="204">
        <f t="shared" si="89"/>
        <v>0</v>
      </c>
      <c r="R497" s="202">
        <f>IF(Q497="Other dry cargo",L497*Alukset_fx!$B$71,IF(OR(Q497="Dry bulk",Q497="Bulk carrier"),L497*Alukset_fx!$B$69,IF(Q497="Tugboat",L497*Alukset_fx!$B$76,IF(OR(Q497="Tanker",Q497="Gas tanker",Q497="Chemical tanker",Q497="Oil tanker"),L497*Alukset_fx!$B$68,IF(OR(Q497="RoRo",Q497="Vehicle carrier"),L497*Alukset_fx!$B$72,IF(Q497="RoPax",L497*Alukset_fx!$B$73,IF(Q497="Container ship",L497*Alukset_fx!$B$70,IF(Q497="Barge",0,L497*Alukset_fx!$B$75))))))))</f>
        <v>0</v>
      </c>
      <c r="S497" s="210">
        <f>IF(L497=0,IF(Q497="Other dry cargo",Alukset_fx!$H$73*(Alukset_Käynnit_Lask!K497^Alukset_fx!$I$73),IF(OR(Q497="Dry Bulk",Q497="Bulk carrier"),Alukset_fx!$H$71*(Alukset_Käynnit_Lask!K497^Alukset_fx!$I$71),IF(Q497="Tugboat",Alukset_fx!$H$78*(Alukset_Käynnit_Lask!K497^Alukset_fx!$I$78),IF(OR(Q497="Tanker",Q497="Gas tanker",Q497="Chemical tanker",Q497="Oil tanker"),Alukset_fx!$H$70*(Alukset_Käynnit_Lask!K497^Alukset_fx!$I$70),IF(Q497="Container ship",Alukset_fx!$H$72*(Alukset_Käynnit_Lask!K497^Alukset_fx!$I$72),IF(Q497="Barge",0,IF(Q497="RoPax",Alukset_fx!$H$75*(Alukset_Käynnit_Lask!K497^Alukset_fx!$I$75),IF(OR(Q497="RoRo",Q497="Vehicle carrier"),Alukset_fx!$H$74*(Alukset_Käynnit_Lask!K497^Alukset_fx!$I$74),Alukset_fx!$H$77*(Alukset_Käynnit_Lask!K497^Alukset_fx!$I$77))))))))),"-")</f>
        <v>0</v>
      </c>
      <c r="T497" s="208">
        <f>IF(R497=0,IF(Q497="Other dry cargo",S497*Alukset_fx!$B$71,IF(OR(Q497="Dry bulk",Q497="Bulk carrier"),S497*Alukset_fx!$B$69,IF(Q497="Tugboat",S497*Alukset_fx!$B$76,IF(OR(Q497="Tanker",Q497="Gas tanker",Q497="Chemical tanker",Q497="Oil tanker"),S497*Alukset_fx!$B$68,IF(OR(Q497="RoRo",Q497="Vehicle carrier"),S497*Alukset_fx!$B$72,IF(Q497="RoPax",S497*Alukset_fx!$B$73,IF(Q497="Container ship",S497*Alukset_fx!$B$70,S497*Alukset_fx!$B$75))))))),"-")</f>
        <v>0</v>
      </c>
      <c r="U497" s="208">
        <f t="shared" si="90"/>
        <v>0</v>
      </c>
      <c r="V497" s="208">
        <f t="shared" si="91"/>
        <v>0</v>
      </c>
      <c r="W497" s="202">
        <f>Alukset_Käynnit!N504</f>
        <v>0</v>
      </c>
      <c r="X497" s="211">
        <f>IF(Q497="Other dry cargo", Alukset_fx!$C$52, IF(OR(Q497="Dry bulk",Q497="Bulk carrier"),Alukset_fx!$C$35,IF(OR(Q497="Tanker",Q497="Gas tanker",Q497="Oil tanker"),Alukset_fx!$C$57,IF(Q497="Chemical tanker",Alukset_fx!$C$56,IF(OR(Q497="Tugboat",Q497="Barge"),0,IF(Q497="Other vessel",Alukset_fx!$C$54,IF(Q497="Container ship",Alukset_fx!$C$37,IF(OR(Q497="RoPax",Q497="RoRo",Q497="Vehicle carrier"),Alukset_fx!$C$55,0))))))))</f>
        <v>0</v>
      </c>
      <c r="Y497" s="211">
        <f>IF(Q497="Other dry cargo", Alukset_fx!$Q$52, IF(OR(Q497="Dry bulk",Q497="Bulk carrier"),Alukset_fx!$Q$35,IF(OR(Q497="Tanker",Q497="Gas tanker",Q497="Oil tanker"),Alukset_fx!$Q$57,IF(Q497="Chemical tanker",Alukset_fx!$Q$56,IF(OR(Q497="Tugboat",Q497="Barge"),0,IF(Q497="Other vessel",Alukset_fx!$Q$54,IF(Q497="Container ship",Alukset_fx!$Q$37,IF(OR(Q497="RoPax",Q497="RoRo",Q497="Vehicle carrier"),Alukset_fx!$Q$55,0))))))))</f>
        <v>0</v>
      </c>
      <c r="Z497" t="str">
        <f t="shared" si="92"/>
        <v>MDO/MGO</v>
      </c>
      <c r="AA497" t="str">
        <f t="shared" si="93"/>
        <v>MSD</v>
      </c>
      <c r="AB497" t="str">
        <f t="shared" si="94"/>
        <v>MDO/MGO</v>
      </c>
      <c r="AC497" t="str">
        <f t="shared" si="95"/>
        <v>MSD</v>
      </c>
      <c r="AD497" t="str">
        <f t="shared" si="96"/>
        <v>MDO/MGO</v>
      </c>
      <c r="AE497" t="str">
        <f t="shared" si="97"/>
        <v>ST</v>
      </c>
      <c r="AG497">
        <f>Alukset_Käynnit!O504</f>
        <v>0</v>
      </c>
      <c r="AH497" s="207">
        <f>IF(AA497="SSD",((U497*Alukset_fx!$B$24)*Alukset_Käynnit_Lask!W497*(Alukset_fx!$K$49)/1000),IF(AA497="MSD",((U497*Alukset_fx!$B$24)*Alukset_Käynnit_Lask!W497*(Alukset_fx!$K$52)/1000),IF(AA497="HSD",((U497*Alukset_fx!$B$24)*Alukset_Käynnit_Lask!W497*(Alukset_fx!$K$55)/1000),0)))</f>
        <v>0</v>
      </c>
      <c r="AI497" s="207">
        <f>IF(AC497="MSD",((V497*Alukset_fx!$B$25)*Alukset_Käynnit_Lask!W497*(Alukset_fx!$L$52)/1000),IF(AC497="HSD",((V497*Alukset_fx!$B$25)*Alukset_Käynnit_Lask!W497*(Alukset_fx!$L$55)/1000),0))</f>
        <v>0</v>
      </c>
      <c r="AJ497" s="207">
        <f>X497*W497*Alukset_fx!$K$61/1000</f>
        <v>0</v>
      </c>
      <c r="AK497">
        <v>0</v>
      </c>
      <c r="AL497" s="207">
        <f>IF(AG497="Käytetty",0,IF(AC497="MSD",((V497*Alukset_fx!$O$25)*Alukset_Käynnit_Lask!O497*(Alukset_fx!$L$52)/1000),IF(AC497="HSD",((V497*Alukset_fx!$O$25)*Alukset_Käynnit_Lask!O497*(Alukset_fx!$L$55)/1000),0)))</f>
        <v>0</v>
      </c>
      <c r="AM497" s="207">
        <f>IF(AG497="Käytetty",0,Y497*O497*Alukset_fx!$K$61/1000)</f>
        <v>0</v>
      </c>
      <c r="AN497" s="213">
        <f t="shared" si="98"/>
        <v>0</v>
      </c>
    </row>
    <row r="498" spans="1:40" x14ac:dyDescent="0.25">
      <c r="A498" s="203">
        <f>Alukset_Käynnit!A505</f>
        <v>0</v>
      </c>
      <c r="B498" s="203">
        <f>Alukset_Käynnit!B505</f>
        <v>0</v>
      </c>
      <c r="C498" s="262">
        <f>Alukset_Käynnit!C505</f>
        <v>0</v>
      </c>
      <c r="D498" s="266">
        <f>Alukset_Käynnit!D505</f>
        <v>0</v>
      </c>
      <c r="E498" s="262">
        <f>Alukset_Käynnit!E505</f>
        <v>0</v>
      </c>
      <c r="F498" s="262">
        <f>Alukset_Käynnit!F505</f>
        <v>0</v>
      </c>
      <c r="G498" s="262">
        <f>Alukset_Käynnit!G505</f>
        <v>0</v>
      </c>
      <c r="H498" s="262">
        <f>Alukset_Käynnit!H505</f>
        <v>0</v>
      </c>
      <c r="I498" s="262">
        <f>Alukset_Käynnit!I505</f>
        <v>0</v>
      </c>
      <c r="J498" s="262">
        <f>Alukset_Käynnit!J505</f>
        <v>0</v>
      </c>
      <c r="K498" s="262">
        <f>Alukset_Käynnit!K505</f>
        <v>0</v>
      </c>
      <c r="L498" s="205">
        <f>Alukset_Käynnit!L505</f>
        <v>0</v>
      </c>
      <c r="N498" s="273">
        <f t="shared" si="99"/>
        <v>0</v>
      </c>
      <c r="O498" s="274">
        <f t="shared" si="100"/>
        <v>0</v>
      </c>
      <c r="Q498" s="204">
        <f t="shared" si="89"/>
        <v>0</v>
      </c>
      <c r="R498" s="202">
        <f>IF(Q498="Other dry cargo",L498*Alukset_fx!$B$71,IF(OR(Q498="Dry bulk",Q498="Bulk carrier"),L498*Alukset_fx!$B$69,IF(Q498="Tugboat",L498*Alukset_fx!$B$76,IF(OR(Q498="Tanker",Q498="Gas tanker",Q498="Chemical tanker",Q498="Oil tanker"),L498*Alukset_fx!$B$68,IF(OR(Q498="RoRo",Q498="Vehicle carrier"),L498*Alukset_fx!$B$72,IF(Q498="RoPax",L498*Alukset_fx!$B$73,IF(Q498="Container ship",L498*Alukset_fx!$B$70,IF(Q498="Barge",0,L498*Alukset_fx!$B$75))))))))</f>
        <v>0</v>
      </c>
      <c r="S498" s="210">
        <f>IF(L498=0,IF(Q498="Other dry cargo",Alukset_fx!$H$73*(Alukset_Käynnit_Lask!K498^Alukset_fx!$I$73),IF(OR(Q498="Dry Bulk",Q498="Bulk carrier"),Alukset_fx!$H$71*(Alukset_Käynnit_Lask!K498^Alukset_fx!$I$71),IF(Q498="Tugboat",Alukset_fx!$H$78*(Alukset_Käynnit_Lask!K498^Alukset_fx!$I$78),IF(OR(Q498="Tanker",Q498="Gas tanker",Q498="Chemical tanker",Q498="Oil tanker"),Alukset_fx!$H$70*(Alukset_Käynnit_Lask!K498^Alukset_fx!$I$70),IF(Q498="Container ship",Alukset_fx!$H$72*(Alukset_Käynnit_Lask!K498^Alukset_fx!$I$72),IF(Q498="Barge",0,IF(Q498="RoPax",Alukset_fx!$H$75*(Alukset_Käynnit_Lask!K498^Alukset_fx!$I$75),IF(OR(Q498="RoRo",Q498="Vehicle carrier"),Alukset_fx!$H$74*(Alukset_Käynnit_Lask!K498^Alukset_fx!$I$74),Alukset_fx!$H$77*(Alukset_Käynnit_Lask!K498^Alukset_fx!$I$77))))))))),"-")</f>
        <v>0</v>
      </c>
      <c r="T498" s="208">
        <f>IF(R498=0,IF(Q498="Other dry cargo",S498*Alukset_fx!$B$71,IF(OR(Q498="Dry bulk",Q498="Bulk carrier"),S498*Alukset_fx!$B$69,IF(Q498="Tugboat",S498*Alukset_fx!$B$76,IF(OR(Q498="Tanker",Q498="Gas tanker",Q498="Chemical tanker",Q498="Oil tanker"),S498*Alukset_fx!$B$68,IF(OR(Q498="RoRo",Q498="Vehicle carrier"),S498*Alukset_fx!$B$72,IF(Q498="RoPax",S498*Alukset_fx!$B$73,IF(Q498="Container ship",S498*Alukset_fx!$B$70,S498*Alukset_fx!$B$75))))))),"-")</f>
        <v>0</v>
      </c>
      <c r="U498" s="208">
        <f t="shared" si="90"/>
        <v>0</v>
      </c>
      <c r="V498" s="208">
        <f t="shared" si="91"/>
        <v>0</v>
      </c>
      <c r="W498" s="202">
        <f>Alukset_Käynnit!N505</f>
        <v>0</v>
      </c>
      <c r="X498" s="211">
        <f>IF(Q498="Other dry cargo", Alukset_fx!$C$52, IF(OR(Q498="Dry bulk",Q498="Bulk carrier"),Alukset_fx!$C$35,IF(OR(Q498="Tanker",Q498="Gas tanker",Q498="Oil tanker"),Alukset_fx!$C$57,IF(Q498="Chemical tanker",Alukset_fx!$C$56,IF(OR(Q498="Tugboat",Q498="Barge"),0,IF(Q498="Other vessel",Alukset_fx!$C$54,IF(Q498="Container ship",Alukset_fx!$C$37,IF(OR(Q498="RoPax",Q498="RoRo",Q498="Vehicle carrier"),Alukset_fx!$C$55,0))))))))</f>
        <v>0</v>
      </c>
      <c r="Y498" s="211">
        <f>IF(Q498="Other dry cargo", Alukset_fx!$Q$52, IF(OR(Q498="Dry bulk",Q498="Bulk carrier"),Alukset_fx!$Q$35,IF(OR(Q498="Tanker",Q498="Gas tanker",Q498="Oil tanker"),Alukset_fx!$Q$57,IF(Q498="Chemical tanker",Alukset_fx!$Q$56,IF(OR(Q498="Tugboat",Q498="Barge"),0,IF(Q498="Other vessel",Alukset_fx!$Q$54,IF(Q498="Container ship",Alukset_fx!$Q$37,IF(OR(Q498="RoPax",Q498="RoRo",Q498="Vehicle carrier"),Alukset_fx!$Q$55,0))))))))</f>
        <v>0</v>
      </c>
      <c r="Z498" t="str">
        <f t="shared" si="92"/>
        <v>MDO/MGO</v>
      </c>
      <c r="AA498" t="str">
        <f t="shared" si="93"/>
        <v>MSD</v>
      </c>
      <c r="AB498" t="str">
        <f t="shared" si="94"/>
        <v>MDO/MGO</v>
      </c>
      <c r="AC498" t="str">
        <f t="shared" si="95"/>
        <v>MSD</v>
      </c>
      <c r="AD498" t="str">
        <f t="shared" si="96"/>
        <v>MDO/MGO</v>
      </c>
      <c r="AE498" t="str">
        <f t="shared" si="97"/>
        <v>ST</v>
      </c>
      <c r="AG498">
        <f>Alukset_Käynnit!O505</f>
        <v>0</v>
      </c>
      <c r="AH498" s="207">
        <f>IF(AA498="SSD",((U498*Alukset_fx!$B$24)*Alukset_Käynnit_Lask!W498*(Alukset_fx!$K$49)/1000),IF(AA498="MSD",((U498*Alukset_fx!$B$24)*Alukset_Käynnit_Lask!W498*(Alukset_fx!$K$52)/1000),IF(AA498="HSD",((U498*Alukset_fx!$B$24)*Alukset_Käynnit_Lask!W498*(Alukset_fx!$K$55)/1000),0)))</f>
        <v>0</v>
      </c>
      <c r="AI498" s="207">
        <f>IF(AC498="MSD",((V498*Alukset_fx!$B$25)*Alukset_Käynnit_Lask!W498*(Alukset_fx!$L$52)/1000),IF(AC498="HSD",((V498*Alukset_fx!$B$25)*Alukset_Käynnit_Lask!W498*(Alukset_fx!$L$55)/1000),0))</f>
        <v>0</v>
      </c>
      <c r="AJ498" s="207">
        <f>X498*W498*Alukset_fx!$K$61/1000</f>
        <v>0</v>
      </c>
      <c r="AK498">
        <v>0</v>
      </c>
      <c r="AL498" s="207">
        <f>IF(AG498="Käytetty",0,IF(AC498="MSD",((V498*Alukset_fx!$O$25)*Alukset_Käynnit_Lask!O498*(Alukset_fx!$L$52)/1000),IF(AC498="HSD",((V498*Alukset_fx!$O$25)*Alukset_Käynnit_Lask!O498*(Alukset_fx!$L$55)/1000),0)))</f>
        <v>0</v>
      </c>
      <c r="AM498" s="207">
        <f>IF(AG498="Käytetty",0,Y498*O498*Alukset_fx!$K$61/1000)</f>
        <v>0</v>
      </c>
      <c r="AN498" s="213">
        <f t="shared" si="98"/>
        <v>0</v>
      </c>
    </row>
    <row r="499" spans="1:40" x14ac:dyDescent="0.25">
      <c r="A499" s="203">
        <f>Alukset_Käynnit!A506</f>
        <v>0</v>
      </c>
      <c r="B499" s="203">
        <f>Alukset_Käynnit!B506</f>
        <v>0</v>
      </c>
      <c r="C499" s="262">
        <f>Alukset_Käynnit!C506</f>
        <v>0</v>
      </c>
      <c r="D499" s="266">
        <f>Alukset_Käynnit!D506</f>
        <v>0</v>
      </c>
      <c r="E499" s="262">
        <f>Alukset_Käynnit!E506</f>
        <v>0</v>
      </c>
      <c r="F499" s="262">
        <f>Alukset_Käynnit!F506</f>
        <v>0</v>
      </c>
      <c r="G499" s="262">
        <f>Alukset_Käynnit!G506</f>
        <v>0</v>
      </c>
      <c r="H499" s="262">
        <f>Alukset_Käynnit!H506</f>
        <v>0</v>
      </c>
      <c r="I499" s="262">
        <f>Alukset_Käynnit!I506</f>
        <v>0</v>
      </c>
      <c r="J499" s="262">
        <f>Alukset_Käynnit!J506</f>
        <v>0</v>
      </c>
      <c r="K499" s="262">
        <f>Alukset_Käynnit!K506</f>
        <v>0</v>
      </c>
      <c r="L499" s="205">
        <f>Alukset_Käynnit!L506</f>
        <v>0</v>
      </c>
      <c r="N499" s="273">
        <f t="shared" si="99"/>
        <v>0</v>
      </c>
      <c r="O499" s="274">
        <f t="shared" si="100"/>
        <v>0</v>
      </c>
      <c r="Q499" s="204">
        <f t="shared" si="89"/>
        <v>0</v>
      </c>
      <c r="R499" s="202">
        <f>IF(Q499="Other dry cargo",L499*Alukset_fx!$B$71,IF(OR(Q499="Dry bulk",Q499="Bulk carrier"),L499*Alukset_fx!$B$69,IF(Q499="Tugboat",L499*Alukset_fx!$B$76,IF(OR(Q499="Tanker",Q499="Gas tanker",Q499="Chemical tanker",Q499="Oil tanker"),L499*Alukset_fx!$B$68,IF(OR(Q499="RoRo",Q499="Vehicle carrier"),L499*Alukset_fx!$B$72,IF(Q499="RoPax",L499*Alukset_fx!$B$73,IF(Q499="Container ship",L499*Alukset_fx!$B$70,IF(Q499="Barge",0,L499*Alukset_fx!$B$75))))))))</f>
        <v>0</v>
      </c>
      <c r="S499" s="210">
        <f>IF(L499=0,IF(Q499="Other dry cargo",Alukset_fx!$H$73*(Alukset_Käynnit_Lask!K499^Alukset_fx!$I$73),IF(OR(Q499="Dry Bulk",Q499="Bulk carrier"),Alukset_fx!$H$71*(Alukset_Käynnit_Lask!K499^Alukset_fx!$I$71),IF(Q499="Tugboat",Alukset_fx!$H$78*(Alukset_Käynnit_Lask!K499^Alukset_fx!$I$78),IF(OR(Q499="Tanker",Q499="Gas tanker",Q499="Chemical tanker",Q499="Oil tanker"),Alukset_fx!$H$70*(Alukset_Käynnit_Lask!K499^Alukset_fx!$I$70),IF(Q499="Container ship",Alukset_fx!$H$72*(Alukset_Käynnit_Lask!K499^Alukset_fx!$I$72),IF(Q499="Barge",0,IF(Q499="RoPax",Alukset_fx!$H$75*(Alukset_Käynnit_Lask!K499^Alukset_fx!$I$75),IF(OR(Q499="RoRo",Q499="Vehicle carrier"),Alukset_fx!$H$74*(Alukset_Käynnit_Lask!K499^Alukset_fx!$I$74),Alukset_fx!$H$77*(Alukset_Käynnit_Lask!K499^Alukset_fx!$I$77))))))))),"-")</f>
        <v>0</v>
      </c>
      <c r="T499" s="208">
        <f>IF(R499=0,IF(Q499="Other dry cargo",S499*Alukset_fx!$B$71,IF(OR(Q499="Dry bulk",Q499="Bulk carrier"),S499*Alukset_fx!$B$69,IF(Q499="Tugboat",S499*Alukset_fx!$B$76,IF(OR(Q499="Tanker",Q499="Gas tanker",Q499="Chemical tanker",Q499="Oil tanker"),S499*Alukset_fx!$B$68,IF(OR(Q499="RoRo",Q499="Vehicle carrier"),S499*Alukset_fx!$B$72,IF(Q499="RoPax",S499*Alukset_fx!$B$73,IF(Q499="Container ship",S499*Alukset_fx!$B$70,S499*Alukset_fx!$B$75))))))),"-")</f>
        <v>0</v>
      </c>
      <c r="U499" s="208">
        <f t="shared" si="90"/>
        <v>0</v>
      </c>
      <c r="V499" s="208">
        <f t="shared" si="91"/>
        <v>0</v>
      </c>
      <c r="W499" s="202">
        <f>Alukset_Käynnit!N506</f>
        <v>0</v>
      </c>
      <c r="X499" s="211">
        <f>IF(Q499="Other dry cargo", Alukset_fx!$C$52, IF(OR(Q499="Dry bulk",Q499="Bulk carrier"),Alukset_fx!$C$35,IF(OR(Q499="Tanker",Q499="Gas tanker",Q499="Oil tanker"),Alukset_fx!$C$57,IF(Q499="Chemical tanker",Alukset_fx!$C$56,IF(OR(Q499="Tugboat",Q499="Barge"),0,IF(Q499="Other vessel",Alukset_fx!$C$54,IF(Q499="Container ship",Alukset_fx!$C$37,IF(OR(Q499="RoPax",Q499="RoRo",Q499="Vehicle carrier"),Alukset_fx!$C$55,0))))))))</f>
        <v>0</v>
      </c>
      <c r="Y499" s="211">
        <f>IF(Q499="Other dry cargo", Alukset_fx!$Q$52, IF(OR(Q499="Dry bulk",Q499="Bulk carrier"),Alukset_fx!$Q$35,IF(OR(Q499="Tanker",Q499="Gas tanker",Q499="Oil tanker"),Alukset_fx!$Q$57,IF(Q499="Chemical tanker",Alukset_fx!$Q$56,IF(OR(Q499="Tugboat",Q499="Barge"),0,IF(Q499="Other vessel",Alukset_fx!$Q$54,IF(Q499="Container ship",Alukset_fx!$Q$37,IF(OR(Q499="RoPax",Q499="RoRo",Q499="Vehicle carrier"),Alukset_fx!$Q$55,0))))))))</f>
        <v>0</v>
      </c>
      <c r="Z499" t="str">
        <f t="shared" si="92"/>
        <v>MDO/MGO</v>
      </c>
      <c r="AA499" t="str">
        <f t="shared" si="93"/>
        <v>MSD</v>
      </c>
      <c r="AB499" t="str">
        <f t="shared" si="94"/>
        <v>MDO/MGO</v>
      </c>
      <c r="AC499" t="str">
        <f t="shared" si="95"/>
        <v>MSD</v>
      </c>
      <c r="AD499" t="str">
        <f t="shared" si="96"/>
        <v>MDO/MGO</v>
      </c>
      <c r="AE499" t="str">
        <f t="shared" si="97"/>
        <v>ST</v>
      </c>
      <c r="AG499">
        <f>Alukset_Käynnit!O506</f>
        <v>0</v>
      </c>
      <c r="AH499" s="207">
        <f>IF(AA499="SSD",((U499*Alukset_fx!$B$24)*Alukset_Käynnit_Lask!W499*(Alukset_fx!$K$49)/1000),IF(AA499="MSD",((U499*Alukset_fx!$B$24)*Alukset_Käynnit_Lask!W499*(Alukset_fx!$K$52)/1000),IF(AA499="HSD",((U499*Alukset_fx!$B$24)*Alukset_Käynnit_Lask!W499*(Alukset_fx!$K$55)/1000),0)))</f>
        <v>0</v>
      </c>
      <c r="AI499" s="207">
        <f>IF(AC499="MSD",((V499*Alukset_fx!$B$25)*Alukset_Käynnit_Lask!W499*(Alukset_fx!$L$52)/1000),IF(AC499="HSD",((V499*Alukset_fx!$B$25)*Alukset_Käynnit_Lask!W499*(Alukset_fx!$L$55)/1000),0))</f>
        <v>0</v>
      </c>
      <c r="AJ499" s="207">
        <f>X499*W499*Alukset_fx!$K$61/1000</f>
        <v>0</v>
      </c>
      <c r="AK499">
        <v>0</v>
      </c>
      <c r="AL499" s="207">
        <f>IF(AG499="Käytetty",0,IF(AC499="MSD",((V499*Alukset_fx!$O$25)*Alukset_Käynnit_Lask!O499*(Alukset_fx!$L$52)/1000),IF(AC499="HSD",((V499*Alukset_fx!$O$25)*Alukset_Käynnit_Lask!O499*(Alukset_fx!$L$55)/1000),0)))</f>
        <v>0</v>
      </c>
      <c r="AM499" s="207">
        <f>IF(AG499="Käytetty",0,Y499*O499*Alukset_fx!$K$61/1000)</f>
        <v>0</v>
      </c>
      <c r="AN499" s="213">
        <f t="shared" si="98"/>
        <v>0</v>
      </c>
    </row>
    <row r="500" spans="1:40" x14ac:dyDescent="0.25">
      <c r="A500" s="203">
        <f>Alukset_Käynnit!A507</f>
        <v>0</v>
      </c>
      <c r="B500" s="203">
        <f>Alukset_Käynnit!B507</f>
        <v>0</v>
      </c>
      <c r="C500" s="262">
        <f>Alukset_Käynnit!C507</f>
        <v>0</v>
      </c>
      <c r="D500" s="266">
        <f>Alukset_Käynnit!D507</f>
        <v>0</v>
      </c>
      <c r="E500" s="262">
        <f>Alukset_Käynnit!E507</f>
        <v>0</v>
      </c>
      <c r="F500" s="262">
        <f>Alukset_Käynnit!F507</f>
        <v>0</v>
      </c>
      <c r="G500" s="262">
        <f>Alukset_Käynnit!G507</f>
        <v>0</v>
      </c>
      <c r="H500" s="262">
        <f>Alukset_Käynnit!H507</f>
        <v>0</v>
      </c>
      <c r="I500" s="262">
        <f>Alukset_Käynnit!I507</f>
        <v>0</v>
      </c>
      <c r="J500" s="262">
        <f>Alukset_Käynnit!J507</f>
        <v>0</v>
      </c>
      <c r="K500" s="262">
        <f>Alukset_Käynnit!K507</f>
        <v>0</v>
      </c>
      <c r="L500" s="205">
        <f>Alukset_Käynnit!L507</f>
        <v>0</v>
      </c>
      <c r="N500" s="273">
        <f t="shared" si="99"/>
        <v>0</v>
      </c>
      <c r="O500" s="274">
        <f t="shared" si="100"/>
        <v>0</v>
      </c>
      <c r="Q500" s="204">
        <f t="shared" si="89"/>
        <v>0</v>
      </c>
      <c r="R500" s="202">
        <f>IF(Q500="Other dry cargo",L500*Alukset_fx!$B$71,IF(OR(Q500="Dry bulk",Q500="Bulk carrier"),L500*Alukset_fx!$B$69,IF(Q500="Tugboat",L500*Alukset_fx!$B$76,IF(OR(Q500="Tanker",Q500="Gas tanker",Q500="Chemical tanker",Q500="Oil tanker"),L500*Alukset_fx!$B$68,IF(OR(Q500="RoRo",Q500="Vehicle carrier"),L500*Alukset_fx!$B$72,IF(Q500="RoPax",L500*Alukset_fx!$B$73,IF(Q500="Container ship",L500*Alukset_fx!$B$70,IF(Q500="Barge",0,L500*Alukset_fx!$B$75))))))))</f>
        <v>0</v>
      </c>
      <c r="S500" s="210">
        <f>IF(L500=0,IF(Q500="Other dry cargo",Alukset_fx!$H$73*(Alukset_Käynnit_Lask!K500^Alukset_fx!$I$73),IF(OR(Q500="Dry Bulk",Q500="Bulk carrier"),Alukset_fx!$H$71*(Alukset_Käynnit_Lask!K500^Alukset_fx!$I$71),IF(Q500="Tugboat",Alukset_fx!$H$78*(Alukset_Käynnit_Lask!K500^Alukset_fx!$I$78),IF(OR(Q500="Tanker",Q500="Gas tanker",Q500="Chemical tanker",Q500="Oil tanker"),Alukset_fx!$H$70*(Alukset_Käynnit_Lask!K500^Alukset_fx!$I$70),IF(Q500="Container ship",Alukset_fx!$H$72*(Alukset_Käynnit_Lask!K500^Alukset_fx!$I$72),IF(Q500="Barge",0,IF(Q500="RoPax",Alukset_fx!$H$75*(Alukset_Käynnit_Lask!K500^Alukset_fx!$I$75),IF(OR(Q500="RoRo",Q500="Vehicle carrier"),Alukset_fx!$H$74*(Alukset_Käynnit_Lask!K500^Alukset_fx!$I$74),Alukset_fx!$H$77*(Alukset_Käynnit_Lask!K500^Alukset_fx!$I$77))))))))),"-")</f>
        <v>0</v>
      </c>
      <c r="T500" s="208">
        <f>IF(R500=0,IF(Q500="Other dry cargo",S500*Alukset_fx!$B$71,IF(OR(Q500="Dry bulk",Q500="Bulk carrier"),S500*Alukset_fx!$B$69,IF(Q500="Tugboat",S500*Alukset_fx!$B$76,IF(OR(Q500="Tanker",Q500="Gas tanker",Q500="Chemical tanker",Q500="Oil tanker"),S500*Alukset_fx!$B$68,IF(OR(Q500="RoRo",Q500="Vehicle carrier"),S500*Alukset_fx!$B$72,IF(Q500="RoPax",S500*Alukset_fx!$B$73,IF(Q500="Container ship",S500*Alukset_fx!$B$70,S500*Alukset_fx!$B$75))))))),"-")</f>
        <v>0</v>
      </c>
      <c r="U500" s="208">
        <f t="shared" si="90"/>
        <v>0</v>
      </c>
      <c r="V500" s="208">
        <f t="shared" si="91"/>
        <v>0</v>
      </c>
      <c r="W500" s="202">
        <f>Alukset_Käynnit!N507</f>
        <v>0</v>
      </c>
      <c r="X500" s="211">
        <f>IF(Q500="Other dry cargo", Alukset_fx!$C$52, IF(OR(Q500="Dry bulk",Q500="Bulk carrier"),Alukset_fx!$C$35,IF(OR(Q500="Tanker",Q500="Gas tanker",Q500="Oil tanker"),Alukset_fx!$C$57,IF(Q500="Chemical tanker",Alukset_fx!$C$56,IF(OR(Q500="Tugboat",Q500="Barge"),0,IF(Q500="Other vessel",Alukset_fx!$C$54,IF(Q500="Container ship",Alukset_fx!$C$37,IF(OR(Q500="RoPax",Q500="RoRo",Q500="Vehicle carrier"),Alukset_fx!$C$55,0))))))))</f>
        <v>0</v>
      </c>
      <c r="Y500" s="211">
        <f>IF(Q500="Other dry cargo", Alukset_fx!$Q$52, IF(OR(Q500="Dry bulk",Q500="Bulk carrier"),Alukset_fx!$Q$35,IF(OR(Q500="Tanker",Q500="Gas tanker",Q500="Oil tanker"),Alukset_fx!$Q$57,IF(Q500="Chemical tanker",Alukset_fx!$Q$56,IF(OR(Q500="Tugboat",Q500="Barge"),0,IF(Q500="Other vessel",Alukset_fx!$Q$54,IF(Q500="Container ship",Alukset_fx!$Q$37,IF(OR(Q500="RoPax",Q500="RoRo",Q500="Vehicle carrier"),Alukset_fx!$Q$55,0))))))))</f>
        <v>0</v>
      </c>
      <c r="Z500" t="str">
        <f t="shared" si="92"/>
        <v>MDO/MGO</v>
      </c>
      <c r="AA500" t="str">
        <f t="shared" si="93"/>
        <v>MSD</v>
      </c>
      <c r="AB500" t="str">
        <f t="shared" si="94"/>
        <v>MDO/MGO</v>
      </c>
      <c r="AC500" t="str">
        <f t="shared" si="95"/>
        <v>MSD</v>
      </c>
      <c r="AD500" t="str">
        <f t="shared" si="96"/>
        <v>MDO/MGO</v>
      </c>
      <c r="AE500" t="str">
        <f t="shared" si="97"/>
        <v>ST</v>
      </c>
      <c r="AG500">
        <f>Alukset_Käynnit!O507</f>
        <v>0</v>
      </c>
      <c r="AH500" s="207">
        <f>IF(AA500="SSD",((U500*Alukset_fx!$B$24)*Alukset_Käynnit_Lask!W500*(Alukset_fx!$K$49)/1000),IF(AA500="MSD",((U500*Alukset_fx!$B$24)*Alukset_Käynnit_Lask!W500*(Alukset_fx!$K$52)/1000),IF(AA500="HSD",((U500*Alukset_fx!$B$24)*Alukset_Käynnit_Lask!W500*(Alukset_fx!$K$55)/1000),0)))</f>
        <v>0</v>
      </c>
      <c r="AI500" s="207">
        <f>IF(AC500="MSD",((V500*Alukset_fx!$B$25)*Alukset_Käynnit_Lask!W500*(Alukset_fx!$L$52)/1000),IF(AC500="HSD",((V500*Alukset_fx!$B$25)*Alukset_Käynnit_Lask!W500*(Alukset_fx!$L$55)/1000),0))</f>
        <v>0</v>
      </c>
      <c r="AJ500" s="207">
        <f>X500*W500*Alukset_fx!$K$61/1000</f>
        <v>0</v>
      </c>
      <c r="AK500">
        <v>0</v>
      </c>
      <c r="AL500" s="207">
        <f>IF(AG500="Käytetty",0,IF(AC500="MSD",((V500*Alukset_fx!$O$25)*Alukset_Käynnit_Lask!O500*(Alukset_fx!$L$52)/1000),IF(AC500="HSD",((V500*Alukset_fx!$O$25)*Alukset_Käynnit_Lask!O500*(Alukset_fx!$L$55)/1000),0)))</f>
        <v>0</v>
      </c>
      <c r="AM500" s="207">
        <f>IF(AG500="Käytetty",0,Y500*O500*Alukset_fx!$K$61/1000)</f>
        <v>0</v>
      </c>
      <c r="AN500" s="213">
        <f t="shared" si="98"/>
        <v>0</v>
      </c>
    </row>
    <row r="501" spans="1:40" x14ac:dyDescent="0.25">
      <c r="A501" s="203">
        <f>Alukset_Käynnit!A508</f>
        <v>0</v>
      </c>
      <c r="B501" s="203">
        <f>Alukset_Käynnit!B508</f>
        <v>0</v>
      </c>
      <c r="C501" s="262">
        <f>Alukset_Käynnit!C508</f>
        <v>0</v>
      </c>
      <c r="D501" s="266">
        <f>Alukset_Käynnit!D508</f>
        <v>0</v>
      </c>
      <c r="E501" s="262">
        <f>Alukset_Käynnit!E508</f>
        <v>0</v>
      </c>
      <c r="F501" s="262">
        <f>Alukset_Käynnit!F508</f>
        <v>0</v>
      </c>
      <c r="G501" s="262">
        <f>Alukset_Käynnit!G508</f>
        <v>0</v>
      </c>
      <c r="H501" s="262">
        <f>Alukset_Käynnit!H508</f>
        <v>0</v>
      </c>
      <c r="I501" s="262">
        <f>Alukset_Käynnit!I508</f>
        <v>0</v>
      </c>
      <c r="J501" s="262">
        <f>Alukset_Käynnit!J508</f>
        <v>0</v>
      </c>
      <c r="K501" s="262">
        <f>Alukset_Käynnit!K508</f>
        <v>0</v>
      </c>
      <c r="L501" s="205">
        <f>Alukset_Käynnit!L508</f>
        <v>0</v>
      </c>
      <c r="N501" s="273">
        <f t="shared" si="99"/>
        <v>0</v>
      </c>
      <c r="O501" s="274">
        <f t="shared" si="100"/>
        <v>0</v>
      </c>
      <c r="Q501" s="204">
        <f t="shared" si="89"/>
        <v>0</v>
      </c>
      <c r="R501" s="202">
        <f>IF(Q501="Other dry cargo",L501*Alukset_fx!$B$71,IF(OR(Q501="Dry bulk",Q501="Bulk carrier"),L501*Alukset_fx!$B$69,IF(Q501="Tugboat",L501*Alukset_fx!$B$76,IF(OR(Q501="Tanker",Q501="Gas tanker",Q501="Chemical tanker",Q501="Oil tanker"),L501*Alukset_fx!$B$68,IF(OR(Q501="RoRo",Q501="Vehicle carrier"),L501*Alukset_fx!$B$72,IF(Q501="RoPax",L501*Alukset_fx!$B$73,IF(Q501="Container ship",L501*Alukset_fx!$B$70,IF(Q501="Barge",0,L501*Alukset_fx!$B$75))))))))</f>
        <v>0</v>
      </c>
      <c r="S501" s="210">
        <f>IF(L501=0,IF(Q501="Other dry cargo",Alukset_fx!$H$73*(Alukset_Käynnit_Lask!K501^Alukset_fx!$I$73),IF(OR(Q501="Dry Bulk",Q501="Bulk carrier"),Alukset_fx!$H$71*(Alukset_Käynnit_Lask!K501^Alukset_fx!$I$71),IF(Q501="Tugboat",Alukset_fx!$H$78*(Alukset_Käynnit_Lask!K501^Alukset_fx!$I$78),IF(OR(Q501="Tanker",Q501="Gas tanker",Q501="Chemical tanker",Q501="Oil tanker"),Alukset_fx!$H$70*(Alukset_Käynnit_Lask!K501^Alukset_fx!$I$70),IF(Q501="Container ship",Alukset_fx!$H$72*(Alukset_Käynnit_Lask!K501^Alukset_fx!$I$72),IF(Q501="Barge",0,IF(Q501="RoPax",Alukset_fx!$H$75*(Alukset_Käynnit_Lask!K501^Alukset_fx!$I$75),IF(OR(Q501="RoRo",Q501="Vehicle carrier"),Alukset_fx!$H$74*(Alukset_Käynnit_Lask!K501^Alukset_fx!$I$74),Alukset_fx!$H$77*(Alukset_Käynnit_Lask!K501^Alukset_fx!$I$77))))))))),"-")</f>
        <v>0</v>
      </c>
      <c r="T501" s="208">
        <f>IF(R501=0,IF(Q501="Other dry cargo",S501*Alukset_fx!$B$71,IF(OR(Q501="Dry bulk",Q501="Bulk carrier"),S501*Alukset_fx!$B$69,IF(Q501="Tugboat",S501*Alukset_fx!$B$76,IF(OR(Q501="Tanker",Q501="Gas tanker",Q501="Chemical tanker",Q501="Oil tanker"),S501*Alukset_fx!$B$68,IF(OR(Q501="RoRo",Q501="Vehicle carrier"),S501*Alukset_fx!$B$72,IF(Q501="RoPax",S501*Alukset_fx!$B$73,IF(Q501="Container ship",S501*Alukset_fx!$B$70,S501*Alukset_fx!$B$75))))))),"-")</f>
        <v>0</v>
      </c>
      <c r="U501" s="208">
        <f t="shared" si="90"/>
        <v>0</v>
      </c>
      <c r="V501" s="208">
        <f t="shared" si="91"/>
        <v>0</v>
      </c>
      <c r="W501" s="202">
        <f>Alukset_Käynnit!N508</f>
        <v>0</v>
      </c>
      <c r="X501" s="211">
        <f>IF(Q501="Other dry cargo", Alukset_fx!$C$52, IF(OR(Q501="Dry bulk",Q501="Bulk carrier"),Alukset_fx!$C$35,IF(OR(Q501="Tanker",Q501="Gas tanker",Q501="Oil tanker"),Alukset_fx!$C$57,IF(Q501="Chemical tanker",Alukset_fx!$C$56,IF(OR(Q501="Tugboat",Q501="Barge"),0,IF(Q501="Other vessel",Alukset_fx!$C$54,IF(Q501="Container ship",Alukset_fx!$C$37,IF(OR(Q501="RoPax",Q501="RoRo",Q501="Vehicle carrier"),Alukset_fx!$C$55,0))))))))</f>
        <v>0</v>
      </c>
      <c r="Y501" s="211">
        <f>IF(Q501="Other dry cargo", Alukset_fx!$Q$52, IF(OR(Q501="Dry bulk",Q501="Bulk carrier"),Alukset_fx!$Q$35,IF(OR(Q501="Tanker",Q501="Gas tanker",Q501="Oil tanker"),Alukset_fx!$Q$57,IF(Q501="Chemical tanker",Alukset_fx!$Q$56,IF(OR(Q501="Tugboat",Q501="Barge"),0,IF(Q501="Other vessel",Alukset_fx!$Q$54,IF(Q501="Container ship",Alukset_fx!$Q$37,IF(OR(Q501="RoPax",Q501="RoRo",Q501="Vehicle carrier"),Alukset_fx!$Q$55,0))))))))</f>
        <v>0</v>
      </c>
      <c r="Z501" t="str">
        <f t="shared" si="92"/>
        <v>MDO/MGO</v>
      </c>
      <c r="AA501" t="str">
        <f t="shared" si="93"/>
        <v>MSD</v>
      </c>
      <c r="AB501" t="str">
        <f t="shared" si="94"/>
        <v>MDO/MGO</v>
      </c>
      <c r="AC501" t="str">
        <f t="shared" si="95"/>
        <v>MSD</v>
      </c>
      <c r="AD501" t="str">
        <f t="shared" si="96"/>
        <v>MDO/MGO</v>
      </c>
      <c r="AE501" t="str">
        <f t="shared" si="97"/>
        <v>ST</v>
      </c>
      <c r="AG501">
        <f>Alukset_Käynnit!O508</f>
        <v>0</v>
      </c>
      <c r="AH501" s="207">
        <f>IF(AA501="SSD",((U501*Alukset_fx!$B$24)*Alukset_Käynnit_Lask!W501*(Alukset_fx!$K$49)/1000),IF(AA501="MSD",((U501*Alukset_fx!$B$24)*Alukset_Käynnit_Lask!W501*(Alukset_fx!$K$52)/1000),IF(AA501="HSD",((U501*Alukset_fx!$B$24)*Alukset_Käynnit_Lask!W501*(Alukset_fx!$K$55)/1000),0)))</f>
        <v>0</v>
      </c>
      <c r="AI501" s="207">
        <f>IF(AC501="MSD",((V501*Alukset_fx!$B$25)*Alukset_Käynnit_Lask!W501*(Alukset_fx!$L$52)/1000),IF(AC501="HSD",((V501*Alukset_fx!$B$25)*Alukset_Käynnit_Lask!W501*(Alukset_fx!$L$55)/1000),0))</f>
        <v>0</v>
      </c>
      <c r="AJ501" s="207">
        <f>X501*W501*Alukset_fx!$K$61/1000</f>
        <v>0</v>
      </c>
      <c r="AK501">
        <v>0</v>
      </c>
      <c r="AL501" s="207">
        <f>IF(AG501="Käytetty",0,IF(AC501="MSD",((V501*Alukset_fx!$O$25)*Alukset_Käynnit_Lask!O501*(Alukset_fx!$L$52)/1000),IF(AC501="HSD",((V501*Alukset_fx!$O$25)*Alukset_Käynnit_Lask!O501*(Alukset_fx!$L$55)/1000),0)))</f>
        <v>0</v>
      </c>
      <c r="AM501" s="207">
        <f>IF(AG501="Käytetty",0,Y501*O501*Alukset_fx!$K$61/1000)</f>
        <v>0</v>
      </c>
      <c r="AN501" s="213">
        <f t="shared" si="98"/>
        <v>0</v>
      </c>
    </row>
    <row r="502" spans="1:40" x14ac:dyDescent="0.25">
      <c r="A502" s="203">
        <f>Alukset_Käynnit!A509</f>
        <v>0</v>
      </c>
      <c r="B502" s="203">
        <f>Alukset_Käynnit!B509</f>
        <v>0</v>
      </c>
      <c r="C502" s="262">
        <f>Alukset_Käynnit!C509</f>
        <v>0</v>
      </c>
      <c r="D502" s="266">
        <f>Alukset_Käynnit!D509</f>
        <v>0</v>
      </c>
      <c r="E502" s="262">
        <f>Alukset_Käynnit!E509</f>
        <v>0</v>
      </c>
      <c r="F502" s="262">
        <f>Alukset_Käynnit!F509</f>
        <v>0</v>
      </c>
      <c r="G502" s="262">
        <f>Alukset_Käynnit!G509</f>
        <v>0</v>
      </c>
      <c r="H502" s="262">
        <f>Alukset_Käynnit!H509</f>
        <v>0</v>
      </c>
      <c r="I502" s="262">
        <f>Alukset_Käynnit!I509</f>
        <v>0</v>
      </c>
      <c r="J502" s="262">
        <f>Alukset_Käynnit!J509</f>
        <v>0</v>
      </c>
      <c r="K502" s="262">
        <f>Alukset_Käynnit!K509</f>
        <v>0</v>
      </c>
      <c r="L502" s="205">
        <f>Alukset_Käynnit!L509</f>
        <v>0</v>
      </c>
      <c r="N502" s="273">
        <f t="shared" si="99"/>
        <v>0</v>
      </c>
      <c r="O502" s="274">
        <f t="shared" si="100"/>
        <v>0</v>
      </c>
      <c r="Q502" s="204">
        <f t="shared" si="89"/>
        <v>0</v>
      </c>
      <c r="R502" s="202">
        <f>IF(Q502="Other dry cargo",L502*Alukset_fx!$B$71,IF(OR(Q502="Dry bulk",Q502="Bulk carrier"),L502*Alukset_fx!$B$69,IF(Q502="Tugboat",L502*Alukset_fx!$B$76,IF(OR(Q502="Tanker",Q502="Gas tanker",Q502="Chemical tanker",Q502="Oil tanker"),L502*Alukset_fx!$B$68,IF(OR(Q502="RoRo",Q502="Vehicle carrier"),L502*Alukset_fx!$B$72,IF(Q502="RoPax",L502*Alukset_fx!$B$73,IF(Q502="Container ship",L502*Alukset_fx!$B$70,IF(Q502="Barge",0,L502*Alukset_fx!$B$75))))))))</f>
        <v>0</v>
      </c>
      <c r="S502" s="210">
        <f>IF(L502=0,IF(Q502="Other dry cargo",Alukset_fx!$H$73*(Alukset_Käynnit_Lask!K502^Alukset_fx!$I$73),IF(OR(Q502="Dry Bulk",Q502="Bulk carrier"),Alukset_fx!$H$71*(Alukset_Käynnit_Lask!K502^Alukset_fx!$I$71),IF(Q502="Tugboat",Alukset_fx!$H$78*(Alukset_Käynnit_Lask!K502^Alukset_fx!$I$78),IF(OR(Q502="Tanker",Q502="Gas tanker",Q502="Chemical tanker",Q502="Oil tanker"),Alukset_fx!$H$70*(Alukset_Käynnit_Lask!K502^Alukset_fx!$I$70),IF(Q502="Container ship",Alukset_fx!$H$72*(Alukset_Käynnit_Lask!K502^Alukset_fx!$I$72),IF(Q502="Barge",0,IF(Q502="RoPax",Alukset_fx!$H$75*(Alukset_Käynnit_Lask!K502^Alukset_fx!$I$75),IF(OR(Q502="RoRo",Q502="Vehicle carrier"),Alukset_fx!$H$74*(Alukset_Käynnit_Lask!K502^Alukset_fx!$I$74),Alukset_fx!$H$77*(Alukset_Käynnit_Lask!K502^Alukset_fx!$I$77))))))))),"-")</f>
        <v>0</v>
      </c>
      <c r="T502" s="208">
        <f>IF(R502=0,IF(Q502="Other dry cargo",S502*Alukset_fx!$B$71,IF(OR(Q502="Dry bulk",Q502="Bulk carrier"),S502*Alukset_fx!$B$69,IF(Q502="Tugboat",S502*Alukset_fx!$B$76,IF(OR(Q502="Tanker",Q502="Gas tanker",Q502="Chemical tanker",Q502="Oil tanker"),S502*Alukset_fx!$B$68,IF(OR(Q502="RoRo",Q502="Vehicle carrier"),S502*Alukset_fx!$B$72,IF(Q502="RoPax",S502*Alukset_fx!$B$73,IF(Q502="Container ship",S502*Alukset_fx!$B$70,S502*Alukset_fx!$B$75))))))),"-")</f>
        <v>0</v>
      </c>
      <c r="U502" s="208">
        <f t="shared" si="90"/>
        <v>0</v>
      </c>
      <c r="V502" s="208">
        <f t="shared" si="91"/>
        <v>0</v>
      </c>
      <c r="W502" s="202">
        <f>Alukset_Käynnit!N509</f>
        <v>0</v>
      </c>
      <c r="X502" s="211">
        <f>IF(Q502="Other dry cargo", Alukset_fx!$C$52, IF(OR(Q502="Dry bulk",Q502="Bulk carrier"),Alukset_fx!$C$35,IF(OR(Q502="Tanker",Q502="Gas tanker",Q502="Oil tanker"),Alukset_fx!$C$57,IF(Q502="Chemical tanker",Alukset_fx!$C$56,IF(OR(Q502="Tugboat",Q502="Barge"),0,IF(Q502="Other vessel",Alukset_fx!$C$54,IF(Q502="Container ship",Alukset_fx!$C$37,IF(OR(Q502="RoPax",Q502="RoRo",Q502="Vehicle carrier"),Alukset_fx!$C$55,0))))))))</f>
        <v>0</v>
      </c>
      <c r="Y502" s="211">
        <f>IF(Q502="Other dry cargo", Alukset_fx!$Q$52, IF(OR(Q502="Dry bulk",Q502="Bulk carrier"),Alukset_fx!$Q$35,IF(OR(Q502="Tanker",Q502="Gas tanker",Q502="Oil tanker"),Alukset_fx!$Q$57,IF(Q502="Chemical tanker",Alukset_fx!$Q$56,IF(OR(Q502="Tugboat",Q502="Barge"),0,IF(Q502="Other vessel",Alukset_fx!$Q$54,IF(Q502="Container ship",Alukset_fx!$Q$37,IF(OR(Q502="RoPax",Q502="RoRo",Q502="Vehicle carrier"),Alukset_fx!$Q$55,0))))))))</f>
        <v>0</v>
      </c>
      <c r="Z502" t="str">
        <f t="shared" si="92"/>
        <v>MDO/MGO</v>
      </c>
      <c r="AA502" t="str">
        <f t="shared" si="93"/>
        <v>MSD</v>
      </c>
      <c r="AB502" t="str">
        <f t="shared" si="94"/>
        <v>MDO/MGO</v>
      </c>
      <c r="AC502" t="str">
        <f t="shared" si="95"/>
        <v>MSD</v>
      </c>
      <c r="AD502" t="str">
        <f t="shared" si="96"/>
        <v>MDO/MGO</v>
      </c>
      <c r="AE502" t="str">
        <f t="shared" si="97"/>
        <v>ST</v>
      </c>
      <c r="AG502">
        <f>Alukset_Käynnit!O509</f>
        <v>0</v>
      </c>
      <c r="AH502" s="207">
        <f>IF(AA502="SSD",((U502*Alukset_fx!$B$24)*Alukset_Käynnit_Lask!W502*(Alukset_fx!$K$49)/1000),IF(AA502="MSD",((U502*Alukset_fx!$B$24)*Alukset_Käynnit_Lask!W502*(Alukset_fx!$K$52)/1000),IF(AA502="HSD",((U502*Alukset_fx!$B$24)*Alukset_Käynnit_Lask!W502*(Alukset_fx!$K$55)/1000),0)))</f>
        <v>0</v>
      </c>
      <c r="AI502" s="207">
        <f>IF(AC502="MSD",((V502*Alukset_fx!$B$25)*Alukset_Käynnit_Lask!W502*(Alukset_fx!$L$52)/1000),IF(AC502="HSD",((V502*Alukset_fx!$B$25)*Alukset_Käynnit_Lask!W502*(Alukset_fx!$L$55)/1000),0))</f>
        <v>0</v>
      </c>
      <c r="AJ502" s="207">
        <f>X502*W502*Alukset_fx!$K$61/1000</f>
        <v>0</v>
      </c>
      <c r="AK502">
        <v>0</v>
      </c>
      <c r="AL502" s="207">
        <f>IF(AG502="Käytetty",0,IF(AC502="MSD",((V502*Alukset_fx!$O$25)*Alukset_Käynnit_Lask!O502*(Alukset_fx!$L$52)/1000),IF(AC502="HSD",((V502*Alukset_fx!$O$25)*Alukset_Käynnit_Lask!O502*(Alukset_fx!$L$55)/1000),0)))</f>
        <v>0</v>
      </c>
      <c r="AM502" s="207">
        <f>IF(AG502="Käytetty",0,Y502*O502*Alukset_fx!$K$61/1000)</f>
        <v>0</v>
      </c>
      <c r="AN502" s="213">
        <f t="shared" si="98"/>
        <v>0</v>
      </c>
    </row>
    <row r="503" spans="1:40" x14ac:dyDescent="0.25">
      <c r="A503" s="203">
        <f>Alukset_Käynnit!A510</f>
        <v>0</v>
      </c>
      <c r="B503" s="203">
        <f>Alukset_Käynnit!B510</f>
        <v>0</v>
      </c>
      <c r="C503" s="262">
        <f>Alukset_Käynnit!C510</f>
        <v>0</v>
      </c>
      <c r="D503" s="266">
        <f>Alukset_Käynnit!D510</f>
        <v>0</v>
      </c>
      <c r="E503" s="262">
        <f>Alukset_Käynnit!E510</f>
        <v>0</v>
      </c>
      <c r="F503" s="262">
        <f>Alukset_Käynnit!F510</f>
        <v>0</v>
      </c>
      <c r="G503" s="262">
        <f>Alukset_Käynnit!G510</f>
        <v>0</v>
      </c>
      <c r="H503" s="262">
        <f>Alukset_Käynnit!H510</f>
        <v>0</v>
      </c>
      <c r="I503" s="262">
        <f>Alukset_Käynnit!I510</f>
        <v>0</v>
      </c>
      <c r="J503" s="262">
        <f>Alukset_Käynnit!J510</f>
        <v>0</v>
      </c>
      <c r="K503" s="262">
        <f>Alukset_Käynnit!K510</f>
        <v>0</v>
      </c>
      <c r="L503" s="205">
        <f>Alukset_Käynnit!L510</f>
        <v>0</v>
      </c>
      <c r="N503" s="273">
        <f t="shared" si="99"/>
        <v>0</v>
      </c>
      <c r="O503" s="274">
        <f t="shared" si="100"/>
        <v>0</v>
      </c>
      <c r="Q503" s="204">
        <f t="shared" si="89"/>
        <v>0</v>
      </c>
      <c r="R503" s="202">
        <f>IF(Q503="Other dry cargo",L503*Alukset_fx!$B$71,IF(OR(Q503="Dry bulk",Q503="Bulk carrier"),L503*Alukset_fx!$B$69,IF(Q503="Tugboat",L503*Alukset_fx!$B$76,IF(OR(Q503="Tanker",Q503="Gas tanker",Q503="Chemical tanker",Q503="Oil tanker"),L503*Alukset_fx!$B$68,IF(OR(Q503="RoRo",Q503="Vehicle carrier"),L503*Alukset_fx!$B$72,IF(Q503="RoPax",L503*Alukset_fx!$B$73,IF(Q503="Container ship",L503*Alukset_fx!$B$70,IF(Q503="Barge",0,L503*Alukset_fx!$B$75))))))))</f>
        <v>0</v>
      </c>
      <c r="S503" s="210">
        <f>IF(L503=0,IF(Q503="Other dry cargo",Alukset_fx!$H$73*(Alukset_Käynnit_Lask!K503^Alukset_fx!$I$73),IF(OR(Q503="Dry Bulk",Q503="Bulk carrier"),Alukset_fx!$H$71*(Alukset_Käynnit_Lask!K503^Alukset_fx!$I$71),IF(Q503="Tugboat",Alukset_fx!$H$78*(Alukset_Käynnit_Lask!K503^Alukset_fx!$I$78),IF(OR(Q503="Tanker",Q503="Gas tanker",Q503="Chemical tanker",Q503="Oil tanker"),Alukset_fx!$H$70*(Alukset_Käynnit_Lask!K503^Alukset_fx!$I$70),IF(Q503="Container ship",Alukset_fx!$H$72*(Alukset_Käynnit_Lask!K503^Alukset_fx!$I$72),IF(Q503="Barge",0,IF(Q503="RoPax",Alukset_fx!$H$75*(Alukset_Käynnit_Lask!K503^Alukset_fx!$I$75),IF(OR(Q503="RoRo",Q503="Vehicle carrier"),Alukset_fx!$H$74*(Alukset_Käynnit_Lask!K503^Alukset_fx!$I$74),Alukset_fx!$H$77*(Alukset_Käynnit_Lask!K503^Alukset_fx!$I$77))))))))),"-")</f>
        <v>0</v>
      </c>
      <c r="T503" s="208">
        <f>IF(R503=0,IF(Q503="Other dry cargo",S503*Alukset_fx!$B$71,IF(OR(Q503="Dry bulk",Q503="Bulk carrier"),S503*Alukset_fx!$B$69,IF(Q503="Tugboat",S503*Alukset_fx!$B$76,IF(OR(Q503="Tanker",Q503="Gas tanker",Q503="Chemical tanker",Q503="Oil tanker"),S503*Alukset_fx!$B$68,IF(OR(Q503="RoRo",Q503="Vehicle carrier"),S503*Alukset_fx!$B$72,IF(Q503="RoPax",S503*Alukset_fx!$B$73,IF(Q503="Container ship",S503*Alukset_fx!$B$70,S503*Alukset_fx!$B$75))))))),"-")</f>
        <v>0</v>
      </c>
      <c r="U503" s="208">
        <f t="shared" si="90"/>
        <v>0</v>
      </c>
      <c r="V503" s="208">
        <f t="shared" si="91"/>
        <v>0</v>
      </c>
      <c r="W503" s="202">
        <f>Alukset_Käynnit!N510</f>
        <v>0</v>
      </c>
      <c r="X503" s="211">
        <f>IF(Q503="Other dry cargo", Alukset_fx!$C$52, IF(OR(Q503="Dry bulk",Q503="Bulk carrier"),Alukset_fx!$C$35,IF(OR(Q503="Tanker",Q503="Gas tanker",Q503="Oil tanker"),Alukset_fx!$C$57,IF(Q503="Chemical tanker",Alukset_fx!$C$56,IF(OR(Q503="Tugboat",Q503="Barge"),0,IF(Q503="Other vessel",Alukset_fx!$C$54,IF(Q503="Container ship",Alukset_fx!$C$37,IF(OR(Q503="RoPax",Q503="RoRo",Q503="Vehicle carrier"),Alukset_fx!$C$55,0))))))))</f>
        <v>0</v>
      </c>
      <c r="Y503" s="211">
        <f>IF(Q503="Other dry cargo", Alukset_fx!$Q$52, IF(OR(Q503="Dry bulk",Q503="Bulk carrier"),Alukset_fx!$Q$35,IF(OR(Q503="Tanker",Q503="Gas tanker",Q503="Oil tanker"),Alukset_fx!$Q$57,IF(Q503="Chemical tanker",Alukset_fx!$Q$56,IF(OR(Q503="Tugboat",Q503="Barge"),0,IF(Q503="Other vessel",Alukset_fx!$Q$54,IF(Q503="Container ship",Alukset_fx!$Q$37,IF(OR(Q503="RoPax",Q503="RoRo",Q503="Vehicle carrier"),Alukset_fx!$Q$55,0))))))))</f>
        <v>0</v>
      </c>
      <c r="Z503" t="str">
        <f t="shared" si="92"/>
        <v>MDO/MGO</v>
      </c>
      <c r="AA503" t="str">
        <f t="shared" si="93"/>
        <v>MSD</v>
      </c>
      <c r="AB503" t="str">
        <f t="shared" si="94"/>
        <v>MDO/MGO</v>
      </c>
      <c r="AC503" t="str">
        <f t="shared" si="95"/>
        <v>MSD</v>
      </c>
      <c r="AD503" t="str">
        <f t="shared" si="96"/>
        <v>MDO/MGO</v>
      </c>
      <c r="AE503" t="str">
        <f t="shared" si="97"/>
        <v>ST</v>
      </c>
      <c r="AG503">
        <f>Alukset_Käynnit!O510</f>
        <v>0</v>
      </c>
      <c r="AH503" s="207">
        <f>IF(AA503="SSD",((U503*Alukset_fx!$B$24)*Alukset_Käynnit_Lask!W503*(Alukset_fx!$K$49)/1000),IF(AA503="MSD",((U503*Alukset_fx!$B$24)*Alukset_Käynnit_Lask!W503*(Alukset_fx!$K$52)/1000),IF(AA503="HSD",((U503*Alukset_fx!$B$24)*Alukset_Käynnit_Lask!W503*(Alukset_fx!$K$55)/1000),0)))</f>
        <v>0</v>
      </c>
      <c r="AI503" s="207">
        <f>IF(AC503="MSD",((V503*Alukset_fx!$B$25)*Alukset_Käynnit_Lask!W503*(Alukset_fx!$L$52)/1000),IF(AC503="HSD",((V503*Alukset_fx!$B$25)*Alukset_Käynnit_Lask!W503*(Alukset_fx!$L$55)/1000),0))</f>
        <v>0</v>
      </c>
      <c r="AJ503" s="207">
        <f>X503*W503*Alukset_fx!$K$61/1000</f>
        <v>0</v>
      </c>
      <c r="AK503">
        <v>0</v>
      </c>
      <c r="AL503" s="207">
        <f>IF(AG503="Käytetty",0,IF(AC503="MSD",((V503*Alukset_fx!$O$25)*Alukset_Käynnit_Lask!O503*(Alukset_fx!$L$52)/1000),IF(AC503="HSD",((V503*Alukset_fx!$O$25)*Alukset_Käynnit_Lask!O503*(Alukset_fx!$L$55)/1000),0)))</f>
        <v>0</v>
      </c>
      <c r="AM503" s="207">
        <f>IF(AG503="Käytetty",0,Y503*O503*Alukset_fx!$K$61/1000)</f>
        <v>0</v>
      </c>
      <c r="AN503" s="213">
        <f t="shared" si="98"/>
        <v>0</v>
      </c>
    </row>
    <row r="504" spans="1:40" x14ac:dyDescent="0.25">
      <c r="A504" s="203">
        <f>Alukset_Käynnit!A511</f>
        <v>0</v>
      </c>
      <c r="B504" s="203">
        <f>Alukset_Käynnit!B511</f>
        <v>0</v>
      </c>
      <c r="C504" s="262">
        <f>Alukset_Käynnit!C511</f>
        <v>0</v>
      </c>
      <c r="D504" s="266">
        <f>Alukset_Käynnit!D511</f>
        <v>0</v>
      </c>
      <c r="E504" s="262">
        <f>Alukset_Käynnit!E511</f>
        <v>0</v>
      </c>
      <c r="F504" s="262">
        <f>Alukset_Käynnit!F511</f>
        <v>0</v>
      </c>
      <c r="G504" s="262">
        <f>Alukset_Käynnit!G511</f>
        <v>0</v>
      </c>
      <c r="H504" s="262">
        <f>Alukset_Käynnit!H511</f>
        <v>0</v>
      </c>
      <c r="I504" s="262">
        <f>Alukset_Käynnit!I511</f>
        <v>0</v>
      </c>
      <c r="J504" s="262">
        <f>Alukset_Käynnit!J511</f>
        <v>0</v>
      </c>
      <c r="K504" s="262">
        <f>Alukset_Käynnit!K511</f>
        <v>0</v>
      </c>
      <c r="L504" s="205">
        <f>Alukset_Käynnit!L511</f>
        <v>0</v>
      </c>
      <c r="N504" s="273">
        <f t="shared" si="99"/>
        <v>0</v>
      </c>
      <c r="O504" s="274">
        <f t="shared" si="100"/>
        <v>0</v>
      </c>
      <c r="Q504" s="204">
        <f t="shared" si="89"/>
        <v>0</v>
      </c>
      <c r="R504" s="202">
        <f>IF(Q504="Other dry cargo",L504*Alukset_fx!$B$71,IF(OR(Q504="Dry bulk",Q504="Bulk carrier"),L504*Alukset_fx!$B$69,IF(Q504="Tugboat",L504*Alukset_fx!$B$76,IF(OR(Q504="Tanker",Q504="Gas tanker",Q504="Chemical tanker",Q504="Oil tanker"),L504*Alukset_fx!$B$68,IF(OR(Q504="RoRo",Q504="Vehicle carrier"),L504*Alukset_fx!$B$72,IF(Q504="RoPax",L504*Alukset_fx!$B$73,IF(Q504="Container ship",L504*Alukset_fx!$B$70,IF(Q504="Barge",0,L504*Alukset_fx!$B$75))))))))</f>
        <v>0</v>
      </c>
      <c r="S504" s="210">
        <f>IF(L504=0,IF(Q504="Other dry cargo",Alukset_fx!$H$73*(Alukset_Käynnit_Lask!K504^Alukset_fx!$I$73),IF(OR(Q504="Dry Bulk",Q504="Bulk carrier"),Alukset_fx!$H$71*(Alukset_Käynnit_Lask!K504^Alukset_fx!$I$71),IF(Q504="Tugboat",Alukset_fx!$H$78*(Alukset_Käynnit_Lask!K504^Alukset_fx!$I$78),IF(OR(Q504="Tanker",Q504="Gas tanker",Q504="Chemical tanker",Q504="Oil tanker"),Alukset_fx!$H$70*(Alukset_Käynnit_Lask!K504^Alukset_fx!$I$70),IF(Q504="Container ship",Alukset_fx!$H$72*(Alukset_Käynnit_Lask!K504^Alukset_fx!$I$72),IF(Q504="Barge",0,IF(Q504="RoPax",Alukset_fx!$H$75*(Alukset_Käynnit_Lask!K504^Alukset_fx!$I$75),IF(OR(Q504="RoRo",Q504="Vehicle carrier"),Alukset_fx!$H$74*(Alukset_Käynnit_Lask!K504^Alukset_fx!$I$74),Alukset_fx!$H$77*(Alukset_Käynnit_Lask!K504^Alukset_fx!$I$77))))))))),"-")</f>
        <v>0</v>
      </c>
      <c r="T504" s="208">
        <f>IF(R504=0,IF(Q504="Other dry cargo",S504*Alukset_fx!$B$71,IF(OR(Q504="Dry bulk",Q504="Bulk carrier"),S504*Alukset_fx!$B$69,IF(Q504="Tugboat",S504*Alukset_fx!$B$76,IF(OR(Q504="Tanker",Q504="Gas tanker",Q504="Chemical tanker",Q504="Oil tanker"),S504*Alukset_fx!$B$68,IF(OR(Q504="RoRo",Q504="Vehicle carrier"),S504*Alukset_fx!$B$72,IF(Q504="RoPax",S504*Alukset_fx!$B$73,IF(Q504="Container ship",S504*Alukset_fx!$B$70,S504*Alukset_fx!$B$75))))))),"-")</f>
        <v>0</v>
      </c>
      <c r="U504" s="208">
        <f t="shared" si="90"/>
        <v>0</v>
      </c>
      <c r="V504" s="208">
        <f t="shared" si="91"/>
        <v>0</v>
      </c>
      <c r="W504" s="202">
        <f>Alukset_Käynnit!N511</f>
        <v>0</v>
      </c>
      <c r="X504" s="211">
        <f>IF(Q504="Other dry cargo", Alukset_fx!$C$52, IF(OR(Q504="Dry bulk",Q504="Bulk carrier"),Alukset_fx!$C$35,IF(OR(Q504="Tanker",Q504="Gas tanker",Q504="Oil tanker"),Alukset_fx!$C$57,IF(Q504="Chemical tanker",Alukset_fx!$C$56,IF(OR(Q504="Tugboat",Q504="Barge"),0,IF(Q504="Other vessel",Alukset_fx!$C$54,IF(Q504="Container ship",Alukset_fx!$C$37,IF(OR(Q504="RoPax",Q504="RoRo",Q504="Vehicle carrier"),Alukset_fx!$C$55,0))))))))</f>
        <v>0</v>
      </c>
      <c r="Y504" s="211">
        <f>IF(Q504="Other dry cargo", Alukset_fx!$Q$52, IF(OR(Q504="Dry bulk",Q504="Bulk carrier"),Alukset_fx!$Q$35,IF(OR(Q504="Tanker",Q504="Gas tanker",Q504="Oil tanker"),Alukset_fx!$Q$57,IF(Q504="Chemical tanker",Alukset_fx!$Q$56,IF(OR(Q504="Tugboat",Q504="Barge"),0,IF(Q504="Other vessel",Alukset_fx!$Q$54,IF(Q504="Container ship",Alukset_fx!$Q$37,IF(OR(Q504="RoPax",Q504="RoRo",Q504="Vehicle carrier"),Alukset_fx!$Q$55,0))))))))</f>
        <v>0</v>
      </c>
      <c r="Z504" t="str">
        <f t="shared" si="92"/>
        <v>MDO/MGO</v>
      </c>
      <c r="AA504" t="str">
        <f t="shared" si="93"/>
        <v>MSD</v>
      </c>
      <c r="AB504" t="str">
        <f t="shared" si="94"/>
        <v>MDO/MGO</v>
      </c>
      <c r="AC504" t="str">
        <f t="shared" si="95"/>
        <v>MSD</v>
      </c>
      <c r="AD504" t="str">
        <f t="shared" si="96"/>
        <v>MDO/MGO</v>
      </c>
      <c r="AE504" t="str">
        <f t="shared" si="97"/>
        <v>ST</v>
      </c>
      <c r="AG504">
        <f>Alukset_Käynnit!O511</f>
        <v>0</v>
      </c>
      <c r="AH504" s="207">
        <f>IF(AA504="SSD",((U504*Alukset_fx!$B$24)*Alukset_Käynnit_Lask!W504*(Alukset_fx!$K$49)/1000),IF(AA504="MSD",((U504*Alukset_fx!$B$24)*Alukset_Käynnit_Lask!W504*(Alukset_fx!$K$52)/1000),IF(AA504="HSD",((U504*Alukset_fx!$B$24)*Alukset_Käynnit_Lask!W504*(Alukset_fx!$K$55)/1000),0)))</f>
        <v>0</v>
      </c>
      <c r="AI504" s="207">
        <f>IF(AC504="MSD",((V504*Alukset_fx!$B$25)*Alukset_Käynnit_Lask!W504*(Alukset_fx!$L$52)/1000),IF(AC504="HSD",((V504*Alukset_fx!$B$25)*Alukset_Käynnit_Lask!W504*(Alukset_fx!$L$55)/1000),0))</f>
        <v>0</v>
      </c>
      <c r="AJ504" s="207">
        <f>X504*W504*Alukset_fx!$K$61/1000</f>
        <v>0</v>
      </c>
      <c r="AK504">
        <v>0</v>
      </c>
      <c r="AL504" s="207">
        <f>IF(AG504="Käytetty",0,IF(AC504="MSD",((V504*Alukset_fx!$O$25)*Alukset_Käynnit_Lask!O504*(Alukset_fx!$L$52)/1000),IF(AC504="HSD",((V504*Alukset_fx!$O$25)*Alukset_Käynnit_Lask!O504*(Alukset_fx!$L$55)/1000),0)))</f>
        <v>0</v>
      </c>
      <c r="AM504" s="207">
        <f>IF(AG504="Käytetty",0,Y504*O504*Alukset_fx!$K$61/1000)</f>
        <v>0</v>
      </c>
      <c r="AN504" s="213">
        <f t="shared" si="98"/>
        <v>0</v>
      </c>
    </row>
    <row r="505" spans="1:40" x14ac:dyDescent="0.25">
      <c r="A505" s="203">
        <f>Alukset_Käynnit!A512</f>
        <v>0</v>
      </c>
      <c r="B505" s="203">
        <f>Alukset_Käynnit!B512</f>
        <v>0</v>
      </c>
      <c r="C505" s="262">
        <f>Alukset_Käynnit!C512</f>
        <v>0</v>
      </c>
      <c r="D505" s="266">
        <f>Alukset_Käynnit!D512</f>
        <v>0</v>
      </c>
      <c r="E505" s="262">
        <f>Alukset_Käynnit!E512</f>
        <v>0</v>
      </c>
      <c r="F505" s="262">
        <f>Alukset_Käynnit!F512</f>
        <v>0</v>
      </c>
      <c r="G505" s="262">
        <f>Alukset_Käynnit!G512</f>
        <v>0</v>
      </c>
      <c r="H505" s="262">
        <f>Alukset_Käynnit!H512</f>
        <v>0</v>
      </c>
      <c r="I505" s="262">
        <f>Alukset_Käynnit!I512</f>
        <v>0</v>
      </c>
      <c r="J505" s="262">
        <f>Alukset_Käynnit!J512</f>
        <v>0</v>
      </c>
      <c r="K505" s="262">
        <f>Alukset_Käynnit!K512</f>
        <v>0</v>
      </c>
      <c r="L505" s="205">
        <f>Alukset_Käynnit!L512</f>
        <v>0</v>
      </c>
      <c r="N505" s="273">
        <f t="shared" si="99"/>
        <v>0</v>
      </c>
      <c r="O505" s="274">
        <f t="shared" si="100"/>
        <v>0</v>
      </c>
      <c r="Q505" s="204">
        <f t="shared" si="89"/>
        <v>0</v>
      </c>
      <c r="R505" s="202">
        <f>IF(Q505="Other dry cargo",L505*Alukset_fx!$B$71,IF(OR(Q505="Dry bulk",Q505="Bulk carrier"),L505*Alukset_fx!$B$69,IF(Q505="Tugboat",L505*Alukset_fx!$B$76,IF(OR(Q505="Tanker",Q505="Gas tanker",Q505="Chemical tanker",Q505="Oil tanker"),L505*Alukset_fx!$B$68,IF(OR(Q505="RoRo",Q505="Vehicle carrier"),L505*Alukset_fx!$B$72,IF(Q505="RoPax",L505*Alukset_fx!$B$73,IF(Q505="Container ship",L505*Alukset_fx!$B$70,IF(Q505="Barge",0,L505*Alukset_fx!$B$75))))))))</f>
        <v>0</v>
      </c>
      <c r="S505" s="210">
        <f>IF(L505=0,IF(Q505="Other dry cargo",Alukset_fx!$H$73*(Alukset_Käynnit_Lask!K505^Alukset_fx!$I$73),IF(OR(Q505="Dry Bulk",Q505="Bulk carrier"),Alukset_fx!$H$71*(Alukset_Käynnit_Lask!K505^Alukset_fx!$I$71),IF(Q505="Tugboat",Alukset_fx!$H$78*(Alukset_Käynnit_Lask!K505^Alukset_fx!$I$78),IF(OR(Q505="Tanker",Q505="Gas tanker",Q505="Chemical tanker",Q505="Oil tanker"),Alukset_fx!$H$70*(Alukset_Käynnit_Lask!K505^Alukset_fx!$I$70),IF(Q505="Container ship",Alukset_fx!$H$72*(Alukset_Käynnit_Lask!K505^Alukset_fx!$I$72),IF(Q505="Barge",0,IF(Q505="RoPax",Alukset_fx!$H$75*(Alukset_Käynnit_Lask!K505^Alukset_fx!$I$75),IF(OR(Q505="RoRo",Q505="Vehicle carrier"),Alukset_fx!$H$74*(Alukset_Käynnit_Lask!K505^Alukset_fx!$I$74),Alukset_fx!$H$77*(Alukset_Käynnit_Lask!K505^Alukset_fx!$I$77))))))))),"-")</f>
        <v>0</v>
      </c>
      <c r="T505" s="208">
        <f>IF(R505=0,IF(Q505="Other dry cargo",S505*Alukset_fx!$B$71,IF(OR(Q505="Dry bulk",Q505="Bulk carrier"),S505*Alukset_fx!$B$69,IF(Q505="Tugboat",S505*Alukset_fx!$B$76,IF(OR(Q505="Tanker",Q505="Gas tanker",Q505="Chemical tanker",Q505="Oil tanker"),S505*Alukset_fx!$B$68,IF(OR(Q505="RoRo",Q505="Vehicle carrier"),S505*Alukset_fx!$B$72,IF(Q505="RoPax",S505*Alukset_fx!$B$73,IF(Q505="Container ship",S505*Alukset_fx!$B$70,S505*Alukset_fx!$B$75))))))),"-")</f>
        <v>0</v>
      </c>
      <c r="U505" s="208">
        <f t="shared" si="90"/>
        <v>0</v>
      </c>
      <c r="V505" s="208">
        <f t="shared" si="91"/>
        <v>0</v>
      </c>
      <c r="W505" s="202">
        <f>Alukset_Käynnit!N512</f>
        <v>0</v>
      </c>
      <c r="X505" s="211">
        <f>IF(Q505="Other dry cargo", Alukset_fx!$C$52, IF(OR(Q505="Dry bulk",Q505="Bulk carrier"),Alukset_fx!$C$35,IF(OR(Q505="Tanker",Q505="Gas tanker",Q505="Oil tanker"),Alukset_fx!$C$57,IF(Q505="Chemical tanker",Alukset_fx!$C$56,IF(OR(Q505="Tugboat",Q505="Barge"),0,IF(Q505="Other vessel",Alukset_fx!$C$54,IF(Q505="Container ship",Alukset_fx!$C$37,IF(OR(Q505="RoPax",Q505="RoRo",Q505="Vehicle carrier"),Alukset_fx!$C$55,0))))))))</f>
        <v>0</v>
      </c>
      <c r="Y505" s="211">
        <f>IF(Q505="Other dry cargo", Alukset_fx!$Q$52, IF(OR(Q505="Dry bulk",Q505="Bulk carrier"),Alukset_fx!$Q$35,IF(OR(Q505="Tanker",Q505="Gas tanker",Q505="Oil tanker"),Alukset_fx!$Q$57,IF(Q505="Chemical tanker",Alukset_fx!$Q$56,IF(OR(Q505="Tugboat",Q505="Barge"),0,IF(Q505="Other vessel",Alukset_fx!$Q$54,IF(Q505="Container ship",Alukset_fx!$Q$37,IF(OR(Q505="RoPax",Q505="RoRo",Q505="Vehicle carrier"),Alukset_fx!$Q$55,0))))))))</f>
        <v>0</v>
      </c>
      <c r="Z505" t="str">
        <f t="shared" si="92"/>
        <v>MDO/MGO</v>
      </c>
      <c r="AA505" t="str">
        <f t="shared" si="93"/>
        <v>MSD</v>
      </c>
      <c r="AB505" t="str">
        <f t="shared" si="94"/>
        <v>MDO/MGO</v>
      </c>
      <c r="AC505" t="str">
        <f t="shared" si="95"/>
        <v>MSD</v>
      </c>
      <c r="AD505" t="str">
        <f t="shared" si="96"/>
        <v>MDO/MGO</v>
      </c>
      <c r="AE505" t="str">
        <f t="shared" si="97"/>
        <v>ST</v>
      </c>
      <c r="AG505">
        <f>Alukset_Käynnit!O512</f>
        <v>0</v>
      </c>
      <c r="AH505" s="207">
        <f>IF(AA505="SSD",((U505*Alukset_fx!$B$24)*Alukset_Käynnit_Lask!W505*(Alukset_fx!$K$49)/1000),IF(AA505="MSD",((U505*Alukset_fx!$B$24)*Alukset_Käynnit_Lask!W505*(Alukset_fx!$K$52)/1000),IF(AA505="HSD",((U505*Alukset_fx!$B$24)*Alukset_Käynnit_Lask!W505*(Alukset_fx!$K$55)/1000),0)))</f>
        <v>0</v>
      </c>
      <c r="AI505" s="207">
        <f>IF(AC505="MSD",((V505*Alukset_fx!$B$25)*Alukset_Käynnit_Lask!W505*(Alukset_fx!$L$52)/1000),IF(AC505="HSD",((V505*Alukset_fx!$B$25)*Alukset_Käynnit_Lask!W505*(Alukset_fx!$L$55)/1000),0))</f>
        <v>0</v>
      </c>
      <c r="AJ505" s="207">
        <f>X505*W505*Alukset_fx!$K$61/1000</f>
        <v>0</v>
      </c>
      <c r="AK505">
        <v>0</v>
      </c>
      <c r="AL505" s="207">
        <f>IF(AG505="Käytetty",0,IF(AC505="MSD",((V505*Alukset_fx!$O$25)*Alukset_Käynnit_Lask!O505*(Alukset_fx!$L$52)/1000),IF(AC505="HSD",((V505*Alukset_fx!$O$25)*Alukset_Käynnit_Lask!O505*(Alukset_fx!$L$55)/1000),0)))</f>
        <v>0</v>
      </c>
      <c r="AM505" s="207">
        <f>IF(AG505="Käytetty",0,Y505*O505*Alukset_fx!$K$61/1000)</f>
        <v>0</v>
      </c>
      <c r="AN505" s="213">
        <f t="shared" si="98"/>
        <v>0</v>
      </c>
    </row>
    <row r="506" spans="1:40" x14ac:dyDescent="0.25">
      <c r="A506" s="203">
        <f>Alukset_Käynnit!A513</f>
        <v>0</v>
      </c>
      <c r="B506" s="203">
        <f>Alukset_Käynnit!B513</f>
        <v>0</v>
      </c>
      <c r="C506" s="262">
        <f>Alukset_Käynnit!C513</f>
        <v>0</v>
      </c>
      <c r="D506" s="266">
        <f>Alukset_Käynnit!D513</f>
        <v>0</v>
      </c>
      <c r="E506" s="262">
        <f>Alukset_Käynnit!E513</f>
        <v>0</v>
      </c>
      <c r="F506" s="262">
        <f>Alukset_Käynnit!F513</f>
        <v>0</v>
      </c>
      <c r="G506" s="262">
        <f>Alukset_Käynnit!G513</f>
        <v>0</v>
      </c>
      <c r="H506" s="262">
        <f>Alukset_Käynnit!H513</f>
        <v>0</v>
      </c>
      <c r="I506" s="262">
        <f>Alukset_Käynnit!I513</f>
        <v>0</v>
      </c>
      <c r="J506" s="262">
        <f>Alukset_Käynnit!J513</f>
        <v>0</v>
      </c>
      <c r="K506" s="262">
        <f>Alukset_Käynnit!K513</f>
        <v>0</v>
      </c>
      <c r="L506" s="205">
        <f>Alukset_Käynnit!L513</f>
        <v>0</v>
      </c>
      <c r="N506" s="273">
        <f t="shared" si="99"/>
        <v>0</v>
      </c>
      <c r="O506" s="274">
        <f t="shared" si="100"/>
        <v>0</v>
      </c>
      <c r="Q506" s="204">
        <f t="shared" si="89"/>
        <v>0</v>
      </c>
      <c r="R506" s="202">
        <f>IF(Q506="Other dry cargo",L506*Alukset_fx!$B$71,IF(OR(Q506="Dry bulk",Q506="Bulk carrier"),L506*Alukset_fx!$B$69,IF(Q506="Tugboat",L506*Alukset_fx!$B$76,IF(OR(Q506="Tanker",Q506="Gas tanker",Q506="Chemical tanker",Q506="Oil tanker"),L506*Alukset_fx!$B$68,IF(OR(Q506="RoRo",Q506="Vehicle carrier"),L506*Alukset_fx!$B$72,IF(Q506="RoPax",L506*Alukset_fx!$B$73,IF(Q506="Container ship",L506*Alukset_fx!$B$70,IF(Q506="Barge",0,L506*Alukset_fx!$B$75))))))))</f>
        <v>0</v>
      </c>
      <c r="S506" s="210">
        <f>IF(L506=0,IF(Q506="Other dry cargo",Alukset_fx!$H$73*(Alukset_Käynnit_Lask!K506^Alukset_fx!$I$73),IF(OR(Q506="Dry Bulk",Q506="Bulk carrier"),Alukset_fx!$H$71*(Alukset_Käynnit_Lask!K506^Alukset_fx!$I$71),IF(Q506="Tugboat",Alukset_fx!$H$78*(Alukset_Käynnit_Lask!K506^Alukset_fx!$I$78),IF(OR(Q506="Tanker",Q506="Gas tanker",Q506="Chemical tanker",Q506="Oil tanker"),Alukset_fx!$H$70*(Alukset_Käynnit_Lask!K506^Alukset_fx!$I$70),IF(Q506="Container ship",Alukset_fx!$H$72*(Alukset_Käynnit_Lask!K506^Alukset_fx!$I$72),IF(Q506="Barge",0,IF(Q506="RoPax",Alukset_fx!$H$75*(Alukset_Käynnit_Lask!K506^Alukset_fx!$I$75),IF(OR(Q506="RoRo",Q506="Vehicle carrier"),Alukset_fx!$H$74*(Alukset_Käynnit_Lask!K506^Alukset_fx!$I$74),Alukset_fx!$H$77*(Alukset_Käynnit_Lask!K506^Alukset_fx!$I$77))))))))),"-")</f>
        <v>0</v>
      </c>
      <c r="T506" s="208">
        <f>IF(R506=0,IF(Q506="Other dry cargo",S506*Alukset_fx!$B$71,IF(OR(Q506="Dry bulk",Q506="Bulk carrier"),S506*Alukset_fx!$B$69,IF(Q506="Tugboat",S506*Alukset_fx!$B$76,IF(OR(Q506="Tanker",Q506="Gas tanker",Q506="Chemical tanker",Q506="Oil tanker"),S506*Alukset_fx!$B$68,IF(OR(Q506="RoRo",Q506="Vehicle carrier"),S506*Alukset_fx!$B$72,IF(Q506="RoPax",S506*Alukset_fx!$B$73,IF(Q506="Container ship",S506*Alukset_fx!$B$70,S506*Alukset_fx!$B$75))))))),"-")</f>
        <v>0</v>
      </c>
      <c r="U506" s="208">
        <f t="shared" si="90"/>
        <v>0</v>
      </c>
      <c r="V506" s="208">
        <f t="shared" si="91"/>
        <v>0</v>
      </c>
      <c r="W506" s="202">
        <f>Alukset_Käynnit!N513</f>
        <v>0</v>
      </c>
      <c r="X506" s="211">
        <f>IF(Q506="Other dry cargo", Alukset_fx!$C$52, IF(OR(Q506="Dry bulk",Q506="Bulk carrier"),Alukset_fx!$C$35,IF(OR(Q506="Tanker",Q506="Gas tanker",Q506="Oil tanker"),Alukset_fx!$C$57,IF(Q506="Chemical tanker",Alukset_fx!$C$56,IF(OR(Q506="Tugboat",Q506="Barge"),0,IF(Q506="Other vessel",Alukset_fx!$C$54,IF(Q506="Container ship",Alukset_fx!$C$37,IF(OR(Q506="RoPax",Q506="RoRo",Q506="Vehicle carrier"),Alukset_fx!$C$55,0))))))))</f>
        <v>0</v>
      </c>
      <c r="Y506" s="211">
        <f>IF(Q506="Other dry cargo", Alukset_fx!$Q$52, IF(OR(Q506="Dry bulk",Q506="Bulk carrier"),Alukset_fx!$Q$35,IF(OR(Q506="Tanker",Q506="Gas tanker",Q506="Oil tanker"),Alukset_fx!$Q$57,IF(Q506="Chemical tanker",Alukset_fx!$Q$56,IF(OR(Q506="Tugboat",Q506="Barge"),0,IF(Q506="Other vessel",Alukset_fx!$Q$54,IF(Q506="Container ship",Alukset_fx!$Q$37,IF(OR(Q506="RoPax",Q506="RoRo",Q506="Vehicle carrier"),Alukset_fx!$Q$55,0))))))))</f>
        <v>0</v>
      </c>
      <c r="Z506" t="str">
        <f t="shared" si="92"/>
        <v>MDO/MGO</v>
      </c>
      <c r="AA506" t="str">
        <f t="shared" si="93"/>
        <v>MSD</v>
      </c>
      <c r="AB506" t="str">
        <f t="shared" si="94"/>
        <v>MDO/MGO</v>
      </c>
      <c r="AC506" t="str">
        <f t="shared" si="95"/>
        <v>MSD</v>
      </c>
      <c r="AD506" t="str">
        <f t="shared" si="96"/>
        <v>MDO/MGO</v>
      </c>
      <c r="AE506" t="str">
        <f t="shared" si="97"/>
        <v>ST</v>
      </c>
      <c r="AG506">
        <f>Alukset_Käynnit!O513</f>
        <v>0</v>
      </c>
      <c r="AH506" s="207">
        <f>IF(AA506="SSD",((U506*Alukset_fx!$B$24)*Alukset_Käynnit_Lask!W506*(Alukset_fx!$K$49)/1000),IF(AA506="MSD",((U506*Alukset_fx!$B$24)*Alukset_Käynnit_Lask!W506*(Alukset_fx!$K$52)/1000),IF(AA506="HSD",((U506*Alukset_fx!$B$24)*Alukset_Käynnit_Lask!W506*(Alukset_fx!$K$55)/1000),0)))</f>
        <v>0</v>
      </c>
      <c r="AI506" s="207">
        <f>IF(AC506="MSD",((V506*Alukset_fx!$B$25)*Alukset_Käynnit_Lask!W506*(Alukset_fx!$L$52)/1000),IF(AC506="HSD",((V506*Alukset_fx!$B$25)*Alukset_Käynnit_Lask!W506*(Alukset_fx!$L$55)/1000),0))</f>
        <v>0</v>
      </c>
      <c r="AJ506" s="207">
        <f>X506*W506*Alukset_fx!$K$61/1000</f>
        <v>0</v>
      </c>
      <c r="AK506">
        <v>0</v>
      </c>
      <c r="AL506" s="207">
        <f>IF(AG506="Käytetty",0,IF(AC506="MSD",((V506*Alukset_fx!$O$25)*Alukset_Käynnit_Lask!O506*(Alukset_fx!$L$52)/1000),IF(AC506="HSD",((V506*Alukset_fx!$O$25)*Alukset_Käynnit_Lask!O506*(Alukset_fx!$L$55)/1000),0)))</f>
        <v>0</v>
      </c>
      <c r="AM506" s="207">
        <f>IF(AG506="Käytetty",0,Y506*O506*Alukset_fx!$K$61/1000)</f>
        <v>0</v>
      </c>
      <c r="AN506" s="213">
        <f t="shared" si="98"/>
        <v>0</v>
      </c>
    </row>
    <row r="507" spans="1:40" x14ac:dyDescent="0.25">
      <c r="A507" s="203">
        <f>Alukset_Käynnit!A514</f>
        <v>0</v>
      </c>
      <c r="B507" s="203">
        <f>Alukset_Käynnit!B514</f>
        <v>0</v>
      </c>
      <c r="C507" s="262">
        <f>Alukset_Käynnit!C514</f>
        <v>0</v>
      </c>
      <c r="D507" s="266">
        <f>Alukset_Käynnit!D514</f>
        <v>0</v>
      </c>
      <c r="E507" s="262">
        <f>Alukset_Käynnit!E514</f>
        <v>0</v>
      </c>
      <c r="F507" s="262">
        <f>Alukset_Käynnit!F514</f>
        <v>0</v>
      </c>
      <c r="G507" s="262">
        <f>Alukset_Käynnit!G514</f>
        <v>0</v>
      </c>
      <c r="H507" s="262">
        <f>Alukset_Käynnit!H514</f>
        <v>0</v>
      </c>
      <c r="I507" s="262">
        <f>Alukset_Käynnit!I514</f>
        <v>0</v>
      </c>
      <c r="J507" s="262">
        <f>Alukset_Käynnit!J514</f>
        <v>0</v>
      </c>
      <c r="K507" s="262">
        <f>Alukset_Käynnit!K514</f>
        <v>0</v>
      </c>
      <c r="L507" s="205">
        <f>Alukset_Käynnit!L514</f>
        <v>0</v>
      </c>
      <c r="N507" s="273">
        <f t="shared" si="99"/>
        <v>0</v>
      </c>
      <c r="O507" s="274">
        <f t="shared" si="100"/>
        <v>0</v>
      </c>
      <c r="Q507" s="204">
        <f t="shared" si="89"/>
        <v>0</v>
      </c>
      <c r="R507" s="202">
        <f>IF(Q507="Other dry cargo",L507*Alukset_fx!$B$71,IF(OR(Q507="Dry bulk",Q507="Bulk carrier"),L507*Alukset_fx!$B$69,IF(Q507="Tugboat",L507*Alukset_fx!$B$76,IF(OR(Q507="Tanker",Q507="Gas tanker",Q507="Chemical tanker",Q507="Oil tanker"),L507*Alukset_fx!$B$68,IF(OR(Q507="RoRo",Q507="Vehicle carrier"),L507*Alukset_fx!$B$72,IF(Q507="RoPax",L507*Alukset_fx!$B$73,IF(Q507="Container ship",L507*Alukset_fx!$B$70,IF(Q507="Barge",0,L507*Alukset_fx!$B$75))))))))</f>
        <v>0</v>
      </c>
      <c r="S507" s="210">
        <f>IF(L507=0,IF(Q507="Other dry cargo",Alukset_fx!$H$73*(Alukset_Käynnit_Lask!K507^Alukset_fx!$I$73),IF(OR(Q507="Dry Bulk",Q507="Bulk carrier"),Alukset_fx!$H$71*(Alukset_Käynnit_Lask!K507^Alukset_fx!$I$71),IF(Q507="Tugboat",Alukset_fx!$H$78*(Alukset_Käynnit_Lask!K507^Alukset_fx!$I$78),IF(OR(Q507="Tanker",Q507="Gas tanker",Q507="Chemical tanker",Q507="Oil tanker"),Alukset_fx!$H$70*(Alukset_Käynnit_Lask!K507^Alukset_fx!$I$70),IF(Q507="Container ship",Alukset_fx!$H$72*(Alukset_Käynnit_Lask!K507^Alukset_fx!$I$72),IF(Q507="Barge",0,IF(Q507="RoPax",Alukset_fx!$H$75*(Alukset_Käynnit_Lask!K507^Alukset_fx!$I$75),IF(OR(Q507="RoRo",Q507="Vehicle carrier"),Alukset_fx!$H$74*(Alukset_Käynnit_Lask!K507^Alukset_fx!$I$74),Alukset_fx!$H$77*(Alukset_Käynnit_Lask!K507^Alukset_fx!$I$77))))))))),"-")</f>
        <v>0</v>
      </c>
      <c r="T507" s="208">
        <f>IF(R507=0,IF(Q507="Other dry cargo",S507*Alukset_fx!$B$71,IF(OR(Q507="Dry bulk",Q507="Bulk carrier"),S507*Alukset_fx!$B$69,IF(Q507="Tugboat",S507*Alukset_fx!$B$76,IF(OR(Q507="Tanker",Q507="Gas tanker",Q507="Chemical tanker",Q507="Oil tanker"),S507*Alukset_fx!$B$68,IF(OR(Q507="RoRo",Q507="Vehicle carrier"),S507*Alukset_fx!$B$72,IF(Q507="RoPax",S507*Alukset_fx!$B$73,IF(Q507="Container ship",S507*Alukset_fx!$B$70,S507*Alukset_fx!$B$75))))))),"-")</f>
        <v>0</v>
      </c>
      <c r="U507" s="208">
        <f t="shared" si="90"/>
        <v>0</v>
      </c>
      <c r="V507" s="208">
        <f t="shared" si="91"/>
        <v>0</v>
      </c>
      <c r="W507" s="202">
        <f>Alukset_Käynnit!N514</f>
        <v>0</v>
      </c>
      <c r="X507" s="211">
        <f>IF(Q507="Other dry cargo", Alukset_fx!$C$52, IF(OR(Q507="Dry bulk",Q507="Bulk carrier"),Alukset_fx!$C$35,IF(OR(Q507="Tanker",Q507="Gas tanker",Q507="Oil tanker"),Alukset_fx!$C$57,IF(Q507="Chemical tanker",Alukset_fx!$C$56,IF(OR(Q507="Tugboat",Q507="Barge"),0,IF(Q507="Other vessel",Alukset_fx!$C$54,IF(Q507="Container ship",Alukset_fx!$C$37,IF(OR(Q507="RoPax",Q507="RoRo",Q507="Vehicle carrier"),Alukset_fx!$C$55,0))))))))</f>
        <v>0</v>
      </c>
      <c r="Y507" s="211">
        <f>IF(Q507="Other dry cargo", Alukset_fx!$Q$52, IF(OR(Q507="Dry bulk",Q507="Bulk carrier"),Alukset_fx!$Q$35,IF(OR(Q507="Tanker",Q507="Gas tanker",Q507="Oil tanker"),Alukset_fx!$Q$57,IF(Q507="Chemical tanker",Alukset_fx!$Q$56,IF(OR(Q507="Tugboat",Q507="Barge"),0,IF(Q507="Other vessel",Alukset_fx!$Q$54,IF(Q507="Container ship",Alukset_fx!$Q$37,IF(OR(Q507="RoPax",Q507="RoRo",Q507="Vehicle carrier"),Alukset_fx!$Q$55,0))))))))</f>
        <v>0</v>
      </c>
      <c r="Z507" t="str">
        <f t="shared" si="92"/>
        <v>MDO/MGO</v>
      </c>
      <c r="AA507" t="str">
        <f t="shared" si="93"/>
        <v>MSD</v>
      </c>
      <c r="AB507" t="str">
        <f t="shared" si="94"/>
        <v>MDO/MGO</v>
      </c>
      <c r="AC507" t="str">
        <f t="shared" si="95"/>
        <v>MSD</v>
      </c>
      <c r="AD507" t="str">
        <f t="shared" si="96"/>
        <v>MDO/MGO</v>
      </c>
      <c r="AE507" t="str">
        <f t="shared" si="97"/>
        <v>ST</v>
      </c>
      <c r="AG507">
        <f>Alukset_Käynnit!O514</f>
        <v>0</v>
      </c>
      <c r="AH507" s="207">
        <f>IF(AA507="SSD",((U507*Alukset_fx!$B$24)*Alukset_Käynnit_Lask!W507*(Alukset_fx!$K$49)/1000),IF(AA507="MSD",((U507*Alukset_fx!$B$24)*Alukset_Käynnit_Lask!W507*(Alukset_fx!$K$52)/1000),IF(AA507="HSD",((U507*Alukset_fx!$B$24)*Alukset_Käynnit_Lask!W507*(Alukset_fx!$K$55)/1000),0)))</f>
        <v>0</v>
      </c>
      <c r="AI507" s="207">
        <f>IF(AC507="MSD",((V507*Alukset_fx!$B$25)*Alukset_Käynnit_Lask!W507*(Alukset_fx!$L$52)/1000),IF(AC507="HSD",((V507*Alukset_fx!$B$25)*Alukset_Käynnit_Lask!W507*(Alukset_fx!$L$55)/1000),0))</f>
        <v>0</v>
      </c>
      <c r="AJ507" s="207">
        <f>X507*W507*Alukset_fx!$K$61/1000</f>
        <v>0</v>
      </c>
      <c r="AK507">
        <v>0</v>
      </c>
      <c r="AL507" s="207">
        <f>IF(AG507="Käytetty",0,IF(AC507="MSD",((V507*Alukset_fx!$O$25)*Alukset_Käynnit_Lask!O507*(Alukset_fx!$L$52)/1000),IF(AC507="HSD",((V507*Alukset_fx!$O$25)*Alukset_Käynnit_Lask!O507*(Alukset_fx!$L$55)/1000),0)))</f>
        <v>0</v>
      </c>
      <c r="AM507" s="207">
        <f>IF(AG507="Käytetty",0,Y507*O507*Alukset_fx!$K$61/1000)</f>
        <v>0</v>
      </c>
      <c r="AN507" s="213">
        <f t="shared" si="98"/>
        <v>0</v>
      </c>
    </row>
    <row r="508" spans="1:40" x14ac:dyDescent="0.25">
      <c r="A508" s="203">
        <f>Alukset_Käynnit!A515</f>
        <v>0</v>
      </c>
      <c r="B508" s="203">
        <f>Alukset_Käynnit!B515</f>
        <v>0</v>
      </c>
      <c r="C508" s="262">
        <f>Alukset_Käynnit!C515</f>
        <v>0</v>
      </c>
      <c r="D508" s="266">
        <f>Alukset_Käynnit!D515</f>
        <v>0</v>
      </c>
      <c r="E508" s="262">
        <f>Alukset_Käynnit!E515</f>
        <v>0</v>
      </c>
      <c r="F508" s="262">
        <f>Alukset_Käynnit!F515</f>
        <v>0</v>
      </c>
      <c r="G508" s="262">
        <f>Alukset_Käynnit!G515</f>
        <v>0</v>
      </c>
      <c r="H508" s="262">
        <f>Alukset_Käynnit!H515</f>
        <v>0</v>
      </c>
      <c r="I508" s="262">
        <f>Alukset_Käynnit!I515</f>
        <v>0</v>
      </c>
      <c r="J508" s="262">
        <f>Alukset_Käynnit!J515</f>
        <v>0</v>
      </c>
      <c r="K508" s="262">
        <f>Alukset_Käynnit!K515</f>
        <v>0</v>
      </c>
      <c r="L508" s="205">
        <f>Alukset_Käynnit!L515</f>
        <v>0</v>
      </c>
      <c r="N508" s="273">
        <f t="shared" si="99"/>
        <v>0</v>
      </c>
      <c r="O508" s="274">
        <f t="shared" si="100"/>
        <v>0</v>
      </c>
      <c r="Q508" s="204">
        <f t="shared" si="89"/>
        <v>0</v>
      </c>
      <c r="R508" s="202">
        <f>IF(Q508="Other dry cargo",L508*Alukset_fx!$B$71,IF(OR(Q508="Dry bulk",Q508="Bulk carrier"),L508*Alukset_fx!$B$69,IF(Q508="Tugboat",L508*Alukset_fx!$B$76,IF(OR(Q508="Tanker",Q508="Gas tanker",Q508="Chemical tanker",Q508="Oil tanker"),L508*Alukset_fx!$B$68,IF(OR(Q508="RoRo",Q508="Vehicle carrier"),L508*Alukset_fx!$B$72,IF(Q508="RoPax",L508*Alukset_fx!$B$73,IF(Q508="Container ship",L508*Alukset_fx!$B$70,IF(Q508="Barge",0,L508*Alukset_fx!$B$75))))))))</f>
        <v>0</v>
      </c>
      <c r="S508" s="210">
        <f>IF(L508=0,IF(Q508="Other dry cargo",Alukset_fx!$H$73*(Alukset_Käynnit_Lask!K508^Alukset_fx!$I$73),IF(OR(Q508="Dry Bulk",Q508="Bulk carrier"),Alukset_fx!$H$71*(Alukset_Käynnit_Lask!K508^Alukset_fx!$I$71),IF(Q508="Tugboat",Alukset_fx!$H$78*(Alukset_Käynnit_Lask!K508^Alukset_fx!$I$78),IF(OR(Q508="Tanker",Q508="Gas tanker",Q508="Chemical tanker",Q508="Oil tanker"),Alukset_fx!$H$70*(Alukset_Käynnit_Lask!K508^Alukset_fx!$I$70),IF(Q508="Container ship",Alukset_fx!$H$72*(Alukset_Käynnit_Lask!K508^Alukset_fx!$I$72),IF(Q508="Barge",0,IF(Q508="RoPax",Alukset_fx!$H$75*(Alukset_Käynnit_Lask!K508^Alukset_fx!$I$75),IF(OR(Q508="RoRo",Q508="Vehicle carrier"),Alukset_fx!$H$74*(Alukset_Käynnit_Lask!K508^Alukset_fx!$I$74),Alukset_fx!$H$77*(Alukset_Käynnit_Lask!K508^Alukset_fx!$I$77))))))))),"-")</f>
        <v>0</v>
      </c>
      <c r="T508" s="208">
        <f>IF(R508=0,IF(Q508="Other dry cargo",S508*Alukset_fx!$B$71,IF(OR(Q508="Dry bulk",Q508="Bulk carrier"),S508*Alukset_fx!$B$69,IF(Q508="Tugboat",S508*Alukset_fx!$B$76,IF(OR(Q508="Tanker",Q508="Gas tanker",Q508="Chemical tanker",Q508="Oil tanker"),S508*Alukset_fx!$B$68,IF(OR(Q508="RoRo",Q508="Vehicle carrier"),S508*Alukset_fx!$B$72,IF(Q508="RoPax",S508*Alukset_fx!$B$73,IF(Q508="Container ship",S508*Alukset_fx!$B$70,S508*Alukset_fx!$B$75))))))),"-")</f>
        <v>0</v>
      </c>
      <c r="U508" s="208">
        <f t="shared" si="90"/>
        <v>0</v>
      </c>
      <c r="V508" s="208">
        <f t="shared" si="91"/>
        <v>0</v>
      </c>
      <c r="W508" s="202">
        <f>Alukset_Käynnit!N515</f>
        <v>0</v>
      </c>
      <c r="X508" s="211">
        <f>IF(Q508="Other dry cargo", Alukset_fx!$C$52, IF(OR(Q508="Dry bulk",Q508="Bulk carrier"),Alukset_fx!$C$35,IF(OR(Q508="Tanker",Q508="Gas tanker",Q508="Oil tanker"),Alukset_fx!$C$57,IF(Q508="Chemical tanker",Alukset_fx!$C$56,IF(OR(Q508="Tugboat",Q508="Barge"),0,IF(Q508="Other vessel",Alukset_fx!$C$54,IF(Q508="Container ship",Alukset_fx!$C$37,IF(OR(Q508="RoPax",Q508="RoRo",Q508="Vehicle carrier"),Alukset_fx!$C$55,0))))))))</f>
        <v>0</v>
      </c>
      <c r="Y508" s="211">
        <f>IF(Q508="Other dry cargo", Alukset_fx!$Q$52, IF(OR(Q508="Dry bulk",Q508="Bulk carrier"),Alukset_fx!$Q$35,IF(OR(Q508="Tanker",Q508="Gas tanker",Q508="Oil tanker"),Alukset_fx!$Q$57,IF(Q508="Chemical tanker",Alukset_fx!$Q$56,IF(OR(Q508="Tugboat",Q508="Barge"),0,IF(Q508="Other vessel",Alukset_fx!$Q$54,IF(Q508="Container ship",Alukset_fx!$Q$37,IF(OR(Q508="RoPax",Q508="RoRo",Q508="Vehicle carrier"),Alukset_fx!$Q$55,0))))))))</f>
        <v>0</v>
      </c>
      <c r="Z508" t="str">
        <f t="shared" si="92"/>
        <v>MDO/MGO</v>
      </c>
      <c r="AA508" t="str">
        <f t="shared" si="93"/>
        <v>MSD</v>
      </c>
      <c r="AB508" t="str">
        <f t="shared" si="94"/>
        <v>MDO/MGO</v>
      </c>
      <c r="AC508" t="str">
        <f t="shared" si="95"/>
        <v>MSD</v>
      </c>
      <c r="AD508" t="str">
        <f t="shared" si="96"/>
        <v>MDO/MGO</v>
      </c>
      <c r="AE508" t="str">
        <f t="shared" si="97"/>
        <v>ST</v>
      </c>
      <c r="AG508">
        <f>Alukset_Käynnit!O515</f>
        <v>0</v>
      </c>
      <c r="AH508" s="207">
        <f>IF(AA508="SSD",((U508*Alukset_fx!$B$24)*Alukset_Käynnit_Lask!W508*(Alukset_fx!$K$49)/1000),IF(AA508="MSD",((U508*Alukset_fx!$B$24)*Alukset_Käynnit_Lask!W508*(Alukset_fx!$K$52)/1000),IF(AA508="HSD",((U508*Alukset_fx!$B$24)*Alukset_Käynnit_Lask!W508*(Alukset_fx!$K$55)/1000),0)))</f>
        <v>0</v>
      </c>
      <c r="AI508" s="207">
        <f>IF(AC508="MSD",((V508*Alukset_fx!$B$25)*Alukset_Käynnit_Lask!W508*(Alukset_fx!$L$52)/1000),IF(AC508="HSD",((V508*Alukset_fx!$B$25)*Alukset_Käynnit_Lask!W508*(Alukset_fx!$L$55)/1000),0))</f>
        <v>0</v>
      </c>
      <c r="AJ508" s="207">
        <f>X508*W508*Alukset_fx!$K$61/1000</f>
        <v>0</v>
      </c>
      <c r="AK508">
        <v>0</v>
      </c>
      <c r="AL508" s="207">
        <f>IF(AG508="Käytetty",0,IF(AC508="MSD",((V508*Alukset_fx!$O$25)*Alukset_Käynnit_Lask!O508*(Alukset_fx!$L$52)/1000),IF(AC508="HSD",((V508*Alukset_fx!$O$25)*Alukset_Käynnit_Lask!O508*(Alukset_fx!$L$55)/1000),0)))</f>
        <v>0</v>
      </c>
      <c r="AM508" s="207">
        <f>IF(AG508="Käytetty",0,Y508*O508*Alukset_fx!$K$61/1000)</f>
        <v>0</v>
      </c>
      <c r="AN508" s="213">
        <f t="shared" si="98"/>
        <v>0</v>
      </c>
    </row>
    <row r="509" spans="1:40" x14ac:dyDescent="0.25">
      <c r="A509" s="203">
        <f>Alukset_Käynnit!A516</f>
        <v>0</v>
      </c>
      <c r="B509" s="203">
        <f>Alukset_Käynnit!B516</f>
        <v>0</v>
      </c>
      <c r="C509" s="262">
        <f>Alukset_Käynnit!C516</f>
        <v>0</v>
      </c>
      <c r="D509" s="266">
        <f>Alukset_Käynnit!D516</f>
        <v>0</v>
      </c>
      <c r="E509" s="262">
        <f>Alukset_Käynnit!E516</f>
        <v>0</v>
      </c>
      <c r="F509" s="262">
        <f>Alukset_Käynnit!F516</f>
        <v>0</v>
      </c>
      <c r="G509" s="262">
        <f>Alukset_Käynnit!G516</f>
        <v>0</v>
      </c>
      <c r="H509" s="262">
        <f>Alukset_Käynnit!H516</f>
        <v>0</v>
      </c>
      <c r="I509" s="262">
        <f>Alukset_Käynnit!I516</f>
        <v>0</v>
      </c>
      <c r="J509" s="262">
        <f>Alukset_Käynnit!J516</f>
        <v>0</v>
      </c>
      <c r="K509" s="262">
        <f>Alukset_Käynnit!K516</f>
        <v>0</v>
      </c>
      <c r="L509" s="205">
        <f>Alukset_Käynnit!L516</f>
        <v>0</v>
      </c>
      <c r="N509" s="273">
        <f t="shared" si="99"/>
        <v>0</v>
      </c>
      <c r="O509" s="274">
        <f t="shared" si="100"/>
        <v>0</v>
      </c>
      <c r="Q509" s="204">
        <f t="shared" si="89"/>
        <v>0</v>
      </c>
      <c r="R509" s="202">
        <f>IF(Q509="Other dry cargo",L509*Alukset_fx!$B$71,IF(OR(Q509="Dry bulk",Q509="Bulk carrier"),L509*Alukset_fx!$B$69,IF(Q509="Tugboat",L509*Alukset_fx!$B$76,IF(OR(Q509="Tanker",Q509="Gas tanker",Q509="Chemical tanker",Q509="Oil tanker"),L509*Alukset_fx!$B$68,IF(OR(Q509="RoRo",Q509="Vehicle carrier"),L509*Alukset_fx!$B$72,IF(Q509="RoPax",L509*Alukset_fx!$B$73,IF(Q509="Container ship",L509*Alukset_fx!$B$70,IF(Q509="Barge",0,L509*Alukset_fx!$B$75))))))))</f>
        <v>0</v>
      </c>
      <c r="S509" s="210">
        <f>IF(L509=0,IF(Q509="Other dry cargo",Alukset_fx!$H$73*(Alukset_Käynnit_Lask!K509^Alukset_fx!$I$73),IF(OR(Q509="Dry Bulk",Q509="Bulk carrier"),Alukset_fx!$H$71*(Alukset_Käynnit_Lask!K509^Alukset_fx!$I$71),IF(Q509="Tugboat",Alukset_fx!$H$78*(Alukset_Käynnit_Lask!K509^Alukset_fx!$I$78),IF(OR(Q509="Tanker",Q509="Gas tanker",Q509="Chemical tanker",Q509="Oil tanker"),Alukset_fx!$H$70*(Alukset_Käynnit_Lask!K509^Alukset_fx!$I$70),IF(Q509="Container ship",Alukset_fx!$H$72*(Alukset_Käynnit_Lask!K509^Alukset_fx!$I$72),IF(Q509="Barge",0,IF(Q509="RoPax",Alukset_fx!$H$75*(Alukset_Käynnit_Lask!K509^Alukset_fx!$I$75),IF(OR(Q509="RoRo",Q509="Vehicle carrier"),Alukset_fx!$H$74*(Alukset_Käynnit_Lask!K509^Alukset_fx!$I$74),Alukset_fx!$H$77*(Alukset_Käynnit_Lask!K509^Alukset_fx!$I$77))))))))),"-")</f>
        <v>0</v>
      </c>
      <c r="T509" s="208">
        <f>IF(R509=0,IF(Q509="Other dry cargo",S509*Alukset_fx!$B$71,IF(OR(Q509="Dry bulk",Q509="Bulk carrier"),S509*Alukset_fx!$B$69,IF(Q509="Tugboat",S509*Alukset_fx!$B$76,IF(OR(Q509="Tanker",Q509="Gas tanker",Q509="Chemical tanker",Q509="Oil tanker"),S509*Alukset_fx!$B$68,IF(OR(Q509="RoRo",Q509="Vehicle carrier"),S509*Alukset_fx!$B$72,IF(Q509="RoPax",S509*Alukset_fx!$B$73,IF(Q509="Container ship",S509*Alukset_fx!$B$70,S509*Alukset_fx!$B$75))))))),"-")</f>
        <v>0</v>
      </c>
      <c r="U509" s="208">
        <f t="shared" si="90"/>
        <v>0</v>
      </c>
      <c r="V509" s="208">
        <f t="shared" si="91"/>
        <v>0</v>
      </c>
      <c r="W509" s="202">
        <f>Alukset_Käynnit!N516</f>
        <v>0</v>
      </c>
      <c r="X509" s="211">
        <f>IF(Q509="Other dry cargo", Alukset_fx!$C$52, IF(OR(Q509="Dry bulk",Q509="Bulk carrier"),Alukset_fx!$C$35,IF(OR(Q509="Tanker",Q509="Gas tanker",Q509="Oil tanker"),Alukset_fx!$C$57,IF(Q509="Chemical tanker",Alukset_fx!$C$56,IF(OR(Q509="Tugboat",Q509="Barge"),0,IF(Q509="Other vessel",Alukset_fx!$C$54,IF(Q509="Container ship",Alukset_fx!$C$37,IF(OR(Q509="RoPax",Q509="RoRo",Q509="Vehicle carrier"),Alukset_fx!$C$55,0))))))))</f>
        <v>0</v>
      </c>
      <c r="Y509" s="211">
        <f>IF(Q509="Other dry cargo", Alukset_fx!$Q$52, IF(OR(Q509="Dry bulk",Q509="Bulk carrier"),Alukset_fx!$Q$35,IF(OR(Q509="Tanker",Q509="Gas tanker",Q509="Oil tanker"),Alukset_fx!$Q$57,IF(Q509="Chemical tanker",Alukset_fx!$Q$56,IF(OR(Q509="Tugboat",Q509="Barge"),0,IF(Q509="Other vessel",Alukset_fx!$Q$54,IF(Q509="Container ship",Alukset_fx!$Q$37,IF(OR(Q509="RoPax",Q509="RoRo",Q509="Vehicle carrier"),Alukset_fx!$Q$55,0))))))))</f>
        <v>0</v>
      </c>
      <c r="Z509" t="str">
        <f t="shared" si="92"/>
        <v>MDO/MGO</v>
      </c>
      <c r="AA509" t="str">
        <f t="shared" si="93"/>
        <v>MSD</v>
      </c>
      <c r="AB509" t="str">
        <f t="shared" si="94"/>
        <v>MDO/MGO</v>
      </c>
      <c r="AC509" t="str">
        <f t="shared" si="95"/>
        <v>MSD</v>
      </c>
      <c r="AD509" t="str">
        <f t="shared" si="96"/>
        <v>MDO/MGO</v>
      </c>
      <c r="AE509" t="str">
        <f t="shared" si="97"/>
        <v>ST</v>
      </c>
      <c r="AG509">
        <f>Alukset_Käynnit!O516</f>
        <v>0</v>
      </c>
      <c r="AH509" s="207">
        <f>IF(AA509="SSD",((U509*Alukset_fx!$B$24)*Alukset_Käynnit_Lask!W509*(Alukset_fx!$K$49)/1000),IF(AA509="MSD",((U509*Alukset_fx!$B$24)*Alukset_Käynnit_Lask!W509*(Alukset_fx!$K$52)/1000),IF(AA509="HSD",((U509*Alukset_fx!$B$24)*Alukset_Käynnit_Lask!W509*(Alukset_fx!$K$55)/1000),0)))</f>
        <v>0</v>
      </c>
      <c r="AI509" s="207">
        <f>IF(AC509="MSD",((V509*Alukset_fx!$B$25)*Alukset_Käynnit_Lask!W509*(Alukset_fx!$L$52)/1000),IF(AC509="HSD",((V509*Alukset_fx!$B$25)*Alukset_Käynnit_Lask!W509*(Alukset_fx!$L$55)/1000),0))</f>
        <v>0</v>
      </c>
      <c r="AJ509" s="207">
        <f>X509*W509*Alukset_fx!$K$61/1000</f>
        <v>0</v>
      </c>
      <c r="AK509">
        <v>0</v>
      </c>
      <c r="AL509" s="207">
        <f>IF(AG509="Käytetty",0,IF(AC509="MSD",((V509*Alukset_fx!$O$25)*Alukset_Käynnit_Lask!O509*(Alukset_fx!$L$52)/1000),IF(AC509="HSD",((V509*Alukset_fx!$O$25)*Alukset_Käynnit_Lask!O509*(Alukset_fx!$L$55)/1000),0)))</f>
        <v>0</v>
      </c>
      <c r="AM509" s="207">
        <f>IF(AG509="Käytetty",0,Y509*O509*Alukset_fx!$K$61/1000)</f>
        <v>0</v>
      </c>
      <c r="AN509" s="213">
        <f t="shared" si="98"/>
        <v>0</v>
      </c>
    </row>
    <row r="510" spans="1:40" x14ac:dyDescent="0.25">
      <c r="A510" s="203">
        <f>Alukset_Käynnit!A517</f>
        <v>0</v>
      </c>
      <c r="B510" s="203">
        <f>Alukset_Käynnit!B517</f>
        <v>0</v>
      </c>
      <c r="C510" s="262">
        <f>Alukset_Käynnit!C517</f>
        <v>0</v>
      </c>
      <c r="D510" s="266">
        <f>Alukset_Käynnit!D517</f>
        <v>0</v>
      </c>
      <c r="E510" s="262">
        <f>Alukset_Käynnit!E517</f>
        <v>0</v>
      </c>
      <c r="F510" s="262">
        <f>Alukset_Käynnit!F517</f>
        <v>0</v>
      </c>
      <c r="G510" s="262">
        <f>Alukset_Käynnit!G517</f>
        <v>0</v>
      </c>
      <c r="H510" s="262">
        <f>Alukset_Käynnit!H517</f>
        <v>0</v>
      </c>
      <c r="I510" s="262">
        <f>Alukset_Käynnit!I517</f>
        <v>0</v>
      </c>
      <c r="J510" s="262">
        <f>Alukset_Käynnit!J517</f>
        <v>0</v>
      </c>
      <c r="K510" s="262">
        <f>Alukset_Käynnit!K517</f>
        <v>0</v>
      </c>
      <c r="L510" s="205">
        <f>Alukset_Käynnit!L517</f>
        <v>0</v>
      </c>
      <c r="N510" s="273">
        <f t="shared" si="99"/>
        <v>0</v>
      </c>
      <c r="O510" s="274">
        <f t="shared" si="100"/>
        <v>0</v>
      </c>
      <c r="Q510" s="204">
        <f t="shared" si="89"/>
        <v>0</v>
      </c>
      <c r="R510" s="202">
        <f>IF(Q510="Other dry cargo",L510*Alukset_fx!$B$71,IF(OR(Q510="Dry bulk",Q510="Bulk carrier"),L510*Alukset_fx!$B$69,IF(Q510="Tugboat",L510*Alukset_fx!$B$76,IF(OR(Q510="Tanker",Q510="Gas tanker",Q510="Chemical tanker",Q510="Oil tanker"),L510*Alukset_fx!$B$68,IF(OR(Q510="RoRo",Q510="Vehicle carrier"),L510*Alukset_fx!$B$72,IF(Q510="RoPax",L510*Alukset_fx!$B$73,IF(Q510="Container ship",L510*Alukset_fx!$B$70,IF(Q510="Barge",0,L510*Alukset_fx!$B$75))))))))</f>
        <v>0</v>
      </c>
      <c r="S510" s="210">
        <f>IF(L510=0,IF(Q510="Other dry cargo",Alukset_fx!$H$73*(Alukset_Käynnit_Lask!K510^Alukset_fx!$I$73),IF(OR(Q510="Dry Bulk",Q510="Bulk carrier"),Alukset_fx!$H$71*(Alukset_Käynnit_Lask!K510^Alukset_fx!$I$71),IF(Q510="Tugboat",Alukset_fx!$H$78*(Alukset_Käynnit_Lask!K510^Alukset_fx!$I$78),IF(OR(Q510="Tanker",Q510="Gas tanker",Q510="Chemical tanker",Q510="Oil tanker"),Alukset_fx!$H$70*(Alukset_Käynnit_Lask!K510^Alukset_fx!$I$70),IF(Q510="Container ship",Alukset_fx!$H$72*(Alukset_Käynnit_Lask!K510^Alukset_fx!$I$72),IF(Q510="Barge",0,IF(Q510="RoPax",Alukset_fx!$H$75*(Alukset_Käynnit_Lask!K510^Alukset_fx!$I$75),IF(OR(Q510="RoRo",Q510="Vehicle carrier"),Alukset_fx!$H$74*(Alukset_Käynnit_Lask!K510^Alukset_fx!$I$74),Alukset_fx!$H$77*(Alukset_Käynnit_Lask!K510^Alukset_fx!$I$77))))))))),"-")</f>
        <v>0</v>
      </c>
      <c r="T510" s="208">
        <f>IF(R510=0,IF(Q510="Other dry cargo",S510*Alukset_fx!$B$71,IF(OR(Q510="Dry bulk",Q510="Bulk carrier"),S510*Alukset_fx!$B$69,IF(Q510="Tugboat",S510*Alukset_fx!$B$76,IF(OR(Q510="Tanker",Q510="Gas tanker",Q510="Chemical tanker",Q510="Oil tanker"),S510*Alukset_fx!$B$68,IF(OR(Q510="RoRo",Q510="Vehicle carrier"),S510*Alukset_fx!$B$72,IF(Q510="RoPax",S510*Alukset_fx!$B$73,IF(Q510="Container ship",S510*Alukset_fx!$B$70,S510*Alukset_fx!$B$75))))))),"-")</f>
        <v>0</v>
      </c>
      <c r="U510" s="208">
        <f t="shared" si="90"/>
        <v>0</v>
      </c>
      <c r="V510" s="208">
        <f t="shared" si="91"/>
        <v>0</v>
      </c>
      <c r="W510" s="202">
        <f>Alukset_Käynnit!N517</f>
        <v>0</v>
      </c>
      <c r="X510" s="211">
        <f>IF(Q510="Other dry cargo", Alukset_fx!$C$52, IF(OR(Q510="Dry bulk",Q510="Bulk carrier"),Alukset_fx!$C$35,IF(OR(Q510="Tanker",Q510="Gas tanker",Q510="Oil tanker"),Alukset_fx!$C$57,IF(Q510="Chemical tanker",Alukset_fx!$C$56,IF(OR(Q510="Tugboat",Q510="Barge"),0,IF(Q510="Other vessel",Alukset_fx!$C$54,IF(Q510="Container ship",Alukset_fx!$C$37,IF(OR(Q510="RoPax",Q510="RoRo",Q510="Vehicle carrier"),Alukset_fx!$C$55,0))))))))</f>
        <v>0</v>
      </c>
      <c r="Y510" s="211">
        <f>IF(Q510="Other dry cargo", Alukset_fx!$Q$52, IF(OR(Q510="Dry bulk",Q510="Bulk carrier"),Alukset_fx!$Q$35,IF(OR(Q510="Tanker",Q510="Gas tanker",Q510="Oil tanker"),Alukset_fx!$Q$57,IF(Q510="Chemical tanker",Alukset_fx!$Q$56,IF(OR(Q510="Tugboat",Q510="Barge"),0,IF(Q510="Other vessel",Alukset_fx!$Q$54,IF(Q510="Container ship",Alukset_fx!$Q$37,IF(OR(Q510="RoPax",Q510="RoRo",Q510="Vehicle carrier"),Alukset_fx!$Q$55,0))))))))</f>
        <v>0</v>
      </c>
      <c r="Z510" t="str">
        <f t="shared" si="92"/>
        <v>MDO/MGO</v>
      </c>
      <c r="AA510" t="str">
        <f t="shared" si="93"/>
        <v>MSD</v>
      </c>
      <c r="AB510" t="str">
        <f t="shared" si="94"/>
        <v>MDO/MGO</v>
      </c>
      <c r="AC510" t="str">
        <f t="shared" si="95"/>
        <v>MSD</v>
      </c>
      <c r="AD510" t="str">
        <f t="shared" si="96"/>
        <v>MDO/MGO</v>
      </c>
      <c r="AE510" t="str">
        <f t="shared" si="97"/>
        <v>ST</v>
      </c>
      <c r="AG510">
        <f>Alukset_Käynnit!O517</f>
        <v>0</v>
      </c>
      <c r="AH510" s="207">
        <f>IF(AA510="SSD",((U510*Alukset_fx!$B$24)*Alukset_Käynnit_Lask!W510*(Alukset_fx!$K$49)/1000),IF(AA510="MSD",((U510*Alukset_fx!$B$24)*Alukset_Käynnit_Lask!W510*(Alukset_fx!$K$52)/1000),IF(AA510="HSD",((U510*Alukset_fx!$B$24)*Alukset_Käynnit_Lask!W510*(Alukset_fx!$K$55)/1000),0)))</f>
        <v>0</v>
      </c>
      <c r="AI510" s="207">
        <f>IF(AC510="MSD",((V510*Alukset_fx!$B$25)*Alukset_Käynnit_Lask!W510*(Alukset_fx!$L$52)/1000),IF(AC510="HSD",((V510*Alukset_fx!$B$25)*Alukset_Käynnit_Lask!W510*(Alukset_fx!$L$55)/1000),0))</f>
        <v>0</v>
      </c>
      <c r="AJ510" s="207">
        <f>X510*W510*Alukset_fx!$K$61/1000</f>
        <v>0</v>
      </c>
      <c r="AK510">
        <v>0</v>
      </c>
      <c r="AL510" s="207">
        <f>IF(AG510="Käytetty",0,IF(AC510="MSD",((V510*Alukset_fx!$O$25)*Alukset_Käynnit_Lask!O510*(Alukset_fx!$L$52)/1000),IF(AC510="HSD",((V510*Alukset_fx!$O$25)*Alukset_Käynnit_Lask!O510*(Alukset_fx!$L$55)/1000),0)))</f>
        <v>0</v>
      </c>
      <c r="AM510" s="207">
        <f>IF(AG510="Käytetty",0,Y510*O510*Alukset_fx!$K$61/1000)</f>
        <v>0</v>
      </c>
      <c r="AN510" s="213">
        <f t="shared" si="98"/>
        <v>0</v>
      </c>
    </row>
    <row r="511" spans="1:40" x14ac:dyDescent="0.25">
      <c r="A511" s="203">
        <f>Alukset_Käynnit!A518</f>
        <v>0</v>
      </c>
      <c r="B511" s="203">
        <f>Alukset_Käynnit!B518</f>
        <v>0</v>
      </c>
      <c r="C511" s="262">
        <f>Alukset_Käynnit!C518</f>
        <v>0</v>
      </c>
      <c r="D511" s="266">
        <f>Alukset_Käynnit!D518</f>
        <v>0</v>
      </c>
      <c r="E511" s="262">
        <f>Alukset_Käynnit!E518</f>
        <v>0</v>
      </c>
      <c r="F511" s="262">
        <f>Alukset_Käynnit!F518</f>
        <v>0</v>
      </c>
      <c r="G511" s="262">
        <f>Alukset_Käynnit!G518</f>
        <v>0</v>
      </c>
      <c r="H511" s="262">
        <f>Alukset_Käynnit!H518</f>
        <v>0</v>
      </c>
      <c r="I511" s="262">
        <f>Alukset_Käynnit!I518</f>
        <v>0</v>
      </c>
      <c r="J511" s="262">
        <f>Alukset_Käynnit!J518</f>
        <v>0</v>
      </c>
      <c r="K511" s="262">
        <f>Alukset_Käynnit!K518</f>
        <v>0</v>
      </c>
      <c r="L511" s="205">
        <f>Alukset_Käynnit!L518</f>
        <v>0</v>
      </c>
      <c r="N511" s="273">
        <f t="shared" si="99"/>
        <v>0</v>
      </c>
      <c r="O511" s="274">
        <f t="shared" si="100"/>
        <v>0</v>
      </c>
      <c r="Q511" s="204">
        <f t="shared" si="89"/>
        <v>0</v>
      </c>
      <c r="R511" s="202">
        <f>IF(Q511="Other dry cargo",L511*Alukset_fx!$B$71,IF(OR(Q511="Dry bulk",Q511="Bulk carrier"),L511*Alukset_fx!$B$69,IF(Q511="Tugboat",L511*Alukset_fx!$B$76,IF(OR(Q511="Tanker",Q511="Gas tanker",Q511="Chemical tanker",Q511="Oil tanker"),L511*Alukset_fx!$B$68,IF(OR(Q511="RoRo",Q511="Vehicle carrier"),L511*Alukset_fx!$B$72,IF(Q511="RoPax",L511*Alukset_fx!$B$73,IF(Q511="Container ship",L511*Alukset_fx!$B$70,IF(Q511="Barge",0,L511*Alukset_fx!$B$75))))))))</f>
        <v>0</v>
      </c>
      <c r="S511" s="210">
        <f>IF(L511=0,IF(Q511="Other dry cargo",Alukset_fx!$H$73*(Alukset_Käynnit_Lask!K511^Alukset_fx!$I$73),IF(OR(Q511="Dry Bulk",Q511="Bulk carrier"),Alukset_fx!$H$71*(Alukset_Käynnit_Lask!K511^Alukset_fx!$I$71),IF(Q511="Tugboat",Alukset_fx!$H$78*(Alukset_Käynnit_Lask!K511^Alukset_fx!$I$78),IF(OR(Q511="Tanker",Q511="Gas tanker",Q511="Chemical tanker",Q511="Oil tanker"),Alukset_fx!$H$70*(Alukset_Käynnit_Lask!K511^Alukset_fx!$I$70),IF(Q511="Container ship",Alukset_fx!$H$72*(Alukset_Käynnit_Lask!K511^Alukset_fx!$I$72),IF(Q511="Barge",0,IF(Q511="RoPax",Alukset_fx!$H$75*(Alukset_Käynnit_Lask!K511^Alukset_fx!$I$75),IF(OR(Q511="RoRo",Q511="Vehicle carrier"),Alukset_fx!$H$74*(Alukset_Käynnit_Lask!K511^Alukset_fx!$I$74),Alukset_fx!$H$77*(Alukset_Käynnit_Lask!K511^Alukset_fx!$I$77))))))))),"-")</f>
        <v>0</v>
      </c>
      <c r="T511" s="208">
        <f>IF(R511=0,IF(Q511="Other dry cargo",S511*Alukset_fx!$B$71,IF(OR(Q511="Dry bulk",Q511="Bulk carrier"),S511*Alukset_fx!$B$69,IF(Q511="Tugboat",S511*Alukset_fx!$B$76,IF(OR(Q511="Tanker",Q511="Gas tanker",Q511="Chemical tanker",Q511="Oil tanker"),S511*Alukset_fx!$B$68,IF(OR(Q511="RoRo",Q511="Vehicle carrier"),S511*Alukset_fx!$B$72,IF(Q511="RoPax",S511*Alukset_fx!$B$73,IF(Q511="Container ship",S511*Alukset_fx!$B$70,S511*Alukset_fx!$B$75))))))),"-")</f>
        <v>0</v>
      </c>
      <c r="U511" s="208">
        <f t="shared" si="90"/>
        <v>0</v>
      </c>
      <c r="V511" s="208">
        <f t="shared" si="91"/>
        <v>0</v>
      </c>
      <c r="W511" s="202">
        <f>Alukset_Käynnit!N518</f>
        <v>0</v>
      </c>
      <c r="X511" s="211">
        <f>IF(Q511="Other dry cargo", Alukset_fx!$C$52, IF(OR(Q511="Dry bulk",Q511="Bulk carrier"),Alukset_fx!$C$35,IF(OR(Q511="Tanker",Q511="Gas tanker",Q511="Oil tanker"),Alukset_fx!$C$57,IF(Q511="Chemical tanker",Alukset_fx!$C$56,IF(OR(Q511="Tugboat",Q511="Barge"),0,IF(Q511="Other vessel",Alukset_fx!$C$54,IF(Q511="Container ship",Alukset_fx!$C$37,IF(OR(Q511="RoPax",Q511="RoRo",Q511="Vehicle carrier"),Alukset_fx!$C$55,0))))))))</f>
        <v>0</v>
      </c>
      <c r="Y511" s="211">
        <f>IF(Q511="Other dry cargo", Alukset_fx!$Q$52, IF(OR(Q511="Dry bulk",Q511="Bulk carrier"),Alukset_fx!$Q$35,IF(OR(Q511="Tanker",Q511="Gas tanker",Q511="Oil tanker"),Alukset_fx!$Q$57,IF(Q511="Chemical tanker",Alukset_fx!$Q$56,IF(OR(Q511="Tugboat",Q511="Barge"),0,IF(Q511="Other vessel",Alukset_fx!$Q$54,IF(Q511="Container ship",Alukset_fx!$Q$37,IF(OR(Q511="RoPax",Q511="RoRo",Q511="Vehicle carrier"),Alukset_fx!$Q$55,0))))))))</f>
        <v>0</v>
      </c>
      <c r="Z511" t="str">
        <f t="shared" si="92"/>
        <v>MDO/MGO</v>
      </c>
      <c r="AA511" t="str">
        <f t="shared" si="93"/>
        <v>MSD</v>
      </c>
      <c r="AB511" t="str">
        <f t="shared" si="94"/>
        <v>MDO/MGO</v>
      </c>
      <c r="AC511" t="str">
        <f t="shared" si="95"/>
        <v>MSD</v>
      </c>
      <c r="AD511" t="str">
        <f t="shared" si="96"/>
        <v>MDO/MGO</v>
      </c>
      <c r="AE511" t="str">
        <f t="shared" si="97"/>
        <v>ST</v>
      </c>
      <c r="AG511">
        <f>Alukset_Käynnit!O518</f>
        <v>0</v>
      </c>
      <c r="AH511" s="207">
        <f>IF(AA511="SSD",((U511*Alukset_fx!$B$24)*Alukset_Käynnit_Lask!W511*(Alukset_fx!$K$49)/1000),IF(AA511="MSD",((U511*Alukset_fx!$B$24)*Alukset_Käynnit_Lask!W511*(Alukset_fx!$K$52)/1000),IF(AA511="HSD",((U511*Alukset_fx!$B$24)*Alukset_Käynnit_Lask!W511*(Alukset_fx!$K$55)/1000),0)))</f>
        <v>0</v>
      </c>
      <c r="AI511" s="207">
        <f>IF(AC511="MSD",((V511*Alukset_fx!$B$25)*Alukset_Käynnit_Lask!W511*(Alukset_fx!$L$52)/1000),IF(AC511="HSD",((V511*Alukset_fx!$B$25)*Alukset_Käynnit_Lask!W511*(Alukset_fx!$L$55)/1000),0))</f>
        <v>0</v>
      </c>
      <c r="AJ511" s="207">
        <f>X511*W511*Alukset_fx!$K$61/1000</f>
        <v>0</v>
      </c>
      <c r="AK511">
        <v>0</v>
      </c>
      <c r="AL511" s="207">
        <f>IF(AG511="Käytetty",0,IF(AC511="MSD",((V511*Alukset_fx!$O$25)*Alukset_Käynnit_Lask!O511*(Alukset_fx!$L$52)/1000),IF(AC511="HSD",((V511*Alukset_fx!$O$25)*Alukset_Käynnit_Lask!O511*(Alukset_fx!$L$55)/1000),0)))</f>
        <v>0</v>
      </c>
      <c r="AM511" s="207">
        <f>IF(AG511="Käytetty",0,Y511*O511*Alukset_fx!$K$61/1000)</f>
        <v>0</v>
      </c>
      <c r="AN511" s="213">
        <f t="shared" si="98"/>
        <v>0</v>
      </c>
    </row>
    <row r="512" spans="1:40" x14ac:dyDescent="0.25">
      <c r="A512" s="203">
        <f>Alukset_Käynnit!A519</f>
        <v>0</v>
      </c>
      <c r="B512" s="203">
        <f>Alukset_Käynnit!B519</f>
        <v>0</v>
      </c>
      <c r="C512" s="262">
        <f>Alukset_Käynnit!C519</f>
        <v>0</v>
      </c>
      <c r="D512" s="266">
        <f>Alukset_Käynnit!D519</f>
        <v>0</v>
      </c>
      <c r="E512" s="262">
        <f>Alukset_Käynnit!E519</f>
        <v>0</v>
      </c>
      <c r="F512" s="262">
        <f>Alukset_Käynnit!F519</f>
        <v>0</v>
      </c>
      <c r="G512" s="262">
        <f>Alukset_Käynnit!G519</f>
        <v>0</v>
      </c>
      <c r="H512" s="262">
        <f>Alukset_Käynnit!H519</f>
        <v>0</v>
      </c>
      <c r="I512" s="262">
        <f>Alukset_Käynnit!I519</f>
        <v>0</v>
      </c>
      <c r="J512" s="262">
        <f>Alukset_Käynnit!J519</f>
        <v>0</v>
      </c>
      <c r="K512" s="262">
        <f>Alukset_Käynnit!K519</f>
        <v>0</v>
      </c>
      <c r="L512" s="205">
        <f>Alukset_Käynnit!L519</f>
        <v>0</v>
      </c>
      <c r="N512" s="273">
        <f t="shared" si="99"/>
        <v>0</v>
      </c>
      <c r="O512" s="274">
        <f t="shared" si="100"/>
        <v>0</v>
      </c>
      <c r="Q512" s="204">
        <f t="shared" si="89"/>
        <v>0</v>
      </c>
      <c r="R512" s="202">
        <f>IF(Q512="Other dry cargo",L512*Alukset_fx!$B$71,IF(OR(Q512="Dry bulk",Q512="Bulk carrier"),L512*Alukset_fx!$B$69,IF(Q512="Tugboat",L512*Alukset_fx!$B$76,IF(OR(Q512="Tanker",Q512="Gas tanker",Q512="Chemical tanker",Q512="Oil tanker"),L512*Alukset_fx!$B$68,IF(OR(Q512="RoRo",Q512="Vehicle carrier"),L512*Alukset_fx!$B$72,IF(Q512="RoPax",L512*Alukset_fx!$B$73,IF(Q512="Container ship",L512*Alukset_fx!$B$70,IF(Q512="Barge",0,L512*Alukset_fx!$B$75))))))))</f>
        <v>0</v>
      </c>
      <c r="S512" s="210">
        <f>IF(L512=0,IF(Q512="Other dry cargo",Alukset_fx!$H$73*(Alukset_Käynnit_Lask!K512^Alukset_fx!$I$73),IF(OR(Q512="Dry Bulk",Q512="Bulk carrier"),Alukset_fx!$H$71*(Alukset_Käynnit_Lask!K512^Alukset_fx!$I$71),IF(Q512="Tugboat",Alukset_fx!$H$78*(Alukset_Käynnit_Lask!K512^Alukset_fx!$I$78),IF(OR(Q512="Tanker",Q512="Gas tanker",Q512="Chemical tanker",Q512="Oil tanker"),Alukset_fx!$H$70*(Alukset_Käynnit_Lask!K512^Alukset_fx!$I$70),IF(Q512="Container ship",Alukset_fx!$H$72*(Alukset_Käynnit_Lask!K512^Alukset_fx!$I$72),IF(Q512="Barge",0,IF(Q512="RoPax",Alukset_fx!$H$75*(Alukset_Käynnit_Lask!K512^Alukset_fx!$I$75),IF(OR(Q512="RoRo",Q512="Vehicle carrier"),Alukset_fx!$H$74*(Alukset_Käynnit_Lask!K512^Alukset_fx!$I$74),Alukset_fx!$H$77*(Alukset_Käynnit_Lask!K512^Alukset_fx!$I$77))))))))),"-")</f>
        <v>0</v>
      </c>
      <c r="T512" s="208">
        <f>IF(R512=0,IF(Q512="Other dry cargo",S512*Alukset_fx!$B$71,IF(OR(Q512="Dry bulk",Q512="Bulk carrier"),S512*Alukset_fx!$B$69,IF(Q512="Tugboat",S512*Alukset_fx!$B$76,IF(OR(Q512="Tanker",Q512="Gas tanker",Q512="Chemical tanker",Q512="Oil tanker"),S512*Alukset_fx!$B$68,IF(OR(Q512="RoRo",Q512="Vehicle carrier"),S512*Alukset_fx!$B$72,IF(Q512="RoPax",S512*Alukset_fx!$B$73,IF(Q512="Container ship",S512*Alukset_fx!$B$70,S512*Alukset_fx!$B$75))))))),"-")</f>
        <v>0</v>
      </c>
      <c r="U512" s="208">
        <f t="shared" si="90"/>
        <v>0</v>
      </c>
      <c r="V512" s="208">
        <f t="shared" si="91"/>
        <v>0</v>
      </c>
      <c r="W512" s="202">
        <f>Alukset_Käynnit!N519</f>
        <v>0</v>
      </c>
      <c r="X512" s="211">
        <f>IF(Q512="Other dry cargo", Alukset_fx!$C$52, IF(OR(Q512="Dry bulk",Q512="Bulk carrier"),Alukset_fx!$C$35,IF(OR(Q512="Tanker",Q512="Gas tanker",Q512="Oil tanker"),Alukset_fx!$C$57,IF(Q512="Chemical tanker",Alukset_fx!$C$56,IF(OR(Q512="Tugboat",Q512="Barge"),0,IF(Q512="Other vessel",Alukset_fx!$C$54,IF(Q512="Container ship",Alukset_fx!$C$37,IF(OR(Q512="RoPax",Q512="RoRo",Q512="Vehicle carrier"),Alukset_fx!$C$55,0))))))))</f>
        <v>0</v>
      </c>
      <c r="Y512" s="211">
        <f>IF(Q512="Other dry cargo", Alukset_fx!$Q$52, IF(OR(Q512="Dry bulk",Q512="Bulk carrier"),Alukset_fx!$Q$35,IF(OR(Q512="Tanker",Q512="Gas tanker",Q512="Oil tanker"),Alukset_fx!$Q$57,IF(Q512="Chemical tanker",Alukset_fx!$Q$56,IF(OR(Q512="Tugboat",Q512="Barge"),0,IF(Q512="Other vessel",Alukset_fx!$Q$54,IF(Q512="Container ship",Alukset_fx!$Q$37,IF(OR(Q512="RoPax",Q512="RoRo",Q512="Vehicle carrier"),Alukset_fx!$Q$55,0))))))))</f>
        <v>0</v>
      </c>
      <c r="Z512" t="str">
        <f t="shared" si="92"/>
        <v>MDO/MGO</v>
      </c>
      <c r="AA512" t="str">
        <f t="shared" si="93"/>
        <v>MSD</v>
      </c>
      <c r="AB512" t="str">
        <f t="shared" si="94"/>
        <v>MDO/MGO</v>
      </c>
      <c r="AC512" t="str">
        <f t="shared" si="95"/>
        <v>MSD</v>
      </c>
      <c r="AD512" t="str">
        <f t="shared" si="96"/>
        <v>MDO/MGO</v>
      </c>
      <c r="AE512" t="str">
        <f t="shared" si="97"/>
        <v>ST</v>
      </c>
      <c r="AG512">
        <f>Alukset_Käynnit!O519</f>
        <v>0</v>
      </c>
      <c r="AH512" s="207">
        <f>IF(AA512="SSD",((U512*Alukset_fx!$B$24)*Alukset_Käynnit_Lask!W512*(Alukset_fx!$K$49)/1000),IF(AA512="MSD",((U512*Alukset_fx!$B$24)*Alukset_Käynnit_Lask!W512*(Alukset_fx!$K$52)/1000),IF(AA512="HSD",((U512*Alukset_fx!$B$24)*Alukset_Käynnit_Lask!W512*(Alukset_fx!$K$55)/1000),0)))</f>
        <v>0</v>
      </c>
      <c r="AI512" s="207">
        <f>IF(AC512="MSD",((V512*Alukset_fx!$B$25)*Alukset_Käynnit_Lask!W512*(Alukset_fx!$L$52)/1000),IF(AC512="HSD",((V512*Alukset_fx!$B$25)*Alukset_Käynnit_Lask!W512*(Alukset_fx!$L$55)/1000),0))</f>
        <v>0</v>
      </c>
      <c r="AJ512" s="207">
        <f>X512*W512*Alukset_fx!$K$61/1000</f>
        <v>0</v>
      </c>
      <c r="AK512">
        <v>0</v>
      </c>
      <c r="AL512" s="207">
        <f>IF(AG512="Käytetty",0,IF(AC512="MSD",((V512*Alukset_fx!$O$25)*Alukset_Käynnit_Lask!O512*(Alukset_fx!$L$52)/1000),IF(AC512="HSD",((V512*Alukset_fx!$O$25)*Alukset_Käynnit_Lask!O512*(Alukset_fx!$L$55)/1000),0)))</f>
        <v>0</v>
      </c>
      <c r="AM512" s="207">
        <f>IF(AG512="Käytetty",0,Y512*O512*Alukset_fx!$K$61/1000)</f>
        <v>0</v>
      </c>
      <c r="AN512" s="213">
        <f t="shared" si="98"/>
        <v>0</v>
      </c>
    </row>
    <row r="513" spans="1:40" x14ac:dyDescent="0.25">
      <c r="A513" s="203">
        <f>Alukset_Käynnit!A520</f>
        <v>0</v>
      </c>
      <c r="B513" s="203">
        <f>Alukset_Käynnit!B520</f>
        <v>0</v>
      </c>
      <c r="C513" s="262">
        <f>Alukset_Käynnit!C520</f>
        <v>0</v>
      </c>
      <c r="D513" s="266">
        <f>Alukset_Käynnit!D520</f>
        <v>0</v>
      </c>
      <c r="E513" s="262">
        <f>Alukset_Käynnit!E520</f>
        <v>0</v>
      </c>
      <c r="F513" s="262">
        <f>Alukset_Käynnit!F520</f>
        <v>0</v>
      </c>
      <c r="G513" s="262">
        <f>Alukset_Käynnit!G520</f>
        <v>0</v>
      </c>
      <c r="H513" s="262">
        <f>Alukset_Käynnit!H520</f>
        <v>0</v>
      </c>
      <c r="I513" s="262">
        <f>Alukset_Käynnit!I520</f>
        <v>0</v>
      </c>
      <c r="J513" s="262">
        <f>Alukset_Käynnit!J520</f>
        <v>0</v>
      </c>
      <c r="K513" s="262">
        <f>Alukset_Käynnit!K520</f>
        <v>0</v>
      </c>
      <c r="L513" s="205">
        <f>Alukset_Käynnit!L520</f>
        <v>0</v>
      </c>
      <c r="N513" s="273">
        <f t="shared" si="99"/>
        <v>0</v>
      </c>
      <c r="O513" s="274">
        <f t="shared" si="100"/>
        <v>0</v>
      </c>
      <c r="Q513" s="204">
        <f t="shared" si="89"/>
        <v>0</v>
      </c>
      <c r="R513" s="202">
        <f>IF(Q513="Other dry cargo",L513*Alukset_fx!$B$71,IF(OR(Q513="Dry bulk",Q513="Bulk carrier"),L513*Alukset_fx!$B$69,IF(Q513="Tugboat",L513*Alukset_fx!$B$76,IF(OR(Q513="Tanker",Q513="Gas tanker",Q513="Chemical tanker",Q513="Oil tanker"),L513*Alukset_fx!$B$68,IF(OR(Q513="RoRo",Q513="Vehicle carrier"),L513*Alukset_fx!$B$72,IF(Q513="RoPax",L513*Alukset_fx!$B$73,IF(Q513="Container ship",L513*Alukset_fx!$B$70,IF(Q513="Barge",0,L513*Alukset_fx!$B$75))))))))</f>
        <v>0</v>
      </c>
      <c r="S513" s="210">
        <f>IF(L513=0,IF(Q513="Other dry cargo",Alukset_fx!$H$73*(Alukset_Käynnit_Lask!K513^Alukset_fx!$I$73),IF(OR(Q513="Dry Bulk",Q513="Bulk carrier"),Alukset_fx!$H$71*(Alukset_Käynnit_Lask!K513^Alukset_fx!$I$71),IF(Q513="Tugboat",Alukset_fx!$H$78*(Alukset_Käynnit_Lask!K513^Alukset_fx!$I$78),IF(OR(Q513="Tanker",Q513="Gas tanker",Q513="Chemical tanker",Q513="Oil tanker"),Alukset_fx!$H$70*(Alukset_Käynnit_Lask!K513^Alukset_fx!$I$70),IF(Q513="Container ship",Alukset_fx!$H$72*(Alukset_Käynnit_Lask!K513^Alukset_fx!$I$72),IF(Q513="Barge",0,IF(Q513="RoPax",Alukset_fx!$H$75*(Alukset_Käynnit_Lask!K513^Alukset_fx!$I$75),IF(OR(Q513="RoRo",Q513="Vehicle carrier"),Alukset_fx!$H$74*(Alukset_Käynnit_Lask!K513^Alukset_fx!$I$74),Alukset_fx!$H$77*(Alukset_Käynnit_Lask!K513^Alukset_fx!$I$77))))))))),"-")</f>
        <v>0</v>
      </c>
      <c r="T513" s="208">
        <f>IF(R513=0,IF(Q513="Other dry cargo",S513*Alukset_fx!$B$71,IF(OR(Q513="Dry bulk",Q513="Bulk carrier"),S513*Alukset_fx!$B$69,IF(Q513="Tugboat",S513*Alukset_fx!$B$76,IF(OR(Q513="Tanker",Q513="Gas tanker",Q513="Chemical tanker",Q513="Oil tanker"),S513*Alukset_fx!$B$68,IF(OR(Q513="RoRo",Q513="Vehicle carrier"),S513*Alukset_fx!$B$72,IF(Q513="RoPax",S513*Alukset_fx!$B$73,IF(Q513="Container ship",S513*Alukset_fx!$B$70,S513*Alukset_fx!$B$75))))))),"-")</f>
        <v>0</v>
      </c>
      <c r="U513" s="208">
        <f t="shared" si="90"/>
        <v>0</v>
      </c>
      <c r="V513" s="208">
        <f t="shared" si="91"/>
        <v>0</v>
      </c>
      <c r="W513" s="202">
        <f>Alukset_Käynnit!N520</f>
        <v>0</v>
      </c>
      <c r="X513" s="211">
        <f>IF(Q513="Other dry cargo", Alukset_fx!$C$52, IF(OR(Q513="Dry bulk",Q513="Bulk carrier"),Alukset_fx!$C$35,IF(OR(Q513="Tanker",Q513="Gas tanker",Q513="Oil tanker"),Alukset_fx!$C$57,IF(Q513="Chemical tanker",Alukset_fx!$C$56,IF(OR(Q513="Tugboat",Q513="Barge"),0,IF(Q513="Other vessel",Alukset_fx!$C$54,IF(Q513="Container ship",Alukset_fx!$C$37,IF(OR(Q513="RoPax",Q513="RoRo",Q513="Vehicle carrier"),Alukset_fx!$C$55,0))))))))</f>
        <v>0</v>
      </c>
      <c r="Y513" s="211">
        <f>IF(Q513="Other dry cargo", Alukset_fx!$Q$52, IF(OR(Q513="Dry bulk",Q513="Bulk carrier"),Alukset_fx!$Q$35,IF(OR(Q513="Tanker",Q513="Gas tanker",Q513="Oil tanker"),Alukset_fx!$Q$57,IF(Q513="Chemical tanker",Alukset_fx!$Q$56,IF(OR(Q513="Tugboat",Q513="Barge"),0,IF(Q513="Other vessel",Alukset_fx!$Q$54,IF(Q513="Container ship",Alukset_fx!$Q$37,IF(OR(Q513="RoPax",Q513="RoRo",Q513="Vehicle carrier"),Alukset_fx!$Q$55,0))))))))</f>
        <v>0</v>
      </c>
      <c r="Z513" t="str">
        <f t="shared" si="92"/>
        <v>MDO/MGO</v>
      </c>
      <c r="AA513" t="str">
        <f t="shared" si="93"/>
        <v>MSD</v>
      </c>
      <c r="AB513" t="str">
        <f t="shared" si="94"/>
        <v>MDO/MGO</v>
      </c>
      <c r="AC513" t="str">
        <f t="shared" si="95"/>
        <v>MSD</v>
      </c>
      <c r="AD513" t="str">
        <f t="shared" si="96"/>
        <v>MDO/MGO</v>
      </c>
      <c r="AE513" t="str">
        <f t="shared" si="97"/>
        <v>ST</v>
      </c>
      <c r="AG513">
        <f>Alukset_Käynnit!O520</f>
        <v>0</v>
      </c>
      <c r="AH513" s="207">
        <f>IF(AA513="SSD",((U513*Alukset_fx!$B$24)*Alukset_Käynnit_Lask!W513*(Alukset_fx!$K$49)/1000),IF(AA513="MSD",((U513*Alukset_fx!$B$24)*Alukset_Käynnit_Lask!W513*(Alukset_fx!$K$52)/1000),IF(AA513="HSD",((U513*Alukset_fx!$B$24)*Alukset_Käynnit_Lask!W513*(Alukset_fx!$K$55)/1000),0)))</f>
        <v>0</v>
      </c>
      <c r="AI513" s="207">
        <f>IF(AC513="MSD",((V513*Alukset_fx!$B$25)*Alukset_Käynnit_Lask!W513*(Alukset_fx!$L$52)/1000),IF(AC513="HSD",((V513*Alukset_fx!$B$25)*Alukset_Käynnit_Lask!W513*(Alukset_fx!$L$55)/1000),0))</f>
        <v>0</v>
      </c>
      <c r="AJ513" s="207">
        <f>X513*W513*Alukset_fx!$K$61/1000</f>
        <v>0</v>
      </c>
      <c r="AK513">
        <v>0</v>
      </c>
      <c r="AL513" s="207">
        <f>IF(AG513="Käytetty",0,IF(AC513="MSD",((V513*Alukset_fx!$O$25)*Alukset_Käynnit_Lask!O513*(Alukset_fx!$L$52)/1000),IF(AC513="HSD",((V513*Alukset_fx!$O$25)*Alukset_Käynnit_Lask!O513*(Alukset_fx!$L$55)/1000),0)))</f>
        <v>0</v>
      </c>
      <c r="AM513" s="207">
        <f>IF(AG513="Käytetty",0,Y513*O513*Alukset_fx!$K$61/1000)</f>
        <v>0</v>
      </c>
      <c r="AN513" s="213">
        <f t="shared" si="98"/>
        <v>0</v>
      </c>
    </row>
    <row r="514" spans="1:40" x14ac:dyDescent="0.25">
      <c r="A514" s="203">
        <f>Alukset_Käynnit!A521</f>
        <v>0</v>
      </c>
      <c r="B514" s="203">
        <f>Alukset_Käynnit!B521</f>
        <v>0</v>
      </c>
      <c r="C514" s="262">
        <f>Alukset_Käynnit!C521</f>
        <v>0</v>
      </c>
      <c r="D514" s="266">
        <f>Alukset_Käynnit!D521</f>
        <v>0</v>
      </c>
      <c r="E514" s="262">
        <f>Alukset_Käynnit!E521</f>
        <v>0</v>
      </c>
      <c r="F514" s="262">
        <f>Alukset_Käynnit!F521</f>
        <v>0</v>
      </c>
      <c r="G514" s="262">
        <f>Alukset_Käynnit!G521</f>
        <v>0</v>
      </c>
      <c r="H514" s="262">
        <f>Alukset_Käynnit!H521</f>
        <v>0</v>
      </c>
      <c r="I514" s="262">
        <f>Alukset_Käynnit!I521</f>
        <v>0</v>
      </c>
      <c r="J514" s="262">
        <f>Alukset_Käynnit!J521</f>
        <v>0</v>
      </c>
      <c r="K514" s="262">
        <f>Alukset_Käynnit!K521</f>
        <v>0</v>
      </c>
      <c r="L514" s="205">
        <f>Alukset_Käynnit!L521</f>
        <v>0</v>
      </c>
      <c r="N514" s="273">
        <f t="shared" si="99"/>
        <v>0</v>
      </c>
      <c r="O514" s="274">
        <f t="shared" si="100"/>
        <v>0</v>
      </c>
      <c r="Q514" s="204">
        <f t="shared" si="89"/>
        <v>0</v>
      </c>
      <c r="R514" s="202">
        <f>IF(Q514="Other dry cargo",L514*Alukset_fx!$B$71,IF(OR(Q514="Dry bulk",Q514="Bulk carrier"),L514*Alukset_fx!$B$69,IF(Q514="Tugboat",L514*Alukset_fx!$B$76,IF(OR(Q514="Tanker",Q514="Gas tanker",Q514="Chemical tanker",Q514="Oil tanker"),L514*Alukset_fx!$B$68,IF(OR(Q514="RoRo",Q514="Vehicle carrier"),L514*Alukset_fx!$B$72,IF(Q514="RoPax",L514*Alukset_fx!$B$73,IF(Q514="Container ship",L514*Alukset_fx!$B$70,IF(Q514="Barge",0,L514*Alukset_fx!$B$75))))))))</f>
        <v>0</v>
      </c>
      <c r="S514" s="210">
        <f>IF(L514=0,IF(Q514="Other dry cargo",Alukset_fx!$H$73*(Alukset_Käynnit_Lask!K514^Alukset_fx!$I$73),IF(OR(Q514="Dry Bulk",Q514="Bulk carrier"),Alukset_fx!$H$71*(Alukset_Käynnit_Lask!K514^Alukset_fx!$I$71),IF(Q514="Tugboat",Alukset_fx!$H$78*(Alukset_Käynnit_Lask!K514^Alukset_fx!$I$78),IF(OR(Q514="Tanker",Q514="Gas tanker",Q514="Chemical tanker",Q514="Oil tanker"),Alukset_fx!$H$70*(Alukset_Käynnit_Lask!K514^Alukset_fx!$I$70),IF(Q514="Container ship",Alukset_fx!$H$72*(Alukset_Käynnit_Lask!K514^Alukset_fx!$I$72),IF(Q514="Barge",0,IF(Q514="RoPax",Alukset_fx!$H$75*(Alukset_Käynnit_Lask!K514^Alukset_fx!$I$75),IF(OR(Q514="RoRo",Q514="Vehicle carrier"),Alukset_fx!$H$74*(Alukset_Käynnit_Lask!K514^Alukset_fx!$I$74),Alukset_fx!$H$77*(Alukset_Käynnit_Lask!K514^Alukset_fx!$I$77))))))))),"-")</f>
        <v>0</v>
      </c>
      <c r="T514" s="208">
        <f>IF(R514=0,IF(Q514="Other dry cargo",S514*Alukset_fx!$B$71,IF(OR(Q514="Dry bulk",Q514="Bulk carrier"),S514*Alukset_fx!$B$69,IF(Q514="Tugboat",S514*Alukset_fx!$B$76,IF(OR(Q514="Tanker",Q514="Gas tanker",Q514="Chemical tanker",Q514="Oil tanker"),S514*Alukset_fx!$B$68,IF(OR(Q514="RoRo",Q514="Vehicle carrier"),S514*Alukset_fx!$B$72,IF(Q514="RoPax",S514*Alukset_fx!$B$73,IF(Q514="Container ship",S514*Alukset_fx!$B$70,S514*Alukset_fx!$B$75))))))),"-")</f>
        <v>0</v>
      </c>
      <c r="U514" s="208">
        <f t="shared" si="90"/>
        <v>0</v>
      </c>
      <c r="V514" s="208">
        <f t="shared" si="91"/>
        <v>0</v>
      </c>
      <c r="W514" s="202">
        <f>Alukset_Käynnit!N521</f>
        <v>0</v>
      </c>
      <c r="X514" s="211">
        <f>IF(Q514="Other dry cargo", Alukset_fx!$C$52, IF(OR(Q514="Dry bulk",Q514="Bulk carrier"),Alukset_fx!$C$35,IF(OR(Q514="Tanker",Q514="Gas tanker",Q514="Oil tanker"),Alukset_fx!$C$57,IF(Q514="Chemical tanker",Alukset_fx!$C$56,IF(OR(Q514="Tugboat",Q514="Barge"),0,IF(Q514="Other vessel",Alukset_fx!$C$54,IF(Q514="Container ship",Alukset_fx!$C$37,IF(OR(Q514="RoPax",Q514="RoRo",Q514="Vehicle carrier"),Alukset_fx!$C$55,0))))))))</f>
        <v>0</v>
      </c>
      <c r="Y514" s="211">
        <f>IF(Q514="Other dry cargo", Alukset_fx!$Q$52, IF(OR(Q514="Dry bulk",Q514="Bulk carrier"),Alukset_fx!$Q$35,IF(OR(Q514="Tanker",Q514="Gas tanker",Q514="Oil tanker"),Alukset_fx!$Q$57,IF(Q514="Chemical tanker",Alukset_fx!$Q$56,IF(OR(Q514="Tugboat",Q514="Barge"),0,IF(Q514="Other vessel",Alukset_fx!$Q$54,IF(Q514="Container ship",Alukset_fx!$Q$37,IF(OR(Q514="RoPax",Q514="RoRo",Q514="Vehicle carrier"),Alukset_fx!$Q$55,0))))))))</f>
        <v>0</v>
      </c>
      <c r="Z514" t="str">
        <f t="shared" si="92"/>
        <v>MDO/MGO</v>
      </c>
      <c r="AA514" t="str">
        <f t="shared" si="93"/>
        <v>MSD</v>
      </c>
      <c r="AB514" t="str">
        <f t="shared" si="94"/>
        <v>MDO/MGO</v>
      </c>
      <c r="AC514" t="str">
        <f t="shared" si="95"/>
        <v>MSD</v>
      </c>
      <c r="AD514" t="str">
        <f t="shared" si="96"/>
        <v>MDO/MGO</v>
      </c>
      <c r="AE514" t="str">
        <f t="shared" si="97"/>
        <v>ST</v>
      </c>
      <c r="AG514">
        <f>Alukset_Käynnit!O521</f>
        <v>0</v>
      </c>
      <c r="AH514" s="207">
        <f>IF(AA514="SSD",((U514*Alukset_fx!$B$24)*Alukset_Käynnit_Lask!W514*(Alukset_fx!$K$49)/1000),IF(AA514="MSD",((U514*Alukset_fx!$B$24)*Alukset_Käynnit_Lask!W514*(Alukset_fx!$K$52)/1000),IF(AA514="HSD",((U514*Alukset_fx!$B$24)*Alukset_Käynnit_Lask!W514*(Alukset_fx!$K$55)/1000),0)))</f>
        <v>0</v>
      </c>
      <c r="AI514" s="207">
        <f>IF(AC514="MSD",((V514*Alukset_fx!$B$25)*Alukset_Käynnit_Lask!W514*(Alukset_fx!$L$52)/1000),IF(AC514="HSD",((V514*Alukset_fx!$B$25)*Alukset_Käynnit_Lask!W514*(Alukset_fx!$L$55)/1000),0))</f>
        <v>0</v>
      </c>
      <c r="AJ514" s="207">
        <f>X514*W514*Alukset_fx!$K$61/1000</f>
        <v>0</v>
      </c>
      <c r="AK514">
        <v>0</v>
      </c>
      <c r="AL514" s="207">
        <f>IF(AG514="Käytetty",0,IF(AC514="MSD",((V514*Alukset_fx!$O$25)*Alukset_Käynnit_Lask!O514*(Alukset_fx!$L$52)/1000),IF(AC514="HSD",((V514*Alukset_fx!$O$25)*Alukset_Käynnit_Lask!O514*(Alukset_fx!$L$55)/1000),0)))</f>
        <v>0</v>
      </c>
      <c r="AM514" s="207">
        <f>IF(AG514="Käytetty",0,Y514*O514*Alukset_fx!$K$61/1000)</f>
        <v>0</v>
      </c>
      <c r="AN514" s="213">
        <f t="shared" si="98"/>
        <v>0</v>
      </c>
    </row>
    <row r="515" spans="1:40" x14ac:dyDescent="0.25">
      <c r="A515" s="203">
        <f>Alukset_Käynnit!A522</f>
        <v>0</v>
      </c>
      <c r="B515" s="203">
        <f>Alukset_Käynnit!B522</f>
        <v>0</v>
      </c>
      <c r="C515" s="262">
        <f>Alukset_Käynnit!C522</f>
        <v>0</v>
      </c>
      <c r="D515" s="266">
        <f>Alukset_Käynnit!D522</f>
        <v>0</v>
      </c>
      <c r="E515" s="262">
        <f>Alukset_Käynnit!E522</f>
        <v>0</v>
      </c>
      <c r="F515" s="262">
        <f>Alukset_Käynnit!F522</f>
        <v>0</v>
      </c>
      <c r="G515" s="262">
        <f>Alukset_Käynnit!G522</f>
        <v>0</v>
      </c>
      <c r="H515" s="262">
        <f>Alukset_Käynnit!H522</f>
        <v>0</v>
      </c>
      <c r="I515" s="262">
        <f>Alukset_Käynnit!I522</f>
        <v>0</v>
      </c>
      <c r="J515" s="262">
        <f>Alukset_Käynnit!J522</f>
        <v>0</v>
      </c>
      <c r="K515" s="262">
        <f>Alukset_Käynnit!K522</f>
        <v>0</v>
      </c>
      <c r="L515" s="205">
        <f>Alukset_Käynnit!L522</f>
        <v>0</v>
      </c>
      <c r="N515" s="273">
        <f t="shared" si="99"/>
        <v>0</v>
      </c>
      <c r="O515" s="274">
        <f t="shared" si="100"/>
        <v>0</v>
      </c>
      <c r="Q515" s="204">
        <f t="shared" si="89"/>
        <v>0</v>
      </c>
      <c r="R515" s="202">
        <f>IF(Q515="Other dry cargo",L515*Alukset_fx!$B$71,IF(OR(Q515="Dry bulk",Q515="Bulk carrier"),L515*Alukset_fx!$B$69,IF(Q515="Tugboat",L515*Alukset_fx!$B$76,IF(OR(Q515="Tanker",Q515="Gas tanker",Q515="Chemical tanker",Q515="Oil tanker"),L515*Alukset_fx!$B$68,IF(OR(Q515="RoRo",Q515="Vehicle carrier"),L515*Alukset_fx!$B$72,IF(Q515="RoPax",L515*Alukset_fx!$B$73,IF(Q515="Container ship",L515*Alukset_fx!$B$70,IF(Q515="Barge",0,L515*Alukset_fx!$B$75))))))))</f>
        <v>0</v>
      </c>
      <c r="S515" s="210">
        <f>IF(L515=0,IF(Q515="Other dry cargo",Alukset_fx!$H$73*(Alukset_Käynnit_Lask!K515^Alukset_fx!$I$73),IF(OR(Q515="Dry Bulk",Q515="Bulk carrier"),Alukset_fx!$H$71*(Alukset_Käynnit_Lask!K515^Alukset_fx!$I$71),IF(Q515="Tugboat",Alukset_fx!$H$78*(Alukset_Käynnit_Lask!K515^Alukset_fx!$I$78),IF(OR(Q515="Tanker",Q515="Gas tanker",Q515="Chemical tanker",Q515="Oil tanker"),Alukset_fx!$H$70*(Alukset_Käynnit_Lask!K515^Alukset_fx!$I$70),IF(Q515="Container ship",Alukset_fx!$H$72*(Alukset_Käynnit_Lask!K515^Alukset_fx!$I$72),IF(Q515="Barge",0,IF(Q515="RoPax",Alukset_fx!$H$75*(Alukset_Käynnit_Lask!K515^Alukset_fx!$I$75),IF(OR(Q515="RoRo",Q515="Vehicle carrier"),Alukset_fx!$H$74*(Alukset_Käynnit_Lask!K515^Alukset_fx!$I$74),Alukset_fx!$H$77*(Alukset_Käynnit_Lask!K515^Alukset_fx!$I$77))))))))),"-")</f>
        <v>0</v>
      </c>
      <c r="T515" s="208">
        <f>IF(R515=0,IF(Q515="Other dry cargo",S515*Alukset_fx!$B$71,IF(OR(Q515="Dry bulk",Q515="Bulk carrier"),S515*Alukset_fx!$B$69,IF(Q515="Tugboat",S515*Alukset_fx!$B$76,IF(OR(Q515="Tanker",Q515="Gas tanker",Q515="Chemical tanker",Q515="Oil tanker"),S515*Alukset_fx!$B$68,IF(OR(Q515="RoRo",Q515="Vehicle carrier"),S515*Alukset_fx!$B$72,IF(Q515="RoPax",S515*Alukset_fx!$B$73,IF(Q515="Container ship",S515*Alukset_fx!$B$70,S515*Alukset_fx!$B$75))))))),"-")</f>
        <v>0</v>
      </c>
      <c r="U515" s="208">
        <f t="shared" si="90"/>
        <v>0</v>
      </c>
      <c r="V515" s="208">
        <f t="shared" si="91"/>
        <v>0</v>
      </c>
      <c r="W515" s="202">
        <f>Alukset_Käynnit!N522</f>
        <v>0</v>
      </c>
      <c r="X515" s="211">
        <f>IF(Q515="Other dry cargo", Alukset_fx!$C$52, IF(OR(Q515="Dry bulk",Q515="Bulk carrier"),Alukset_fx!$C$35,IF(OR(Q515="Tanker",Q515="Gas tanker",Q515="Oil tanker"),Alukset_fx!$C$57,IF(Q515="Chemical tanker",Alukset_fx!$C$56,IF(OR(Q515="Tugboat",Q515="Barge"),0,IF(Q515="Other vessel",Alukset_fx!$C$54,IF(Q515="Container ship",Alukset_fx!$C$37,IF(OR(Q515="RoPax",Q515="RoRo",Q515="Vehicle carrier"),Alukset_fx!$C$55,0))))))))</f>
        <v>0</v>
      </c>
      <c r="Y515" s="211">
        <f>IF(Q515="Other dry cargo", Alukset_fx!$Q$52, IF(OR(Q515="Dry bulk",Q515="Bulk carrier"),Alukset_fx!$Q$35,IF(OR(Q515="Tanker",Q515="Gas tanker",Q515="Oil tanker"),Alukset_fx!$Q$57,IF(Q515="Chemical tanker",Alukset_fx!$Q$56,IF(OR(Q515="Tugboat",Q515="Barge"),0,IF(Q515="Other vessel",Alukset_fx!$Q$54,IF(Q515="Container ship",Alukset_fx!$Q$37,IF(OR(Q515="RoPax",Q515="RoRo",Q515="Vehicle carrier"),Alukset_fx!$Q$55,0))))))))</f>
        <v>0</v>
      </c>
      <c r="Z515" t="str">
        <f t="shared" si="92"/>
        <v>MDO/MGO</v>
      </c>
      <c r="AA515" t="str">
        <f t="shared" si="93"/>
        <v>MSD</v>
      </c>
      <c r="AB515" t="str">
        <f t="shared" si="94"/>
        <v>MDO/MGO</v>
      </c>
      <c r="AC515" t="str">
        <f t="shared" si="95"/>
        <v>MSD</v>
      </c>
      <c r="AD515" t="str">
        <f t="shared" si="96"/>
        <v>MDO/MGO</v>
      </c>
      <c r="AE515" t="str">
        <f t="shared" si="97"/>
        <v>ST</v>
      </c>
      <c r="AG515">
        <f>Alukset_Käynnit!O522</f>
        <v>0</v>
      </c>
      <c r="AH515" s="207">
        <f>IF(AA515="SSD",((U515*Alukset_fx!$B$24)*Alukset_Käynnit_Lask!W515*(Alukset_fx!$K$49)/1000),IF(AA515="MSD",((U515*Alukset_fx!$B$24)*Alukset_Käynnit_Lask!W515*(Alukset_fx!$K$52)/1000),IF(AA515="HSD",((U515*Alukset_fx!$B$24)*Alukset_Käynnit_Lask!W515*(Alukset_fx!$K$55)/1000),0)))</f>
        <v>0</v>
      </c>
      <c r="AI515" s="207">
        <f>IF(AC515="MSD",((V515*Alukset_fx!$B$25)*Alukset_Käynnit_Lask!W515*(Alukset_fx!$L$52)/1000),IF(AC515="HSD",((V515*Alukset_fx!$B$25)*Alukset_Käynnit_Lask!W515*(Alukset_fx!$L$55)/1000),0))</f>
        <v>0</v>
      </c>
      <c r="AJ515" s="207">
        <f>X515*W515*Alukset_fx!$K$61/1000</f>
        <v>0</v>
      </c>
      <c r="AK515">
        <v>0</v>
      </c>
      <c r="AL515" s="207">
        <f>IF(AG515="Käytetty",0,IF(AC515="MSD",((V515*Alukset_fx!$O$25)*Alukset_Käynnit_Lask!O515*(Alukset_fx!$L$52)/1000),IF(AC515="HSD",((V515*Alukset_fx!$O$25)*Alukset_Käynnit_Lask!O515*(Alukset_fx!$L$55)/1000),0)))</f>
        <v>0</v>
      </c>
      <c r="AM515" s="207">
        <f>IF(AG515="Käytetty",0,Y515*O515*Alukset_fx!$K$61/1000)</f>
        <v>0</v>
      </c>
      <c r="AN515" s="213">
        <f t="shared" si="98"/>
        <v>0</v>
      </c>
    </row>
    <row r="516" spans="1:40" x14ac:dyDescent="0.25">
      <c r="A516" s="203">
        <f>Alukset_Käynnit!A523</f>
        <v>0</v>
      </c>
      <c r="B516" s="203">
        <f>Alukset_Käynnit!B523</f>
        <v>0</v>
      </c>
      <c r="C516" s="262">
        <f>Alukset_Käynnit!C523</f>
        <v>0</v>
      </c>
      <c r="D516" s="266">
        <f>Alukset_Käynnit!D523</f>
        <v>0</v>
      </c>
      <c r="E516" s="262">
        <f>Alukset_Käynnit!E523</f>
        <v>0</v>
      </c>
      <c r="F516" s="262">
        <f>Alukset_Käynnit!F523</f>
        <v>0</v>
      </c>
      <c r="G516" s="262">
        <f>Alukset_Käynnit!G523</f>
        <v>0</v>
      </c>
      <c r="H516" s="262">
        <f>Alukset_Käynnit!H523</f>
        <v>0</v>
      </c>
      <c r="I516" s="262">
        <f>Alukset_Käynnit!I523</f>
        <v>0</v>
      </c>
      <c r="J516" s="262">
        <f>Alukset_Käynnit!J523</f>
        <v>0</v>
      </c>
      <c r="K516" s="262">
        <f>Alukset_Käynnit!K523</f>
        <v>0</v>
      </c>
      <c r="L516" s="205">
        <f>Alukset_Käynnit!L523</f>
        <v>0</v>
      </c>
      <c r="N516" s="273">
        <f t="shared" si="99"/>
        <v>0</v>
      </c>
      <c r="O516" s="274">
        <f t="shared" si="100"/>
        <v>0</v>
      </c>
      <c r="Q516" s="204">
        <f t="shared" si="89"/>
        <v>0</v>
      </c>
      <c r="R516" s="202">
        <f>IF(Q516="Other dry cargo",L516*Alukset_fx!$B$71,IF(OR(Q516="Dry bulk",Q516="Bulk carrier"),L516*Alukset_fx!$B$69,IF(Q516="Tugboat",L516*Alukset_fx!$B$76,IF(OR(Q516="Tanker",Q516="Gas tanker",Q516="Chemical tanker",Q516="Oil tanker"),L516*Alukset_fx!$B$68,IF(OR(Q516="RoRo",Q516="Vehicle carrier"),L516*Alukset_fx!$B$72,IF(Q516="RoPax",L516*Alukset_fx!$B$73,IF(Q516="Container ship",L516*Alukset_fx!$B$70,IF(Q516="Barge",0,L516*Alukset_fx!$B$75))))))))</f>
        <v>0</v>
      </c>
      <c r="S516" s="210">
        <f>IF(L516=0,IF(Q516="Other dry cargo",Alukset_fx!$H$73*(Alukset_Käynnit_Lask!K516^Alukset_fx!$I$73),IF(OR(Q516="Dry Bulk",Q516="Bulk carrier"),Alukset_fx!$H$71*(Alukset_Käynnit_Lask!K516^Alukset_fx!$I$71),IF(Q516="Tugboat",Alukset_fx!$H$78*(Alukset_Käynnit_Lask!K516^Alukset_fx!$I$78),IF(OR(Q516="Tanker",Q516="Gas tanker",Q516="Chemical tanker",Q516="Oil tanker"),Alukset_fx!$H$70*(Alukset_Käynnit_Lask!K516^Alukset_fx!$I$70),IF(Q516="Container ship",Alukset_fx!$H$72*(Alukset_Käynnit_Lask!K516^Alukset_fx!$I$72),IF(Q516="Barge",0,IF(Q516="RoPax",Alukset_fx!$H$75*(Alukset_Käynnit_Lask!K516^Alukset_fx!$I$75),IF(OR(Q516="RoRo",Q516="Vehicle carrier"),Alukset_fx!$H$74*(Alukset_Käynnit_Lask!K516^Alukset_fx!$I$74),Alukset_fx!$H$77*(Alukset_Käynnit_Lask!K516^Alukset_fx!$I$77))))))))),"-")</f>
        <v>0</v>
      </c>
      <c r="T516" s="208">
        <f>IF(R516=0,IF(Q516="Other dry cargo",S516*Alukset_fx!$B$71,IF(OR(Q516="Dry bulk",Q516="Bulk carrier"),S516*Alukset_fx!$B$69,IF(Q516="Tugboat",S516*Alukset_fx!$B$76,IF(OR(Q516="Tanker",Q516="Gas tanker",Q516="Chemical tanker",Q516="Oil tanker"),S516*Alukset_fx!$B$68,IF(OR(Q516="RoRo",Q516="Vehicle carrier"),S516*Alukset_fx!$B$72,IF(Q516="RoPax",S516*Alukset_fx!$B$73,IF(Q516="Container ship",S516*Alukset_fx!$B$70,S516*Alukset_fx!$B$75))))))),"-")</f>
        <v>0</v>
      </c>
      <c r="U516" s="208">
        <f t="shared" si="90"/>
        <v>0</v>
      </c>
      <c r="V516" s="208">
        <f t="shared" si="91"/>
        <v>0</v>
      </c>
      <c r="W516" s="202">
        <f>Alukset_Käynnit!N523</f>
        <v>0</v>
      </c>
      <c r="X516" s="211">
        <f>IF(Q516="Other dry cargo", Alukset_fx!$C$52, IF(OR(Q516="Dry bulk",Q516="Bulk carrier"),Alukset_fx!$C$35,IF(OR(Q516="Tanker",Q516="Gas tanker",Q516="Oil tanker"),Alukset_fx!$C$57,IF(Q516="Chemical tanker",Alukset_fx!$C$56,IF(OR(Q516="Tugboat",Q516="Barge"),0,IF(Q516="Other vessel",Alukset_fx!$C$54,IF(Q516="Container ship",Alukset_fx!$C$37,IF(OR(Q516="RoPax",Q516="RoRo",Q516="Vehicle carrier"),Alukset_fx!$C$55,0))))))))</f>
        <v>0</v>
      </c>
      <c r="Y516" s="211">
        <f>IF(Q516="Other dry cargo", Alukset_fx!$Q$52, IF(OR(Q516="Dry bulk",Q516="Bulk carrier"),Alukset_fx!$Q$35,IF(OR(Q516="Tanker",Q516="Gas tanker",Q516="Oil tanker"),Alukset_fx!$Q$57,IF(Q516="Chemical tanker",Alukset_fx!$Q$56,IF(OR(Q516="Tugboat",Q516="Barge"),0,IF(Q516="Other vessel",Alukset_fx!$Q$54,IF(Q516="Container ship",Alukset_fx!$Q$37,IF(OR(Q516="RoPax",Q516="RoRo",Q516="Vehicle carrier"),Alukset_fx!$Q$55,0))))))))</f>
        <v>0</v>
      </c>
      <c r="Z516" t="str">
        <f t="shared" si="92"/>
        <v>MDO/MGO</v>
      </c>
      <c r="AA516" t="str">
        <f t="shared" si="93"/>
        <v>MSD</v>
      </c>
      <c r="AB516" t="str">
        <f t="shared" si="94"/>
        <v>MDO/MGO</v>
      </c>
      <c r="AC516" t="str">
        <f t="shared" si="95"/>
        <v>MSD</v>
      </c>
      <c r="AD516" t="str">
        <f t="shared" si="96"/>
        <v>MDO/MGO</v>
      </c>
      <c r="AE516" t="str">
        <f t="shared" si="97"/>
        <v>ST</v>
      </c>
      <c r="AG516">
        <f>Alukset_Käynnit!O523</f>
        <v>0</v>
      </c>
      <c r="AH516" s="207">
        <f>IF(AA516="SSD",((U516*Alukset_fx!$B$24)*Alukset_Käynnit_Lask!W516*(Alukset_fx!$K$49)/1000),IF(AA516="MSD",((U516*Alukset_fx!$B$24)*Alukset_Käynnit_Lask!W516*(Alukset_fx!$K$52)/1000),IF(AA516="HSD",((U516*Alukset_fx!$B$24)*Alukset_Käynnit_Lask!W516*(Alukset_fx!$K$55)/1000),0)))</f>
        <v>0</v>
      </c>
      <c r="AI516" s="207">
        <f>IF(AC516="MSD",((V516*Alukset_fx!$B$25)*Alukset_Käynnit_Lask!W516*(Alukset_fx!$L$52)/1000),IF(AC516="HSD",((V516*Alukset_fx!$B$25)*Alukset_Käynnit_Lask!W516*(Alukset_fx!$L$55)/1000),0))</f>
        <v>0</v>
      </c>
      <c r="AJ516" s="207">
        <f>X516*W516*Alukset_fx!$K$61/1000</f>
        <v>0</v>
      </c>
      <c r="AK516">
        <v>0</v>
      </c>
      <c r="AL516" s="207">
        <f>IF(AG516="Käytetty",0,IF(AC516="MSD",((V516*Alukset_fx!$O$25)*Alukset_Käynnit_Lask!O516*(Alukset_fx!$L$52)/1000),IF(AC516="HSD",((V516*Alukset_fx!$O$25)*Alukset_Käynnit_Lask!O516*(Alukset_fx!$L$55)/1000),0)))</f>
        <v>0</v>
      </c>
      <c r="AM516" s="207">
        <f>IF(AG516="Käytetty",0,Y516*O516*Alukset_fx!$K$61/1000)</f>
        <v>0</v>
      </c>
      <c r="AN516" s="213">
        <f t="shared" si="98"/>
        <v>0</v>
      </c>
    </row>
    <row r="517" spans="1:40" x14ac:dyDescent="0.25">
      <c r="A517" s="203">
        <f>Alukset_Käynnit!A524</f>
        <v>0</v>
      </c>
      <c r="B517" s="203">
        <f>Alukset_Käynnit!B524</f>
        <v>0</v>
      </c>
      <c r="C517" s="262">
        <f>Alukset_Käynnit!C524</f>
        <v>0</v>
      </c>
      <c r="D517" s="266">
        <f>Alukset_Käynnit!D524</f>
        <v>0</v>
      </c>
      <c r="E517" s="262">
        <f>Alukset_Käynnit!E524</f>
        <v>0</v>
      </c>
      <c r="F517" s="262">
        <f>Alukset_Käynnit!F524</f>
        <v>0</v>
      </c>
      <c r="G517" s="262">
        <f>Alukset_Käynnit!G524</f>
        <v>0</v>
      </c>
      <c r="H517" s="262">
        <f>Alukset_Käynnit!H524</f>
        <v>0</v>
      </c>
      <c r="I517" s="262">
        <f>Alukset_Käynnit!I524</f>
        <v>0</v>
      </c>
      <c r="J517" s="262">
        <f>Alukset_Käynnit!J524</f>
        <v>0</v>
      </c>
      <c r="K517" s="262">
        <f>Alukset_Käynnit!K524</f>
        <v>0</v>
      </c>
      <c r="L517" s="205">
        <f>Alukset_Käynnit!L524</f>
        <v>0</v>
      </c>
      <c r="N517" s="273">
        <f t="shared" si="99"/>
        <v>0</v>
      </c>
      <c r="O517" s="274">
        <f t="shared" si="100"/>
        <v>0</v>
      </c>
      <c r="Q517" s="204">
        <f t="shared" si="89"/>
        <v>0</v>
      </c>
      <c r="R517" s="202">
        <f>IF(Q517="Other dry cargo",L517*Alukset_fx!$B$71,IF(OR(Q517="Dry bulk",Q517="Bulk carrier"),L517*Alukset_fx!$B$69,IF(Q517="Tugboat",L517*Alukset_fx!$B$76,IF(OR(Q517="Tanker",Q517="Gas tanker",Q517="Chemical tanker",Q517="Oil tanker"),L517*Alukset_fx!$B$68,IF(OR(Q517="RoRo",Q517="Vehicle carrier"),L517*Alukset_fx!$B$72,IF(Q517="RoPax",L517*Alukset_fx!$B$73,IF(Q517="Container ship",L517*Alukset_fx!$B$70,IF(Q517="Barge",0,L517*Alukset_fx!$B$75))))))))</f>
        <v>0</v>
      </c>
      <c r="S517" s="210">
        <f>IF(L517=0,IF(Q517="Other dry cargo",Alukset_fx!$H$73*(Alukset_Käynnit_Lask!K517^Alukset_fx!$I$73),IF(OR(Q517="Dry Bulk",Q517="Bulk carrier"),Alukset_fx!$H$71*(Alukset_Käynnit_Lask!K517^Alukset_fx!$I$71),IF(Q517="Tugboat",Alukset_fx!$H$78*(Alukset_Käynnit_Lask!K517^Alukset_fx!$I$78),IF(OR(Q517="Tanker",Q517="Gas tanker",Q517="Chemical tanker",Q517="Oil tanker"),Alukset_fx!$H$70*(Alukset_Käynnit_Lask!K517^Alukset_fx!$I$70),IF(Q517="Container ship",Alukset_fx!$H$72*(Alukset_Käynnit_Lask!K517^Alukset_fx!$I$72),IF(Q517="Barge",0,IF(Q517="RoPax",Alukset_fx!$H$75*(Alukset_Käynnit_Lask!K517^Alukset_fx!$I$75),IF(OR(Q517="RoRo",Q517="Vehicle carrier"),Alukset_fx!$H$74*(Alukset_Käynnit_Lask!K517^Alukset_fx!$I$74),Alukset_fx!$H$77*(Alukset_Käynnit_Lask!K517^Alukset_fx!$I$77))))))))),"-")</f>
        <v>0</v>
      </c>
      <c r="T517" s="208">
        <f>IF(R517=0,IF(Q517="Other dry cargo",S517*Alukset_fx!$B$71,IF(OR(Q517="Dry bulk",Q517="Bulk carrier"),S517*Alukset_fx!$B$69,IF(Q517="Tugboat",S517*Alukset_fx!$B$76,IF(OR(Q517="Tanker",Q517="Gas tanker",Q517="Chemical tanker",Q517="Oil tanker"),S517*Alukset_fx!$B$68,IF(OR(Q517="RoRo",Q517="Vehicle carrier"),S517*Alukset_fx!$B$72,IF(Q517="RoPax",S517*Alukset_fx!$B$73,IF(Q517="Container ship",S517*Alukset_fx!$B$70,S517*Alukset_fx!$B$75))))))),"-")</f>
        <v>0</v>
      </c>
      <c r="U517" s="208">
        <f t="shared" si="90"/>
        <v>0</v>
      </c>
      <c r="V517" s="208">
        <f t="shared" si="91"/>
        <v>0</v>
      </c>
      <c r="W517" s="202">
        <f>Alukset_Käynnit!N524</f>
        <v>0</v>
      </c>
      <c r="X517" s="211">
        <f>IF(Q517="Other dry cargo", Alukset_fx!$C$52, IF(OR(Q517="Dry bulk",Q517="Bulk carrier"),Alukset_fx!$C$35,IF(OR(Q517="Tanker",Q517="Gas tanker",Q517="Oil tanker"),Alukset_fx!$C$57,IF(Q517="Chemical tanker",Alukset_fx!$C$56,IF(OR(Q517="Tugboat",Q517="Barge"),0,IF(Q517="Other vessel",Alukset_fx!$C$54,IF(Q517="Container ship",Alukset_fx!$C$37,IF(OR(Q517="RoPax",Q517="RoRo",Q517="Vehicle carrier"),Alukset_fx!$C$55,0))))))))</f>
        <v>0</v>
      </c>
      <c r="Y517" s="211">
        <f>IF(Q517="Other dry cargo", Alukset_fx!$Q$52, IF(OR(Q517="Dry bulk",Q517="Bulk carrier"),Alukset_fx!$Q$35,IF(OR(Q517="Tanker",Q517="Gas tanker",Q517="Oil tanker"),Alukset_fx!$Q$57,IF(Q517="Chemical tanker",Alukset_fx!$Q$56,IF(OR(Q517="Tugboat",Q517="Barge"),0,IF(Q517="Other vessel",Alukset_fx!$Q$54,IF(Q517="Container ship",Alukset_fx!$Q$37,IF(OR(Q517="RoPax",Q517="RoRo",Q517="Vehicle carrier"),Alukset_fx!$Q$55,0))))))))</f>
        <v>0</v>
      </c>
      <c r="Z517" t="str">
        <f t="shared" si="92"/>
        <v>MDO/MGO</v>
      </c>
      <c r="AA517" t="str">
        <f t="shared" si="93"/>
        <v>MSD</v>
      </c>
      <c r="AB517" t="str">
        <f t="shared" si="94"/>
        <v>MDO/MGO</v>
      </c>
      <c r="AC517" t="str">
        <f t="shared" si="95"/>
        <v>MSD</v>
      </c>
      <c r="AD517" t="str">
        <f t="shared" si="96"/>
        <v>MDO/MGO</v>
      </c>
      <c r="AE517" t="str">
        <f t="shared" si="97"/>
        <v>ST</v>
      </c>
      <c r="AG517">
        <f>Alukset_Käynnit!O524</f>
        <v>0</v>
      </c>
      <c r="AH517" s="207">
        <f>IF(AA517="SSD",((U517*Alukset_fx!$B$24)*Alukset_Käynnit_Lask!W517*(Alukset_fx!$K$49)/1000),IF(AA517="MSD",((U517*Alukset_fx!$B$24)*Alukset_Käynnit_Lask!W517*(Alukset_fx!$K$52)/1000),IF(AA517="HSD",((U517*Alukset_fx!$B$24)*Alukset_Käynnit_Lask!W517*(Alukset_fx!$K$55)/1000),0)))</f>
        <v>0</v>
      </c>
      <c r="AI517" s="207">
        <f>IF(AC517="MSD",((V517*Alukset_fx!$B$25)*Alukset_Käynnit_Lask!W517*(Alukset_fx!$L$52)/1000),IF(AC517="HSD",((V517*Alukset_fx!$B$25)*Alukset_Käynnit_Lask!W517*(Alukset_fx!$L$55)/1000),0))</f>
        <v>0</v>
      </c>
      <c r="AJ517" s="207">
        <f>X517*W517*Alukset_fx!$K$61/1000</f>
        <v>0</v>
      </c>
      <c r="AK517">
        <v>0</v>
      </c>
      <c r="AL517" s="207">
        <f>IF(AG517="Käytetty",0,IF(AC517="MSD",((V517*Alukset_fx!$O$25)*Alukset_Käynnit_Lask!O517*(Alukset_fx!$L$52)/1000),IF(AC517="HSD",((V517*Alukset_fx!$O$25)*Alukset_Käynnit_Lask!O517*(Alukset_fx!$L$55)/1000),0)))</f>
        <v>0</v>
      </c>
      <c r="AM517" s="207">
        <f>IF(AG517="Käytetty",0,Y517*O517*Alukset_fx!$K$61/1000)</f>
        <v>0</v>
      </c>
      <c r="AN517" s="213">
        <f t="shared" si="98"/>
        <v>0</v>
      </c>
    </row>
    <row r="518" spans="1:40" x14ac:dyDescent="0.25">
      <c r="A518" s="203">
        <f>Alukset_Käynnit!A525</f>
        <v>0</v>
      </c>
      <c r="B518" s="203">
        <f>Alukset_Käynnit!B525</f>
        <v>0</v>
      </c>
      <c r="C518" s="262">
        <f>Alukset_Käynnit!C525</f>
        <v>0</v>
      </c>
      <c r="D518" s="266">
        <f>Alukset_Käynnit!D525</f>
        <v>0</v>
      </c>
      <c r="E518" s="262">
        <f>Alukset_Käynnit!E525</f>
        <v>0</v>
      </c>
      <c r="F518" s="262">
        <f>Alukset_Käynnit!F525</f>
        <v>0</v>
      </c>
      <c r="G518" s="262">
        <f>Alukset_Käynnit!G525</f>
        <v>0</v>
      </c>
      <c r="H518" s="262">
        <f>Alukset_Käynnit!H525</f>
        <v>0</v>
      </c>
      <c r="I518" s="262">
        <f>Alukset_Käynnit!I525</f>
        <v>0</v>
      </c>
      <c r="J518" s="262">
        <f>Alukset_Käynnit!J525</f>
        <v>0</v>
      </c>
      <c r="K518" s="262">
        <f>Alukset_Käynnit!K525</f>
        <v>0</v>
      </c>
      <c r="L518" s="205">
        <f>Alukset_Käynnit!L525</f>
        <v>0</v>
      </c>
      <c r="N518" s="273">
        <f t="shared" si="99"/>
        <v>0</v>
      </c>
      <c r="O518" s="274">
        <f t="shared" si="100"/>
        <v>0</v>
      </c>
      <c r="Q518" s="204">
        <f t="shared" si="89"/>
        <v>0</v>
      </c>
      <c r="R518" s="202">
        <f>IF(Q518="Other dry cargo",L518*Alukset_fx!$B$71,IF(OR(Q518="Dry bulk",Q518="Bulk carrier"),L518*Alukset_fx!$B$69,IF(Q518="Tugboat",L518*Alukset_fx!$B$76,IF(OR(Q518="Tanker",Q518="Gas tanker",Q518="Chemical tanker",Q518="Oil tanker"),L518*Alukset_fx!$B$68,IF(OR(Q518="RoRo",Q518="Vehicle carrier"),L518*Alukset_fx!$B$72,IF(Q518="RoPax",L518*Alukset_fx!$B$73,IF(Q518="Container ship",L518*Alukset_fx!$B$70,IF(Q518="Barge",0,L518*Alukset_fx!$B$75))))))))</f>
        <v>0</v>
      </c>
      <c r="S518" s="210">
        <f>IF(L518=0,IF(Q518="Other dry cargo",Alukset_fx!$H$73*(Alukset_Käynnit_Lask!K518^Alukset_fx!$I$73),IF(OR(Q518="Dry Bulk",Q518="Bulk carrier"),Alukset_fx!$H$71*(Alukset_Käynnit_Lask!K518^Alukset_fx!$I$71),IF(Q518="Tugboat",Alukset_fx!$H$78*(Alukset_Käynnit_Lask!K518^Alukset_fx!$I$78),IF(OR(Q518="Tanker",Q518="Gas tanker",Q518="Chemical tanker",Q518="Oil tanker"),Alukset_fx!$H$70*(Alukset_Käynnit_Lask!K518^Alukset_fx!$I$70),IF(Q518="Container ship",Alukset_fx!$H$72*(Alukset_Käynnit_Lask!K518^Alukset_fx!$I$72),IF(Q518="Barge",0,IF(Q518="RoPax",Alukset_fx!$H$75*(Alukset_Käynnit_Lask!K518^Alukset_fx!$I$75),IF(OR(Q518="RoRo",Q518="Vehicle carrier"),Alukset_fx!$H$74*(Alukset_Käynnit_Lask!K518^Alukset_fx!$I$74),Alukset_fx!$H$77*(Alukset_Käynnit_Lask!K518^Alukset_fx!$I$77))))))))),"-")</f>
        <v>0</v>
      </c>
      <c r="T518" s="208">
        <f>IF(R518=0,IF(Q518="Other dry cargo",S518*Alukset_fx!$B$71,IF(OR(Q518="Dry bulk",Q518="Bulk carrier"),S518*Alukset_fx!$B$69,IF(Q518="Tugboat",S518*Alukset_fx!$B$76,IF(OR(Q518="Tanker",Q518="Gas tanker",Q518="Chemical tanker",Q518="Oil tanker"),S518*Alukset_fx!$B$68,IF(OR(Q518="RoRo",Q518="Vehicle carrier"),S518*Alukset_fx!$B$72,IF(Q518="RoPax",S518*Alukset_fx!$B$73,IF(Q518="Container ship",S518*Alukset_fx!$B$70,S518*Alukset_fx!$B$75))))))),"-")</f>
        <v>0</v>
      </c>
      <c r="U518" s="208">
        <f t="shared" si="90"/>
        <v>0</v>
      </c>
      <c r="V518" s="208">
        <f t="shared" si="91"/>
        <v>0</v>
      </c>
      <c r="W518" s="202">
        <f>Alukset_Käynnit!N525</f>
        <v>0</v>
      </c>
      <c r="X518" s="211">
        <f>IF(Q518="Other dry cargo", Alukset_fx!$C$52, IF(OR(Q518="Dry bulk",Q518="Bulk carrier"),Alukset_fx!$C$35,IF(OR(Q518="Tanker",Q518="Gas tanker",Q518="Oil tanker"),Alukset_fx!$C$57,IF(Q518="Chemical tanker",Alukset_fx!$C$56,IF(OR(Q518="Tugboat",Q518="Barge"),0,IF(Q518="Other vessel",Alukset_fx!$C$54,IF(Q518="Container ship",Alukset_fx!$C$37,IF(OR(Q518="RoPax",Q518="RoRo",Q518="Vehicle carrier"),Alukset_fx!$C$55,0))))))))</f>
        <v>0</v>
      </c>
      <c r="Y518" s="211">
        <f>IF(Q518="Other dry cargo", Alukset_fx!$Q$52, IF(OR(Q518="Dry bulk",Q518="Bulk carrier"),Alukset_fx!$Q$35,IF(OR(Q518="Tanker",Q518="Gas tanker",Q518="Oil tanker"),Alukset_fx!$Q$57,IF(Q518="Chemical tanker",Alukset_fx!$Q$56,IF(OR(Q518="Tugboat",Q518="Barge"),0,IF(Q518="Other vessel",Alukset_fx!$Q$54,IF(Q518="Container ship",Alukset_fx!$Q$37,IF(OR(Q518="RoPax",Q518="RoRo",Q518="Vehicle carrier"),Alukset_fx!$Q$55,0))))))))</f>
        <v>0</v>
      </c>
      <c r="Z518" t="str">
        <f t="shared" si="92"/>
        <v>MDO/MGO</v>
      </c>
      <c r="AA518" t="str">
        <f t="shared" si="93"/>
        <v>MSD</v>
      </c>
      <c r="AB518" t="str">
        <f t="shared" si="94"/>
        <v>MDO/MGO</v>
      </c>
      <c r="AC518" t="str">
        <f t="shared" si="95"/>
        <v>MSD</v>
      </c>
      <c r="AD518" t="str">
        <f t="shared" si="96"/>
        <v>MDO/MGO</v>
      </c>
      <c r="AE518" t="str">
        <f t="shared" si="97"/>
        <v>ST</v>
      </c>
      <c r="AG518">
        <f>Alukset_Käynnit!O525</f>
        <v>0</v>
      </c>
      <c r="AH518" s="207">
        <f>IF(AA518="SSD",((U518*Alukset_fx!$B$24)*Alukset_Käynnit_Lask!W518*(Alukset_fx!$K$49)/1000),IF(AA518="MSD",((U518*Alukset_fx!$B$24)*Alukset_Käynnit_Lask!W518*(Alukset_fx!$K$52)/1000),IF(AA518="HSD",((U518*Alukset_fx!$B$24)*Alukset_Käynnit_Lask!W518*(Alukset_fx!$K$55)/1000),0)))</f>
        <v>0</v>
      </c>
      <c r="AI518" s="207">
        <f>IF(AC518="MSD",((V518*Alukset_fx!$B$25)*Alukset_Käynnit_Lask!W518*(Alukset_fx!$L$52)/1000),IF(AC518="HSD",((V518*Alukset_fx!$B$25)*Alukset_Käynnit_Lask!W518*(Alukset_fx!$L$55)/1000),0))</f>
        <v>0</v>
      </c>
      <c r="AJ518" s="207">
        <f>X518*W518*Alukset_fx!$K$61/1000</f>
        <v>0</v>
      </c>
      <c r="AK518">
        <v>0</v>
      </c>
      <c r="AL518" s="207">
        <f>IF(AG518="Käytetty",0,IF(AC518="MSD",((V518*Alukset_fx!$O$25)*Alukset_Käynnit_Lask!O518*(Alukset_fx!$L$52)/1000),IF(AC518="HSD",((V518*Alukset_fx!$O$25)*Alukset_Käynnit_Lask!O518*(Alukset_fx!$L$55)/1000),0)))</f>
        <v>0</v>
      </c>
      <c r="AM518" s="207">
        <f>IF(AG518="Käytetty",0,Y518*O518*Alukset_fx!$K$61/1000)</f>
        <v>0</v>
      </c>
      <c r="AN518" s="213">
        <f t="shared" si="98"/>
        <v>0</v>
      </c>
    </row>
    <row r="519" spans="1:40" x14ac:dyDescent="0.25">
      <c r="A519" s="203">
        <f>Alukset_Käynnit!A526</f>
        <v>0</v>
      </c>
      <c r="B519" s="203">
        <f>Alukset_Käynnit!B526</f>
        <v>0</v>
      </c>
      <c r="C519" s="262">
        <f>Alukset_Käynnit!C526</f>
        <v>0</v>
      </c>
      <c r="D519" s="266">
        <f>Alukset_Käynnit!D526</f>
        <v>0</v>
      </c>
      <c r="E519" s="262">
        <f>Alukset_Käynnit!E526</f>
        <v>0</v>
      </c>
      <c r="F519" s="262">
        <f>Alukset_Käynnit!F526</f>
        <v>0</v>
      </c>
      <c r="G519" s="262">
        <f>Alukset_Käynnit!G526</f>
        <v>0</v>
      </c>
      <c r="H519" s="262">
        <f>Alukset_Käynnit!H526</f>
        <v>0</v>
      </c>
      <c r="I519" s="262">
        <f>Alukset_Käynnit!I526</f>
        <v>0</v>
      </c>
      <c r="J519" s="262">
        <f>Alukset_Käynnit!J526</f>
        <v>0</v>
      </c>
      <c r="K519" s="262">
        <f>Alukset_Käynnit!K526</f>
        <v>0</v>
      </c>
      <c r="L519" s="205">
        <f>Alukset_Käynnit!L526</f>
        <v>0</v>
      </c>
      <c r="N519" s="273">
        <f t="shared" si="99"/>
        <v>0</v>
      </c>
      <c r="O519" s="274">
        <f t="shared" si="100"/>
        <v>0</v>
      </c>
      <c r="Q519" s="204">
        <f t="shared" si="89"/>
        <v>0</v>
      </c>
      <c r="R519" s="202">
        <f>IF(Q519="Other dry cargo",L519*Alukset_fx!$B$71,IF(OR(Q519="Dry bulk",Q519="Bulk carrier"),L519*Alukset_fx!$B$69,IF(Q519="Tugboat",L519*Alukset_fx!$B$76,IF(OR(Q519="Tanker",Q519="Gas tanker",Q519="Chemical tanker",Q519="Oil tanker"),L519*Alukset_fx!$B$68,IF(OR(Q519="RoRo",Q519="Vehicle carrier"),L519*Alukset_fx!$B$72,IF(Q519="RoPax",L519*Alukset_fx!$B$73,IF(Q519="Container ship",L519*Alukset_fx!$B$70,IF(Q519="Barge",0,L519*Alukset_fx!$B$75))))))))</f>
        <v>0</v>
      </c>
      <c r="S519" s="210">
        <f>IF(L519=0,IF(Q519="Other dry cargo",Alukset_fx!$H$73*(Alukset_Käynnit_Lask!K519^Alukset_fx!$I$73),IF(OR(Q519="Dry Bulk",Q519="Bulk carrier"),Alukset_fx!$H$71*(Alukset_Käynnit_Lask!K519^Alukset_fx!$I$71),IF(Q519="Tugboat",Alukset_fx!$H$78*(Alukset_Käynnit_Lask!K519^Alukset_fx!$I$78),IF(OR(Q519="Tanker",Q519="Gas tanker",Q519="Chemical tanker",Q519="Oil tanker"),Alukset_fx!$H$70*(Alukset_Käynnit_Lask!K519^Alukset_fx!$I$70),IF(Q519="Container ship",Alukset_fx!$H$72*(Alukset_Käynnit_Lask!K519^Alukset_fx!$I$72),IF(Q519="Barge",0,IF(Q519="RoPax",Alukset_fx!$H$75*(Alukset_Käynnit_Lask!K519^Alukset_fx!$I$75),IF(OR(Q519="RoRo",Q519="Vehicle carrier"),Alukset_fx!$H$74*(Alukset_Käynnit_Lask!K519^Alukset_fx!$I$74),Alukset_fx!$H$77*(Alukset_Käynnit_Lask!K519^Alukset_fx!$I$77))))))))),"-")</f>
        <v>0</v>
      </c>
      <c r="T519" s="208">
        <f>IF(R519=0,IF(Q519="Other dry cargo",S519*Alukset_fx!$B$71,IF(OR(Q519="Dry bulk",Q519="Bulk carrier"),S519*Alukset_fx!$B$69,IF(Q519="Tugboat",S519*Alukset_fx!$B$76,IF(OR(Q519="Tanker",Q519="Gas tanker",Q519="Chemical tanker",Q519="Oil tanker"),S519*Alukset_fx!$B$68,IF(OR(Q519="RoRo",Q519="Vehicle carrier"),S519*Alukset_fx!$B$72,IF(Q519="RoPax",S519*Alukset_fx!$B$73,IF(Q519="Container ship",S519*Alukset_fx!$B$70,S519*Alukset_fx!$B$75))))))),"-")</f>
        <v>0</v>
      </c>
      <c r="U519" s="208">
        <f t="shared" si="90"/>
        <v>0</v>
      </c>
      <c r="V519" s="208">
        <f t="shared" si="91"/>
        <v>0</v>
      </c>
      <c r="W519" s="202">
        <f>Alukset_Käynnit!N526</f>
        <v>0</v>
      </c>
      <c r="X519" s="211">
        <f>IF(Q519="Other dry cargo", Alukset_fx!$C$52, IF(OR(Q519="Dry bulk",Q519="Bulk carrier"),Alukset_fx!$C$35,IF(OR(Q519="Tanker",Q519="Gas tanker",Q519="Oil tanker"),Alukset_fx!$C$57,IF(Q519="Chemical tanker",Alukset_fx!$C$56,IF(OR(Q519="Tugboat",Q519="Barge"),0,IF(Q519="Other vessel",Alukset_fx!$C$54,IF(Q519="Container ship",Alukset_fx!$C$37,IF(OR(Q519="RoPax",Q519="RoRo",Q519="Vehicle carrier"),Alukset_fx!$C$55,0))))))))</f>
        <v>0</v>
      </c>
      <c r="Y519" s="211">
        <f>IF(Q519="Other dry cargo", Alukset_fx!$Q$52, IF(OR(Q519="Dry bulk",Q519="Bulk carrier"),Alukset_fx!$Q$35,IF(OR(Q519="Tanker",Q519="Gas tanker",Q519="Oil tanker"),Alukset_fx!$Q$57,IF(Q519="Chemical tanker",Alukset_fx!$Q$56,IF(OR(Q519="Tugboat",Q519="Barge"),0,IF(Q519="Other vessel",Alukset_fx!$Q$54,IF(Q519="Container ship",Alukset_fx!$Q$37,IF(OR(Q519="RoPax",Q519="RoRo",Q519="Vehicle carrier"),Alukset_fx!$Q$55,0))))))))</f>
        <v>0</v>
      </c>
      <c r="Z519" t="str">
        <f t="shared" si="92"/>
        <v>MDO/MGO</v>
      </c>
      <c r="AA519" t="str">
        <f t="shared" si="93"/>
        <v>MSD</v>
      </c>
      <c r="AB519" t="str">
        <f t="shared" si="94"/>
        <v>MDO/MGO</v>
      </c>
      <c r="AC519" t="str">
        <f t="shared" si="95"/>
        <v>MSD</v>
      </c>
      <c r="AD519" t="str">
        <f t="shared" si="96"/>
        <v>MDO/MGO</v>
      </c>
      <c r="AE519" t="str">
        <f t="shared" si="97"/>
        <v>ST</v>
      </c>
      <c r="AG519">
        <f>Alukset_Käynnit!O526</f>
        <v>0</v>
      </c>
      <c r="AH519" s="207">
        <f>IF(AA519="SSD",((U519*Alukset_fx!$B$24)*Alukset_Käynnit_Lask!W519*(Alukset_fx!$K$49)/1000),IF(AA519="MSD",((U519*Alukset_fx!$B$24)*Alukset_Käynnit_Lask!W519*(Alukset_fx!$K$52)/1000),IF(AA519="HSD",((U519*Alukset_fx!$B$24)*Alukset_Käynnit_Lask!W519*(Alukset_fx!$K$55)/1000),0)))</f>
        <v>0</v>
      </c>
      <c r="AI519" s="207">
        <f>IF(AC519="MSD",((V519*Alukset_fx!$B$25)*Alukset_Käynnit_Lask!W519*(Alukset_fx!$L$52)/1000),IF(AC519="HSD",((V519*Alukset_fx!$B$25)*Alukset_Käynnit_Lask!W519*(Alukset_fx!$L$55)/1000),0))</f>
        <v>0</v>
      </c>
      <c r="AJ519" s="207">
        <f>X519*W519*Alukset_fx!$K$61/1000</f>
        <v>0</v>
      </c>
      <c r="AK519">
        <v>0</v>
      </c>
      <c r="AL519" s="207">
        <f>IF(AG519="Käytetty",0,IF(AC519="MSD",((V519*Alukset_fx!$O$25)*Alukset_Käynnit_Lask!O519*(Alukset_fx!$L$52)/1000),IF(AC519="HSD",((V519*Alukset_fx!$O$25)*Alukset_Käynnit_Lask!O519*(Alukset_fx!$L$55)/1000),0)))</f>
        <v>0</v>
      </c>
      <c r="AM519" s="207">
        <f>IF(AG519="Käytetty",0,Y519*O519*Alukset_fx!$K$61/1000)</f>
        <v>0</v>
      </c>
      <c r="AN519" s="213">
        <f t="shared" si="98"/>
        <v>0</v>
      </c>
    </row>
    <row r="520" spans="1:40" x14ac:dyDescent="0.25">
      <c r="A520" s="203">
        <f>Alukset_Käynnit!A527</f>
        <v>0</v>
      </c>
      <c r="B520" s="203">
        <f>Alukset_Käynnit!B527</f>
        <v>0</v>
      </c>
      <c r="C520" s="262">
        <f>Alukset_Käynnit!C527</f>
        <v>0</v>
      </c>
      <c r="D520" s="266">
        <f>Alukset_Käynnit!D527</f>
        <v>0</v>
      </c>
      <c r="E520" s="262">
        <f>Alukset_Käynnit!E527</f>
        <v>0</v>
      </c>
      <c r="F520" s="262">
        <f>Alukset_Käynnit!F527</f>
        <v>0</v>
      </c>
      <c r="G520" s="262">
        <f>Alukset_Käynnit!G527</f>
        <v>0</v>
      </c>
      <c r="H520" s="262">
        <f>Alukset_Käynnit!H527</f>
        <v>0</v>
      </c>
      <c r="I520" s="262">
        <f>Alukset_Käynnit!I527</f>
        <v>0</v>
      </c>
      <c r="J520" s="262">
        <f>Alukset_Käynnit!J527</f>
        <v>0</v>
      </c>
      <c r="K520" s="262">
        <f>Alukset_Käynnit!K527</f>
        <v>0</v>
      </c>
      <c r="L520" s="205">
        <f>Alukset_Käynnit!L527</f>
        <v>0</v>
      </c>
      <c r="N520" s="273">
        <f t="shared" si="99"/>
        <v>0</v>
      </c>
      <c r="O520" s="274">
        <f t="shared" si="100"/>
        <v>0</v>
      </c>
      <c r="Q520" s="204">
        <f t="shared" si="89"/>
        <v>0</v>
      </c>
      <c r="R520" s="202">
        <f>IF(Q520="Other dry cargo",L520*Alukset_fx!$B$71,IF(OR(Q520="Dry bulk",Q520="Bulk carrier"),L520*Alukset_fx!$B$69,IF(Q520="Tugboat",L520*Alukset_fx!$B$76,IF(OR(Q520="Tanker",Q520="Gas tanker",Q520="Chemical tanker",Q520="Oil tanker"),L520*Alukset_fx!$B$68,IF(OR(Q520="RoRo",Q520="Vehicle carrier"),L520*Alukset_fx!$B$72,IF(Q520="RoPax",L520*Alukset_fx!$B$73,IF(Q520="Container ship",L520*Alukset_fx!$B$70,IF(Q520="Barge",0,L520*Alukset_fx!$B$75))))))))</f>
        <v>0</v>
      </c>
      <c r="S520" s="210">
        <f>IF(L520=0,IF(Q520="Other dry cargo",Alukset_fx!$H$73*(Alukset_Käynnit_Lask!K520^Alukset_fx!$I$73),IF(OR(Q520="Dry Bulk",Q520="Bulk carrier"),Alukset_fx!$H$71*(Alukset_Käynnit_Lask!K520^Alukset_fx!$I$71),IF(Q520="Tugboat",Alukset_fx!$H$78*(Alukset_Käynnit_Lask!K520^Alukset_fx!$I$78),IF(OR(Q520="Tanker",Q520="Gas tanker",Q520="Chemical tanker",Q520="Oil tanker"),Alukset_fx!$H$70*(Alukset_Käynnit_Lask!K520^Alukset_fx!$I$70),IF(Q520="Container ship",Alukset_fx!$H$72*(Alukset_Käynnit_Lask!K520^Alukset_fx!$I$72),IF(Q520="Barge",0,IF(Q520="RoPax",Alukset_fx!$H$75*(Alukset_Käynnit_Lask!K520^Alukset_fx!$I$75),IF(OR(Q520="RoRo",Q520="Vehicle carrier"),Alukset_fx!$H$74*(Alukset_Käynnit_Lask!K520^Alukset_fx!$I$74),Alukset_fx!$H$77*(Alukset_Käynnit_Lask!K520^Alukset_fx!$I$77))))))))),"-")</f>
        <v>0</v>
      </c>
      <c r="T520" s="208">
        <f>IF(R520=0,IF(Q520="Other dry cargo",S520*Alukset_fx!$B$71,IF(OR(Q520="Dry bulk",Q520="Bulk carrier"),S520*Alukset_fx!$B$69,IF(Q520="Tugboat",S520*Alukset_fx!$B$76,IF(OR(Q520="Tanker",Q520="Gas tanker",Q520="Chemical tanker",Q520="Oil tanker"),S520*Alukset_fx!$B$68,IF(OR(Q520="RoRo",Q520="Vehicle carrier"),S520*Alukset_fx!$B$72,IF(Q520="RoPax",S520*Alukset_fx!$B$73,IF(Q520="Container ship",S520*Alukset_fx!$B$70,S520*Alukset_fx!$B$75))))))),"-")</f>
        <v>0</v>
      </c>
      <c r="U520" s="208">
        <f t="shared" si="90"/>
        <v>0</v>
      </c>
      <c r="V520" s="208">
        <f t="shared" si="91"/>
        <v>0</v>
      </c>
      <c r="W520" s="202">
        <f>Alukset_Käynnit!N527</f>
        <v>0</v>
      </c>
      <c r="X520" s="211">
        <f>IF(Q520="Other dry cargo", Alukset_fx!$C$52, IF(OR(Q520="Dry bulk",Q520="Bulk carrier"),Alukset_fx!$C$35,IF(OR(Q520="Tanker",Q520="Gas tanker",Q520="Oil tanker"),Alukset_fx!$C$57,IF(Q520="Chemical tanker",Alukset_fx!$C$56,IF(OR(Q520="Tugboat",Q520="Barge"),0,IF(Q520="Other vessel",Alukset_fx!$C$54,IF(Q520="Container ship",Alukset_fx!$C$37,IF(OR(Q520="RoPax",Q520="RoRo",Q520="Vehicle carrier"),Alukset_fx!$C$55,0))))))))</f>
        <v>0</v>
      </c>
      <c r="Y520" s="211">
        <f>IF(Q520="Other dry cargo", Alukset_fx!$Q$52, IF(OR(Q520="Dry bulk",Q520="Bulk carrier"),Alukset_fx!$Q$35,IF(OR(Q520="Tanker",Q520="Gas tanker",Q520="Oil tanker"),Alukset_fx!$Q$57,IF(Q520="Chemical tanker",Alukset_fx!$Q$56,IF(OR(Q520="Tugboat",Q520="Barge"),0,IF(Q520="Other vessel",Alukset_fx!$Q$54,IF(Q520="Container ship",Alukset_fx!$Q$37,IF(OR(Q520="RoPax",Q520="RoRo",Q520="Vehicle carrier"),Alukset_fx!$Q$55,0))))))))</f>
        <v>0</v>
      </c>
      <c r="Z520" t="str">
        <f t="shared" si="92"/>
        <v>MDO/MGO</v>
      </c>
      <c r="AA520" t="str">
        <f t="shared" si="93"/>
        <v>MSD</v>
      </c>
      <c r="AB520" t="str">
        <f t="shared" si="94"/>
        <v>MDO/MGO</v>
      </c>
      <c r="AC520" t="str">
        <f t="shared" si="95"/>
        <v>MSD</v>
      </c>
      <c r="AD520" t="str">
        <f t="shared" si="96"/>
        <v>MDO/MGO</v>
      </c>
      <c r="AE520" t="str">
        <f t="shared" si="97"/>
        <v>ST</v>
      </c>
      <c r="AG520">
        <f>Alukset_Käynnit!O527</f>
        <v>0</v>
      </c>
      <c r="AH520" s="207">
        <f>IF(AA520="SSD",((U520*Alukset_fx!$B$24)*Alukset_Käynnit_Lask!W520*(Alukset_fx!$K$49)/1000),IF(AA520="MSD",((U520*Alukset_fx!$B$24)*Alukset_Käynnit_Lask!W520*(Alukset_fx!$K$52)/1000),IF(AA520="HSD",((U520*Alukset_fx!$B$24)*Alukset_Käynnit_Lask!W520*(Alukset_fx!$K$55)/1000),0)))</f>
        <v>0</v>
      </c>
      <c r="AI520" s="207">
        <f>IF(AC520="MSD",((V520*Alukset_fx!$B$25)*Alukset_Käynnit_Lask!W520*(Alukset_fx!$L$52)/1000),IF(AC520="HSD",((V520*Alukset_fx!$B$25)*Alukset_Käynnit_Lask!W520*(Alukset_fx!$L$55)/1000),0))</f>
        <v>0</v>
      </c>
      <c r="AJ520" s="207">
        <f>X520*W520*Alukset_fx!$K$61/1000</f>
        <v>0</v>
      </c>
      <c r="AK520">
        <v>0</v>
      </c>
      <c r="AL520" s="207">
        <f>IF(AG520="Käytetty",0,IF(AC520="MSD",((V520*Alukset_fx!$O$25)*Alukset_Käynnit_Lask!O520*(Alukset_fx!$L$52)/1000),IF(AC520="HSD",((V520*Alukset_fx!$O$25)*Alukset_Käynnit_Lask!O520*(Alukset_fx!$L$55)/1000),0)))</f>
        <v>0</v>
      </c>
      <c r="AM520" s="207">
        <f>IF(AG520="Käytetty",0,Y520*O520*Alukset_fx!$K$61/1000)</f>
        <v>0</v>
      </c>
      <c r="AN520" s="213">
        <f t="shared" si="98"/>
        <v>0</v>
      </c>
    </row>
    <row r="521" spans="1:40" x14ac:dyDescent="0.25">
      <c r="A521" s="203">
        <f>Alukset_Käynnit!A528</f>
        <v>0</v>
      </c>
      <c r="B521" s="203">
        <f>Alukset_Käynnit!B528</f>
        <v>0</v>
      </c>
      <c r="C521" s="262">
        <f>Alukset_Käynnit!C528</f>
        <v>0</v>
      </c>
      <c r="D521" s="266">
        <f>Alukset_Käynnit!D528</f>
        <v>0</v>
      </c>
      <c r="E521" s="262">
        <f>Alukset_Käynnit!E528</f>
        <v>0</v>
      </c>
      <c r="F521" s="262">
        <f>Alukset_Käynnit!F528</f>
        <v>0</v>
      </c>
      <c r="G521" s="262">
        <f>Alukset_Käynnit!G528</f>
        <v>0</v>
      </c>
      <c r="H521" s="262">
        <f>Alukset_Käynnit!H528</f>
        <v>0</v>
      </c>
      <c r="I521" s="262">
        <f>Alukset_Käynnit!I528</f>
        <v>0</v>
      </c>
      <c r="J521" s="262">
        <f>Alukset_Käynnit!J528</f>
        <v>0</v>
      </c>
      <c r="K521" s="262">
        <f>Alukset_Käynnit!K528</f>
        <v>0</v>
      </c>
      <c r="L521" s="205">
        <f>Alukset_Käynnit!L528</f>
        <v>0</v>
      </c>
      <c r="N521" s="273">
        <f t="shared" si="99"/>
        <v>0</v>
      </c>
      <c r="O521" s="274">
        <f t="shared" si="100"/>
        <v>0</v>
      </c>
      <c r="Q521" s="204">
        <f t="shared" si="89"/>
        <v>0</v>
      </c>
      <c r="R521" s="202">
        <f>IF(Q521="Other dry cargo",L521*Alukset_fx!$B$71,IF(OR(Q521="Dry bulk",Q521="Bulk carrier"),L521*Alukset_fx!$B$69,IF(Q521="Tugboat",L521*Alukset_fx!$B$76,IF(OR(Q521="Tanker",Q521="Gas tanker",Q521="Chemical tanker",Q521="Oil tanker"),L521*Alukset_fx!$B$68,IF(OR(Q521="RoRo",Q521="Vehicle carrier"),L521*Alukset_fx!$B$72,IF(Q521="RoPax",L521*Alukset_fx!$B$73,IF(Q521="Container ship",L521*Alukset_fx!$B$70,IF(Q521="Barge",0,L521*Alukset_fx!$B$75))))))))</f>
        <v>0</v>
      </c>
      <c r="S521" s="210">
        <f>IF(L521=0,IF(Q521="Other dry cargo",Alukset_fx!$H$73*(Alukset_Käynnit_Lask!K521^Alukset_fx!$I$73),IF(OR(Q521="Dry Bulk",Q521="Bulk carrier"),Alukset_fx!$H$71*(Alukset_Käynnit_Lask!K521^Alukset_fx!$I$71),IF(Q521="Tugboat",Alukset_fx!$H$78*(Alukset_Käynnit_Lask!K521^Alukset_fx!$I$78),IF(OR(Q521="Tanker",Q521="Gas tanker",Q521="Chemical tanker",Q521="Oil tanker"),Alukset_fx!$H$70*(Alukset_Käynnit_Lask!K521^Alukset_fx!$I$70),IF(Q521="Container ship",Alukset_fx!$H$72*(Alukset_Käynnit_Lask!K521^Alukset_fx!$I$72),IF(Q521="Barge",0,IF(Q521="RoPax",Alukset_fx!$H$75*(Alukset_Käynnit_Lask!K521^Alukset_fx!$I$75),IF(OR(Q521="RoRo",Q521="Vehicle carrier"),Alukset_fx!$H$74*(Alukset_Käynnit_Lask!K521^Alukset_fx!$I$74),Alukset_fx!$H$77*(Alukset_Käynnit_Lask!K521^Alukset_fx!$I$77))))))))),"-")</f>
        <v>0</v>
      </c>
      <c r="T521" s="208">
        <f>IF(R521=0,IF(Q521="Other dry cargo",S521*Alukset_fx!$B$71,IF(OR(Q521="Dry bulk",Q521="Bulk carrier"),S521*Alukset_fx!$B$69,IF(Q521="Tugboat",S521*Alukset_fx!$B$76,IF(OR(Q521="Tanker",Q521="Gas tanker",Q521="Chemical tanker",Q521="Oil tanker"),S521*Alukset_fx!$B$68,IF(OR(Q521="RoRo",Q521="Vehicle carrier"),S521*Alukset_fx!$B$72,IF(Q521="RoPax",S521*Alukset_fx!$B$73,IF(Q521="Container ship",S521*Alukset_fx!$B$70,S521*Alukset_fx!$B$75))))))),"-")</f>
        <v>0</v>
      </c>
      <c r="U521" s="208">
        <f t="shared" si="90"/>
        <v>0</v>
      </c>
      <c r="V521" s="208">
        <f t="shared" si="91"/>
        <v>0</v>
      </c>
      <c r="W521" s="202">
        <f>Alukset_Käynnit!N528</f>
        <v>0</v>
      </c>
      <c r="X521" s="211">
        <f>IF(Q521="Other dry cargo", Alukset_fx!$C$52, IF(OR(Q521="Dry bulk",Q521="Bulk carrier"),Alukset_fx!$C$35,IF(OR(Q521="Tanker",Q521="Gas tanker",Q521="Oil tanker"),Alukset_fx!$C$57,IF(Q521="Chemical tanker",Alukset_fx!$C$56,IF(OR(Q521="Tugboat",Q521="Barge"),0,IF(Q521="Other vessel",Alukset_fx!$C$54,IF(Q521="Container ship",Alukset_fx!$C$37,IF(OR(Q521="RoPax",Q521="RoRo",Q521="Vehicle carrier"),Alukset_fx!$C$55,0))))))))</f>
        <v>0</v>
      </c>
      <c r="Y521" s="211">
        <f>IF(Q521="Other dry cargo", Alukset_fx!$Q$52, IF(OR(Q521="Dry bulk",Q521="Bulk carrier"),Alukset_fx!$Q$35,IF(OR(Q521="Tanker",Q521="Gas tanker",Q521="Oil tanker"),Alukset_fx!$Q$57,IF(Q521="Chemical tanker",Alukset_fx!$Q$56,IF(OR(Q521="Tugboat",Q521="Barge"),0,IF(Q521="Other vessel",Alukset_fx!$Q$54,IF(Q521="Container ship",Alukset_fx!$Q$37,IF(OR(Q521="RoPax",Q521="RoRo",Q521="Vehicle carrier"),Alukset_fx!$Q$55,0))))))))</f>
        <v>0</v>
      </c>
      <c r="Z521" t="str">
        <f t="shared" si="92"/>
        <v>MDO/MGO</v>
      </c>
      <c r="AA521" t="str">
        <f t="shared" si="93"/>
        <v>MSD</v>
      </c>
      <c r="AB521" t="str">
        <f t="shared" si="94"/>
        <v>MDO/MGO</v>
      </c>
      <c r="AC521" t="str">
        <f t="shared" si="95"/>
        <v>MSD</v>
      </c>
      <c r="AD521" t="str">
        <f t="shared" si="96"/>
        <v>MDO/MGO</v>
      </c>
      <c r="AE521" t="str">
        <f t="shared" si="97"/>
        <v>ST</v>
      </c>
      <c r="AG521">
        <f>Alukset_Käynnit!O528</f>
        <v>0</v>
      </c>
      <c r="AH521" s="207">
        <f>IF(AA521="SSD",((U521*Alukset_fx!$B$24)*Alukset_Käynnit_Lask!W521*(Alukset_fx!$K$49)/1000),IF(AA521="MSD",((U521*Alukset_fx!$B$24)*Alukset_Käynnit_Lask!W521*(Alukset_fx!$K$52)/1000),IF(AA521="HSD",((U521*Alukset_fx!$B$24)*Alukset_Käynnit_Lask!W521*(Alukset_fx!$K$55)/1000),0)))</f>
        <v>0</v>
      </c>
      <c r="AI521" s="207">
        <f>IF(AC521="MSD",((V521*Alukset_fx!$B$25)*Alukset_Käynnit_Lask!W521*(Alukset_fx!$L$52)/1000),IF(AC521="HSD",((V521*Alukset_fx!$B$25)*Alukset_Käynnit_Lask!W521*(Alukset_fx!$L$55)/1000),0))</f>
        <v>0</v>
      </c>
      <c r="AJ521" s="207">
        <f>X521*W521*Alukset_fx!$K$61/1000</f>
        <v>0</v>
      </c>
      <c r="AK521">
        <v>0</v>
      </c>
      <c r="AL521" s="207">
        <f>IF(AG521="Käytetty",0,IF(AC521="MSD",((V521*Alukset_fx!$O$25)*Alukset_Käynnit_Lask!O521*(Alukset_fx!$L$52)/1000),IF(AC521="HSD",((V521*Alukset_fx!$O$25)*Alukset_Käynnit_Lask!O521*(Alukset_fx!$L$55)/1000),0)))</f>
        <v>0</v>
      </c>
      <c r="AM521" s="207">
        <f>IF(AG521="Käytetty",0,Y521*O521*Alukset_fx!$K$61/1000)</f>
        <v>0</v>
      </c>
      <c r="AN521" s="213">
        <f t="shared" si="98"/>
        <v>0</v>
      </c>
    </row>
    <row r="522" spans="1:40" x14ac:dyDescent="0.25">
      <c r="A522" s="203">
        <f>Alukset_Käynnit!A529</f>
        <v>0</v>
      </c>
      <c r="B522" s="203">
        <f>Alukset_Käynnit!B529</f>
        <v>0</v>
      </c>
      <c r="C522" s="262">
        <f>Alukset_Käynnit!C529</f>
        <v>0</v>
      </c>
      <c r="D522" s="266">
        <f>Alukset_Käynnit!D529</f>
        <v>0</v>
      </c>
      <c r="E522" s="262">
        <f>Alukset_Käynnit!E529</f>
        <v>0</v>
      </c>
      <c r="F522" s="262">
        <f>Alukset_Käynnit!F529</f>
        <v>0</v>
      </c>
      <c r="G522" s="262">
        <f>Alukset_Käynnit!G529</f>
        <v>0</v>
      </c>
      <c r="H522" s="262">
        <f>Alukset_Käynnit!H529</f>
        <v>0</v>
      </c>
      <c r="I522" s="262">
        <f>Alukset_Käynnit!I529</f>
        <v>0</v>
      </c>
      <c r="J522" s="262">
        <f>Alukset_Käynnit!J529</f>
        <v>0</v>
      </c>
      <c r="K522" s="262">
        <f>Alukset_Käynnit!K529</f>
        <v>0</v>
      </c>
      <c r="L522" s="205">
        <f>Alukset_Käynnit!L529</f>
        <v>0</v>
      </c>
      <c r="N522" s="273">
        <f t="shared" si="99"/>
        <v>0</v>
      </c>
      <c r="O522" s="274">
        <f t="shared" si="100"/>
        <v>0</v>
      </c>
      <c r="Q522" s="204">
        <f t="shared" si="89"/>
        <v>0</v>
      </c>
      <c r="R522" s="202">
        <f>IF(Q522="Other dry cargo",L522*Alukset_fx!$B$71,IF(OR(Q522="Dry bulk",Q522="Bulk carrier"),L522*Alukset_fx!$B$69,IF(Q522="Tugboat",L522*Alukset_fx!$B$76,IF(OR(Q522="Tanker",Q522="Gas tanker",Q522="Chemical tanker",Q522="Oil tanker"),L522*Alukset_fx!$B$68,IF(OR(Q522="RoRo",Q522="Vehicle carrier"),L522*Alukset_fx!$B$72,IF(Q522="RoPax",L522*Alukset_fx!$B$73,IF(Q522="Container ship",L522*Alukset_fx!$B$70,IF(Q522="Barge",0,L522*Alukset_fx!$B$75))))))))</f>
        <v>0</v>
      </c>
      <c r="S522" s="210">
        <f>IF(L522=0,IF(Q522="Other dry cargo",Alukset_fx!$H$73*(Alukset_Käynnit_Lask!K522^Alukset_fx!$I$73),IF(OR(Q522="Dry Bulk",Q522="Bulk carrier"),Alukset_fx!$H$71*(Alukset_Käynnit_Lask!K522^Alukset_fx!$I$71),IF(Q522="Tugboat",Alukset_fx!$H$78*(Alukset_Käynnit_Lask!K522^Alukset_fx!$I$78),IF(OR(Q522="Tanker",Q522="Gas tanker",Q522="Chemical tanker",Q522="Oil tanker"),Alukset_fx!$H$70*(Alukset_Käynnit_Lask!K522^Alukset_fx!$I$70),IF(Q522="Container ship",Alukset_fx!$H$72*(Alukset_Käynnit_Lask!K522^Alukset_fx!$I$72),IF(Q522="Barge",0,IF(Q522="RoPax",Alukset_fx!$H$75*(Alukset_Käynnit_Lask!K522^Alukset_fx!$I$75),IF(OR(Q522="RoRo",Q522="Vehicle carrier"),Alukset_fx!$H$74*(Alukset_Käynnit_Lask!K522^Alukset_fx!$I$74),Alukset_fx!$H$77*(Alukset_Käynnit_Lask!K522^Alukset_fx!$I$77))))))))),"-")</f>
        <v>0</v>
      </c>
      <c r="T522" s="208">
        <f>IF(R522=0,IF(Q522="Other dry cargo",S522*Alukset_fx!$B$71,IF(OR(Q522="Dry bulk",Q522="Bulk carrier"),S522*Alukset_fx!$B$69,IF(Q522="Tugboat",S522*Alukset_fx!$B$76,IF(OR(Q522="Tanker",Q522="Gas tanker",Q522="Chemical tanker",Q522="Oil tanker"),S522*Alukset_fx!$B$68,IF(OR(Q522="RoRo",Q522="Vehicle carrier"),S522*Alukset_fx!$B$72,IF(Q522="RoPax",S522*Alukset_fx!$B$73,IF(Q522="Container ship",S522*Alukset_fx!$B$70,S522*Alukset_fx!$B$75))))))),"-")</f>
        <v>0</v>
      </c>
      <c r="U522" s="208">
        <f t="shared" si="90"/>
        <v>0</v>
      </c>
      <c r="V522" s="208">
        <f t="shared" si="91"/>
        <v>0</v>
      </c>
      <c r="W522" s="202">
        <f>Alukset_Käynnit!N529</f>
        <v>0</v>
      </c>
      <c r="X522" s="211">
        <f>IF(Q522="Other dry cargo", Alukset_fx!$C$52, IF(OR(Q522="Dry bulk",Q522="Bulk carrier"),Alukset_fx!$C$35,IF(OR(Q522="Tanker",Q522="Gas tanker",Q522="Oil tanker"),Alukset_fx!$C$57,IF(Q522="Chemical tanker",Alukset_fx!$C$56,IF(OR(Q522="Tugboat",Q522="Barge"),0,IF(Q522="Other vessel",Alukset_fx!$C$54,IF(Q522="Container ship",Alukset_fx!$C$37,IF(OR(Q522="RoPax",Q522="RoRo",Q522="Vehicle carrier"),Alukset_fx!$C$55,0))))))))</f>
        <v>0</v>
      </c>
      <c r="Y522" s="211">
        <f>IF(Q522="Other dry cargo", Alukset_fx!$Q$52, IF(OR(Q522="Dry bulk",Q522="Bulk carrier"),Alukset_fx!$Q$35,IF(OR(Q522="Tanker",Q522="Gas tanker",Q522="Oil tanker"),Alukset_fx!$Q$57,IF(Q522="Chemical tanker",Alukset_fx!$Q$56,IF(OR(Q522="Tugboat",Q522="Barge"),0,IF(Q522="Other vessel",Alukset_fx!$Q$54,IF(Q522="Container ship",Alukset_fx!$Q$37,IF(OR(Q522="RoPax",Q522="RoRo",Q522="Vehicle carrier"),Alukset_fx!$Q$55,0))))))))</f>
        <v>0</v>
      </c>
      <c r="Z522" t="str">
        <f t="shared" si="92"/>
        <v>MDO/MGO</v>
      </c>
      <c r="AA522" t="str">
        <f t="shared" si="93"/>
        <v>MSD</v>
      </c>
      <c r="AB522" t="str">
        <f t="shared" si="94"/>
        <v>MDO/MGO</v>
      </c>
      <c r="AC522" t="str">
        <f t="shared" si="95"/>
        <v>MSD</v>
      </c>
      <c r="AD522" t="str">
        <f t="shared" si="96"/>
        <v>MDO/MGO</v>
      </c>
      <c r="AE522" t="str">
        <f t="shared" si="97"/>
        <v>ST</v>
      </c>
      <c r="AG522">
        <f>Alukset_Käynnit!O529</f>
        <v>0</v>
      </c>
      <c r="AH522" s="207">
        <f>IF(AA522="SSD",((U522*Alukset_fx!$B$24)*Alukset_Käynnit_Lask!W522*(Alukset_fx!$K$49)/1000),IF(AA522="MSD",((U522*Alukset_fx!$B$24)*Alukset_Käynnit_Lask!W522*(Alukset_fx!$K$52)/1000),IF(AA522="HSD",((U522*Alukset_fx!$B$24)*Alukset_Käynnit_Lask!W522*(Alukset_fx!$K$55)/1000),0)))</f>
        <v>0</v>
      </c>
      <c r="AI522" s="207">
        <f>IF(AC522="MSD",((V522*Alukset_fx!$B$25)*Alukset_Käynnit_Lask!W522*(Alukset_fx!$L$52)/1000),IF(AC522="HSD",((V522*Alukset_fx!$B$25)*Alukset_Käynnit_Lask!W522*(Alukset_fx!$L$55)/1000),0))</f>
        <v>0</v>
      </c>
      <c r="AJ522" s="207">
        <f>X522*W522*Alukset_fx!$K$61/1000</f>
        <v>0</v>
      </c>
      <c r="AK522">
        <v>0</v>
      </c>
      <c r="AL522" s="207">
        <f>IF(AG522="Käytetty",0,IF(AC522="MSD",((V522*Alukset_fx!$O$25)*Alukset_Käynnit_Lask!O522*(Alukset_fx!$L$52)/1000),IF(AC522="HSD",((V522*Alukset_fx!$O$25)*Alukset_Käynnit_Lask!O522*(Alukset_fx!$L$55)/1000),0)))</f>
        <v>0</v>
      </c>
      <c r="AM522" s="207">
        <f>IF(AG522="Käytetty",0,Y522*O522*Alukset_fx!$K$61/1000)</f>
        <v>0</v>
      </c>
      <c r="AN522" s="213">
        <f t="shared" si="98"/>
        <v>0</v>
      </c>
    </row>
    <row r="523" spans="1:40" x14ac:dyDescent="0.25">
      <c r="A523" s="203">
        <f>Alukset_Käynnit!A530</f>
        <v>0</v>
      </c>
      <c r="B523" s="203">
        <f>Alukset_Käynnit!B530</f>
        <v>0</v>
      </c>
      <c r="C523" s="262">
        <f>Alukset_Käynnit!C530</f>
        <v>0</v>
      </c>
      <c r="D523" s="266">
        <f>Alukset_Käynnit!D530</f>
        <v>0</v>
      </c>
      <c r="E523" s="262">
        <f>Alukset_Käynnit!E530</f>
        <v>0</v>
      </c>
      <c r="F523" s="262">
        <f>Alukset_Käynnit!F530</f>
        <v>0</v>
      </c>
      <c r="G523" s="262">
        <f>Alukset_Käynnit!G530</f>
        <v>0</v>
      </c>
      <c r="H523" s="262">
        <f>Alukset_Käynnit!H530</f>
        <v>0</v>
      </c>
      <c r="I523" s="262">
        <f>Alukset_Käynnit!I530</f>
        <v>0</v>
      </c>
      <c r="J523" s="262">
        <f>Alukset_Käynnit!J530</f>
        <v>0</v>
      </c>
      <c r="K523" s="262">
        <f>Alukset_Käynnit!K530</f>
        <v>0</v>
      </c>
      <c r="L523" s="205">
        <f>Alukset_Käynnit!L530</f>
        <v>0</v>
      </c>
      <c r="N523" s="273">
        <f t="shared" si="99"/>
        <v>0</v>
      </c>
      <c r="O523" s="274">
        <f t="shared" si="100"/>
        <v>0</v>
      </c>
      <c r="Q523" s="204">
        <f t="shared" si="89"/>
        <v>0</v>
      </c>
      <c r="R523" s="202">
        <f>IF(Q523="Other dry cargo",L523*Alukset_fx!$B$71,IF(OR(Q523="Dry bulk",Q523="Bulk carrier"),L523*Alukset_fx!$B$69,IF(Q523="Tugboat",L523*Alukset_fx!$B$76,IF(OR(Q523="Tanker",Q523="Gas tanker",Q523="Chemical tanker",Q523="Oil tanker"),L523*Alukset_fx!$B$68,IF(OR(Q523="RoRo",Q523="Vehicle carrier"),L523*Alukset_fx!$B$72,IF(Q523="RoPax",L523*Alukset_fx!$B$73,IF(Q523="Container ship",L523*Alukset_fx!$B$70,IF(Q523="Barge",0,L523*Alukset_fx!$B$75))))))))</f>
        <v>0</v>
      </c>
      <c r="S523" s="210">
        <f>IF(L523=0,IF(Q523="Other dry cargo",Alukset_fx!$H$73*(Alukset_Käynnit_Lask!K523^Alukset_fx!$I$73),IF(OR(Q523="Dry Bulk",Q523="Bulk carrier"),Alukset_fx!$H$71*(Alukset_Käynnit_Lask!K523^Alukset_fx!$I$71),IF(Q523="Tugboat",Alukset_fx!$H$78*(Alukset_Käynnit_Lask!K523^Alukset_fx!$I$78),IF(OR(Q523="Tanker",Q523="Gas tanker",Q523="Chemical tanker",Q523="Oil tanker"),Alukset_fx!$H$70*(Alukset_Käynnit_Lask!K523^Alukset_fx!$I$70),IF(Q523="Container ship",Alukset_fx!$H$72*(Alukset_Käynnit_Lask!K523^Alukset_fx!$I$72),IF(Q523="Barge",0,IF(Q523="RoPax",Alukset_fx!$H$75*(Alukset_Käynnit_Lask!K523^Alukset_fx!$I$75),IF(OR(Q523="RoRo",Q523="Vehicle carrier"),Alukset_fx!$H$74*(Alukset_Käynnit_Lask!K523^Alukset_fx!$I$74),Alukset_fx!$H$77*(Alukset_Käynnit_Lask!K523^Alukset_fx!$I$77))))))))),"-")</f>
        <v>0</v>
      </c>
      <c r="T523" s="208">
        <f>IF(R523=0,IF(Q523="Other dry cargo",S523*Alukset_fx!$B$71,IF(OR(Q523="Dry bulk",Q523="Bulk carrier"),S523*Alukset_fx!$B$69,IF(Q523="Tugboat",S523*Alukset_fx!$B$76,IF(OR(Q523="Tanker",Q523="Gas tanker",Q523="Chemical tanker",Q523="Oil tanker"),S523*Alukset_fx!$B$68,IF(OR(Q523="RoRo",Q523="Vehicle carrier"),S523*Alukset_fx!$B$72,IF(Q523="RoPax",S523*Alukset_fx!$B$73,IF(Q523="Container ship",S523*Alukset_fx!$B$70,S523*Alukset_fx!$B$75))))))),"-")</f>
        <v>0</v>
      </c>
      <c r="U523" s="208">
        <f t="shared" si="90"/>
        <v>0</v>
      </c>
      <c r="V523" s="208">
        <f t="shared" si="91"/>
        <v>0</v>
      </c>
      <c r="W523" s="202">
        <f>Alukset_Käynnit!N530</f>
        <v>0</v>
      </c>
      <c r="X523" s="211">
        <f>IF(Q523="Other dry cargo", Alukset_fx!$C$52, IF(OR(Q523="Dry bulk",Q523="Bulk carrier"),Alukset_fx!$C$35,IF(OR(Q523="Tanker",Q523="Gas tanker",Q523="Oil tanker"),Alukset_fx!$C$57,IF(Q523="Chemical tanker",Alukset_fx!$C$56,IF(OR(Q523="Tugboat",Q523="Barge"),0,IF(Q523="Other vessel",Alukset_fx!$C$54,IF(Q523="Container ship",Alukset_fx!$C$37,IF(OR(Q523="RoPax",Q523="RoRo",Q523="Vehicle carrier"),Alukset_fx!$C$55,0))))))))</f>
        <v>0</v>
      </c>
      <c r="Y523" s="211">
        <f>IF(Q523="Other dry cargo", Alukset_fx!$Q$52, IF(OR(Q523="Dry bulk",Q523="Bulk carrier"),Alukset_fx!$Q$35,IF(OR(Q523="Tanker",Q523="Gas tanker",Q523="Oil tanker"),Alukset_fx!$Q$57,IF(Q523="Chemical tanker",Alukset_fx!$Q$56,IF(OR(Q523="Tugboat",Q523="Barge"),0,IF(Q523="Other vessel",Alukset_fx!$Q$54,IF(Q523="Container ship",Alukset_fx!$Q$37,IF(OR(Q523="RoPax",Q523="RoRo",Q523="Vehicle carrier"),Alukset_fx!$Q$55,0))))))))</f>
        <v>0</v>
      </c>
      <c r="Z523" t="str">
        <f t="shared" si="92"/>
        <v>MDO/MGO</v>
      </c>
      <c r="AA523" t="str">
        <f t="shared" si="93"/>
        <v>MSD</v>
      </c>
      <c r="AB523" t="str">
        <f t="shared" si="94"/>
        <v>MDO/MGO</v>
      </c>
      <c r="AC523" t="str">
        <f t="shared" si="95"/>
        <v>MSD</v>
      </c>
      <c r="AD523" t="str">
        <f t="shared" si="96"/>
        <v>MDO/MGO</v>
      </c>
      <c r="AE523" t="str">
        <f t="shared" si="97"/>
        <v>ST</v>
      </c>
      <c r="AG523">
        <f>Alukset_Käynnit!O530</f>
        <v>0</v>
      </c>
      <c r="AH523" s="207">
        <f>IF(AA523="SSD",((U523*Alukset_fx!$B$24)*Alukset_Käynnit_Lask!W523*(Alukset_fx!$K$49)/1000),IF(AA523="MSD",((U523*Alukset_fx!$B$24)*Alukset_Käynnit_Lask!W523*(Alukset_fx!$K$52)/1000),IF(AA523="HSD",((U523*Alukset_fx!$B$24)*Alukset_Käynnit_Lask!W523*(Alukset_fx!$K$55)/1000),0)))</f>
        <v>0</v>
      </c>
      <c r="AI523" s="207">
        <f>IF(AC523="MSD",((V523*Alukset_fx!$B$25)*Alukset_Käynnit_Lask!W523*(Alukset_fx!$L$52)/1000),IF(AC523="HSD",((V523*Alukset_fx!$B$25)*Alukset_Käynnit_Lask!W523*(Alukset_fx!$L$55)/1000),0))</f>
        <v>0</v>
      </c>
      <c r="AJ523" s="207">
        <f>X523*W523*Alukset_fx!$K$61/1000</f>
        <v>0</v>
      </c>
      <c r="AK523">
        <v>0</v>
      </c>
      <c r="AL523" s="207">
        <f>IF(AG523="Käytetty",0,IF(AC523="MSD",((V523*Alukset_fx!$O$25)*Alukset_Käynnit_Lask!O523*(Alukset_fx!$L$52)/1000),IF(AC523="HSD",((V523*Alukset_fx!$O$25)*Alukset_Käynnit_Lask!O523*(Alukset_fx!$L$55)/1000),0)))</f>
        <v>0</v>
      </c>
      <c r="AM523" s="207">
        <f>IF(AG523="Käytetty",0,Y523*O523*Alukset_fx!$K$61/1000)</f>
        <v>0</v>
      </c>
      <c r="AN523" s="213">
        <f t="shared" si="98"/>
        <v>0</v>
      </c>
    </row>
    <row r="524" spans="1:40" x14ac:dyDescent="0.25">
      <c r="A524" s="203">
        <f>Alukset_Käynnit!A531</f>
        <v>0</v>
      </c>
      <c r="B524" s="203">
        <f>Alukset_Käynnit!B531</f>
        <v>0</v>
      </c>
      <c r="C524" s="262">
        <f>Alukset_Käynnit!C531</f>
        <v>0</v>
      </c>
      <c r="D524" s="266">
        <f>Alukset_Käynnit!D531</f>
        <v>0</v>
      </c>
      <c r="E524" s="262">
        <f>Alukset_Käynnit!E531</f>
        <v>0</v>
      </c>
      <c r="F524" s="262">
        <f>Alukset_Käynnit!F531</f>
        <v>0</v>
      </c>
      <c r="G524" s="262">
        <f>Alukset_Käynnit!G531</f>
        <v>0</v>
      </c>
      <c r="H524" s="262">
        <f>Alukset_Käynnit!H531</f>
        <v>0</v>
      </c>
      <c r="I524" s="262">
        <f>Alukset_Käynnit!I531</f>
        <v>0</v>
      </c>
      <c r="J524" s="262">
        <f>Alukset_Käynnit!J531</f>
        <v>0</v>
      </c>
      <c r="K524" s="262">
        <f>Alukset_Käynnit!K531</f>
        <v>0</v>
      </c>
      <c r="L524" s="205">
        <f>Alukset_Käynnit!L531</f>
        <v>0</v>
      </c>
      <c r="N524" s="273">
        <f t="shared" si="99"/>
        <v>0</v>
      </c>
      <c r="O524" s="274">
        <f t="shared" si="100"/>
        <v>0</v>
      </c>
      <c r="Q524" s="204">
        <f t="shared" si="89"/>
        <v>0</v>
      </c>
      <c r="R524" s="202">
        <f>IF(Q524="Other dry cargo",L524*Alukset_fx!$B$71,IF(OR(Q524="Dry bulk",Q524="Bulk carrier"),L524*Alukset_fx!$B$69,IF(Q524="Tugboat",L524*Alukset_fx!$B$76,IF(OR(Q524="Tanker",Q524="Gas tanker",Q524="Chemical tanker",Q524="Oil tanker"),L524*Alukset_fx!$B$68,IF(OR(Q524="RoRo",Q524="Vehicle carrier"),L524*Alukset_fx!$B$72,IF(Q524="RoPax",L524*Alukset_fx!$B$73,IF(Q524="Container ship",L524*Alukset_fx!$B$70,IF(Q524="Barge",0,L524*Alukset_fx!$B$75))))))))</f>
        <v>0</v>
      </c>
      <c r="S524" s="210">
        <f>IF(L524=0,IF(Q524="Other dry cargo",Alukset_fx!$H$73*(Alukset_Käynnit_Lask!K524^Alukset_fx!$I$73),IF(OR(Q524="Dry Bulk",Q524="Bulk carrier"),Alukset_fx!$H$71*(Alukset_Käynnit_Lask!K524^Alukset_fx!$I$71),IF(Q524="Tugboat",Alukset_fx!$H$78*(Alukset_Käynnit_Lask!K524^Alukset_fx!$I$78),IF(OR(Q524="Tanker",Q524="Gas tanker",Q524="Chemical tanker",Q524="Oil tanker"),Alukset_fx!$H$70*(Alukset_Käynnit_Lask!K524^Alukset_fx!$I$70),IF(Q524="Container ship",Alukset_fx!$H$72*(Alukset_Käynnit_Lask!K524^Alukset_fx!$I$72),IF(Q524="Barge",0,IF(Q524="RoPax",Alukset_fx!$H$75*(Alukset_Käynnit_Lask!K524^Alukset_fx!$I$75),IF(OR(Q524="RoRo",Q524="Vehicle carrier"),Alukset_fx!$H$74*(Alukset_Käynnit_Lask!K524^Alukset_fx!$I$74),Alukset_fx!$H$77*(Alukset_Käynnit_Lask!K524^Alukset_fx!$I$77))))))))),"-")</f>
        <v>0</v>
      </c>
      <c r="T524" s="208">
        <f>IF(R524=0,IF(Q524="Other dry cargo",S524*Alukset_fx!$B$71,IF(OR(Q524="Dry bulk",Q524="Bulk carrier"),S524*Alukset_fx!$B$69,IF(Q524="Tugboat",S524*Alukset_fx!$B$76,IF(OR(Q524="Tanker",Q524="Gas tanker",Q524="Chemical tanker",Q524="Oil tanker"),S524*Alukset_fx!$B$68,IF(OR(Q524="RoRo",Q524="Vehicle carrier"),S524*Alukset_fx!$B$72,IF(Q524="RoPax",S524*Alukset_fx!$B$73,IF(Q524="Container ship",S524*Alukset_fx!$B$70,S524*Alukset_fx!$B$75))))))),"-")</f>
        <v>0</v>
      </c>
      <c r="U524" s="208">
        <f t="shared" si="90"/>
        <v>0</v>
      </c>
      <c r="V524" s="208">
        <f t="shared" si="91"/>
        <v>0</v>
      </c>
      <c r="W524" s="202">
        <f>Alukset_Käynnit!N531</f>
        <v>0</v>
      </c>
      <c r="X524" s="211">
        <f>IF(Q524="Other dry cargo", Alukset_fx!$C$52, IF(OR(Q524="Dry bulk",Q524="Bulk carrier"),Alukset_fx!$C$35,IF(OR(Q524="Tanker",Q524="Gas tanker",Q524="Oil tanker"),Alukset_fx!$C$57,IF(Q524="Chemical tanker",Alukset_fx!$C$56,IF(OR(Q524="Tugboat",Q524="Barge"),0,IF(Q524="Other vessel",Alukset_fx!$C$54,IF(Q524="Container ship",Alukset_fx!$C$37,IF(OR(Q524="RoPax",Q524="RoRo",Q524="Vehicle carrier"),Alukset_fx!$C$55,0))))))))</f>
        <v>0</v>
      </c>
      <c r="Y524" s="211">
        <f>IF(Q524="Other dry cargo", Alukset_fx!$Q$52, IF(OR(Q524="Dry bulk",Q524="Bulk carrier"),Alukset_fx!$Q$35,IF(OR(Q524="Tanker",Q524="Gas tanker",Q524="Oil tanker"),Alukset_fx!$Q$57,IF(Q524="Chemical tanker",Alukset_fx!$Q$56,IF(OR(Q524="Tugboat",Q524="Barge"),0,IF(Q524="Other vessel",Alukset_fx!$Q$54,IF(Q524="Container ship",Alukset_fx!$Q$37,IF(OR(Q524="RoPax",Q524="RoRo",Q524="Vehicle carrier"),Alukset_fx!$Q$55,0))))))))</f>
        <v>0</v>
      </c>
      <c r="Z524" t="str">
        <f t="shared" si="92"/>
        <v>MDO/MGO</v>
      </c>
      <c r="AA524" t="str">
        <f t="shared" si="93"/>
        <v>MSD</v>
      </c>
      <c r="AB524" t="str">
        <f t="shared" si="94"/>
        <v>MDO/MGO</v>
      </c>
      <c r="AC524" t="str">
        <f t="shared" si="95"/>
        <v>MSD</v>
      </c>
      <c r="AD524" t="str">
        <f t="shared" si="96"/>
        <v>MDO/MGO</v>
      </c>
      <c r="AE524" t="str">
        <f t="shared" si="97"/>
        <v>ST</v>
      </c>
      <c r="AG524">
        <f>Alukset_Käynnit!O531</f>
        <v>0</v>
      </c>
      <c r="AH524" s="207">
        <f>IF(AA524="SSD",((U524*Alukset_fx!$B$24)*Alukset_Käynnit_Lask!W524*(Alukset_fx!$K$49)/1000),IF(AA524="MSD",((U524*Alukset_fx!$B$24)*Alukset_Käynnit_Lask!W524*(Alukset_fx!$K$52)/1000),IF(AA524="HSD",((U524*Alukset_fx!$B$24)*Alukset_Käynnit_Lask!W524*(Alukset_fx!$K$55)/1000),0)))</f>
        <v>0</v>
      </c>
      <c r="AI524" s="207">
        <f>IF(AC524="MSD",((V524*Alukset_fx!$B$25)*Alukset_Käynnit_Lask!W524*(Alukset_fx!$L$52)/1000),IF(AC524="HSD",((V524*Alukset_fx!$B$25)*Alukset_Käynnit_Lask!W524*(Alukset_fx!$L$55)/1000),0))</f>
        <v>0</v>
      </c>
      <c r="AJ524" s="207">
        <f>X524*W524*Alukset_fx!$K$61/1000</f>
        <v>0</v>
      </c>
      <c r="AK524">
        <v>0</v>
      </c>
      <c r="AL524" s="207">
        <f>IF(AG524="Käytetty",0,IF(AC524="MSD",((V524*Alukset_fx!$O$25)*Alukset_Käynnit_Lask!O524*(Alukset_fx!$L$52)/1000),IF(AC524="HSD",((V524*Alukset_fx!$O$25)*Alukset_Käynnit_Lask!O524*(Alukset_fx!$L$55)/1000),0)))</f>
        <v>0</v>
      </c>
      <c r="AM524" s="207">
        <f>IF(AG524="Käytetty",0,Y524*O524*Alukset_fx!$K$61/1000)</f>
        <v>0</v>
      </c>
      <c r="AN524" s="213">
        <f t="shared" si="98"/>
        <v>0</v>
      </c>
    </row>
    <row r="525" spans="1:40" x14ac:dyDescent="0.25">
      <c r="A525" s="203">
        <f>Alukset_Käynnit!A532</f>
        <v>0</v>
      </c>
      <c r="B525" s="203">
        <f>Alukset_Käynnit!B532</f>
        <v>0</v>
      </c>
      <c r="C525" s="262">
        <f>Alukset_Käynnit!C532</f>
        <v>0</v>
      </c>
      <c r="D525" s="266">
        <f>Alukset_Käynnit!D532</f>
        <v>0</v>
      </c>
      <c r="E525" s="262">
        <f>Alukset_Käynnit!E532</f>
        <v>0</v>
      </c>
      <c r="F525" s="262">
        <f>Alukset_Käynnit!F532</f>
        <v>0</v>
      </c>
      <c r="G525" s="262">
        <f>Alukset_Käynnit!G532</f>
        <v>0</v>
      </c>
      <c r="H525" s="262">
        <f>Alukset_Käynnit!H532</f>
        <v>0</v>
      </c>
      <c r="I525" s="262">
        <f>Alukset_Käynnit!I532</f>
        <v>0</v>
      </c>
      <c r="J525" s="262">
        <f>Alukset_Käynnit!J532</f>
        <v>0</v>
      </c>
      <c r="K525" s="262">
        <f>Alukset_Käynnit!K532</f>
        <v>0</v>
      </c>
      <c r="L525" s="205">
        <f>Alukset_Käynnit!L532</f>
        <v>0</v>
      </c>
      <c r="N525" s="273">
        <f t="shared" si="99"/>
        <v>0</v>
      </c>
      <c r="O525" s="274">
        <f t="shared" si="100"/>
        <v>0</v>
      </c>
      <c r="Q525" s="204">
        <f t="shared" si="89"/>
        <v>0</v>
      </c>
      <c r="R525" s="202">
        <f>IF(Q525="Other dry cargo",L525*Alukset_fx!$B$71,IF(OR(Q525="Dry bulk",Q525="Bulk carrier"),L525*Alukset_fx!$B$69,IF(Q525="Tugboat",L525*Alukset_fx!$B$76,IF(OR(Q525="Tanker",Q525="Gas tanker",Q525="Chemical tanker",Q525="Oil tanker"),L525*Alukset_fx!$B$68,IF(OR(Q525="RoRo",Q525="Vehicle carrier"),L525*Alukset_fx!$B$72,IF(Q525="RoPax",L525*Alukset_fx!$B$73,IF(Q525="Container ship",L525*Alukset_fx!$B$70,IF(Q525="Barge",0,L525*Alukset_fx!$B$75))))))))</f>
        <v>0</v>
      </c>
      <c r="S525" s="210">
        <f>IF(L525=0,IF(Q525="Other dry cargo",Alukset_fx!$H$73*(Alukset_Käynnit_Lask!K525^Alukset_fx!$I$73),IF(OR(Q525="Dry Bulk",Q525="Bulk carrier"),Alukset_fx!$H$71*(Alukset_Käynnit_Lask!K525^Alukset_fx!$I$71),IF(Q525="Tugboat",Alukset_fx!$H$78*(Alukset_Käynnit_Lask!K525^Alukset_fx!$I$78),IF(OR(Q525="Tanker",Q525="Gas tanker",Q525="Chemical tanker",Q525="Oil tanker"),Alukset_fx!$H$70*(Alukset_Käynnit_Lask!K525^Alukset_fx!$I$70),IF(Q525="Container ship",Alukset_fx!$H$72*(Alukset_Käynnit_Lask!K525^Alukset_fx!$I$72),IF(Q525="Barge",0,IF(Q525="RoPax",Alukset_fx!$H$75*(Alukset_Käynnit_Lask!K525^Alukset_fx!$I$75),IF(OR(Q525="RoRo",Q525="Vehicle carrier"),Alukset_fx!$H$74*(Alukset_Käynnit_Lask!K525^Alukset_fx!$I$74),Alukset_fx!$H$77*(Alukset_Käynnit_Lask!K525^Alukset_fx!$I$77))))))))),"-")</f>
        <v>0</v>
      </c>
      <c r="T525" s="208">
        <f>IF(R525=0,IF(Q525="Other dry cargo",S525*Alukset_fx!$B$71,IF(OR(Q525="Dry bulk",Q525="Bulk carrier"),S525*Alukset_fx!$B$69,IF(Q525="Tugboat",S525*Alukset_fx!$B$76,IF(OR(Q525="Tanker",Q525="Gas tanker",Q525="Chemical tanker",Q525="Oil tanker"),S525*Alukset_fx!$B$68,IF(OR(Q525="RoRo",Q525="Vehicle carrier"),S525*Alukset_fx!$B$72,IF(Q525="RoPax",S525*Alukset_fx!$B$73,IF(Q525="Container ship",S525*Alukset_fx!$B$70,S525*Alukset_fx!$B$75))))))),"-")</f>
        <v>0</v>
      </c>
      <c r="U525" s="208">
        <f t="shared" si="90"/>
        <v>0</v>
      </c>
      <c r="V525" s="208">
        <f t="shared" si="91"/>
        <v>0</v>
      </c>
      <c r="W525" s="202">
        <f>Alukset_Käynnit!N532</f>
        <v>0</v>
      </c>
      <c r="X525" s="211">
        <f>IF(Q525="Other dry cargo", Alukset_fx!$C$52, IF(OR(Q525="Dry bulk",Q525="Bulk carrier"),Alukset_fx!$C$35,IF(OR(Q525="Tanker",Q525="Gas tanker",Q525="Oil tanker"),Alukset_fx!$C$57,IF(Q525="Chemical tanker",Alukset_fx!$C$56,IF(OR(Q525="Tugboat",Q525="Barge"),0,IF(Q525="Other vessel",Alukset_fx!$C$54,IF(Q525="Container ship",Alukset_fx!$C$37,IF(OR(Q525="RoPax",Q525="RoRo",Q525="Vehicle carrier"),Alukset_fx!$C$55,0))))))))</f>
        <v>0</v>
      </c>
      <c r="Y525" s="211">
        <f>IF(Q525="Other dry cargo", Alukset_fx!$Q$52, IF(OR(Q525="Dry bulk",Q525="Bulk carrier"),Alukset_fx!$Q$35,IF(OR(Q525="Tanker",Q525="Gas tanker",Q525="Oil tanker"),Alukset_fx!$Q$57,IF(Q525="Chemical tanker",Alukset_fx!$Q$56,IF(OR(Q525="Tugboat",Q525="Barge"),0,IF(Q525="Other vessel",Alukset_fx!$Q$54,IF(Q525="Container ship",Alukset_fx!$Q$37,IF(OR(Q525="RoPax",Q525="RoRo",Q525="Vehicle carrier"),Alukset_fx!$Q$55,0))))))))</f>
        <v>0</v>
      </c>
      <c r="Z525" t="str">
        <f t="shared" si="92"/>
        <v>MDO/MGO</v>
      </c>
      <c r="AA525" t="str">
        <f t="shared" si="93"/>
        <v>MSD</v>
      </c>
      <c r="AB525" t="str">
        <f t="shared" si="94"/>
        <v>MDO/MGO</v>
      </c>
      <c r="AC525" t="str">
        <f t="shared" si="95"/>
        <v>MSD</v>
      </c>
      <c r="AD525" t="str">
        <f t="shared" si="96"/>
        <v>MDO/MGO</v>
      </c>
      <c r="AE525" t="str">
        <f t="shared" si="97"/>
        <v>ST</v>
      </c>
      <c r="AG525">
        <f>Alukset_Käynnit!O532</f>
        <v>0</v>
      </c>
      <c r="AH525" s="207">
        <f>IF(AA525="SSD",((U525*Alukset_fx!$B$24)*Alukset_Käynnit_Lask!W525*(Alukset_fx!$K$49)/1000),IF(AA525="MSD",((U525*Alukset_fx!$B$24)*Alukset_Käynnit_Lask!W525*(Alukset_fx!$K$52)/1000),IF(AA525="HSD",((U525*Alukset_fx!$B$24)*Alukset_Käynnit_Lask!W525*(Alukset_fx!$K$55)/1000),0)))</f>
        <v>0</v>
      </c>
      <c r="AI525" s="207">
        <f>IF(AC525="MSD",((V525*Alukset_fx!$B$25)*Alukset_Käynnit_Lask!W525*(Alukset_fx!$L$52)/1000),IF(AC525="HSD",((V525*Alukset_fx!$B$25)*Alukset_Käynnit_Lask!W525*(Alukset_fx!$L$55)/1000),0))</f>
        <v>0</v>
      </c>
      <c r="AJ525" s="207">
        <f>X525*W525*Alukset_fx!$K$61/1000</f>
        <v>0</v>
      </c>
      <c r="AK525">
        <v>0</v>
      </c>
      <c r="AL525" s="207">
        <f>IF(AG525="Käytetty",0,IF(AC525="MSD",((V525*Alukset_fx!$O$25)*Alukset_Käynnit_Lask!O525*(Alukset_fx!$L$52)/1000),IF(AC525="HSD",((V525*Alukset_fx!$O$25)*Alukset_Käynnit_Lask!O525*(Alukset_fx!$L$55)/1000),0)))</f>
        <v>0</v>
      </c>
      <c r="AM525" s="207">
        <f>IF(AG525="Käytetty",0,Y525*O525*Alukset_fx!$K$61/1000)</f>
        <v>0</v>
      </c>
      <c r="AN525" s="213">
        <f t="shared" si="98"/>
        <v>0</v>
      </c>
    </row>
    <row r="526" spans="1:40" x14ac:dyDescent="0.25">
      <c r="A526" s="203">
        <f>Alukset_Käynnit!A533</f>
        <v>0</v>
      </c>
      <c r="B526" s="203">
        <f>Alukset_Käynnit!B533</f>
        <v>0</v>
      </c>
      <c r="C526" s="262">
        <f>Alukset_Käynnit!C533</f>
        <v>0</v>
      </c>
      <c r="D526" s="266">
        <f>Alukset_Käynnit!D533</f>
        <v>0</v>
      </c>
      <c r="E526" s="262">
        <f>Alukset_Käynnit!E533</f>
        <v>0</v>
      </c>
      <c r="F526" s="262">
        <f>Alukset_Käynnit!F533</f>
        <v>0</v>
      </c>
      <c r="G526" s="262">
        <f>Alukset_Käynnit!G533</f>
        <v>0</v>
      </c>
      <c r="H526" s="262">
        <f>Alukset_Käynnit!H533</f>
        <v>0</v>
      </c>
      <c r="I526" s="262">
        <f>Alukset_Käynnit!I533</f>
        <v>0</v>
      </c>
      <c r="J526" s="262">
        <f>Alukset_Käynnit!J533</f>
        <v>0</v>
      </c>
      <c r="K526" s="262">
        <f>Alukset_Käynnit!K533</f>
        <v>0</v>
      </c>
      <c r="L526" s="205">
        <f>Alukset_Käynnit!L533</f>
        <v>0</v>
      </c>
      <c r="N526" s="273">
        <f t="shared" si="99"/>
        <v>0</v>
      </c>
      <c r="O526" s="274">
        <f t="shared" si="100"/>
        <v>0</v>
      </c>
      <c r="Q526" s="204">
        <f t="shared" ref="Q526:Q589" si="101">IF(H526="Muu kuivalasti","Other dry cargo",IF(H526="Muu kuivalastialus","Other dry cargo",IF(H526="Hinaaja","Tugboat",IF(H526="Proomu","Barge",IF(H526="Pusku-Proomu","Barge",IF(H526="Säiliöalus","Tanker",IF(H526="Ro-Ro-Matkustaja-Alus","RoPax",IF(H526="Irtolastialus","Bulk carrier",IF(H526="Kaasusäiliöalus","Gas tanker",IF(H526="Kemikaalisäiliöalus","Chemical tanker",IF(H526="Muu Alus","Other Vessel",IF(H526="Ro-Ro-Lastialus","RoRo",IF(H526="Öljysäiliöalus","Oil tanker",IF(H526="Ajoneuvojenkuljetusalus","Vehicle carrier",IF(H526="Kuiva Bulk","Dry bulk",IF(H526="Konttialus","Container ship",H526))))))))))))))))</f>
        <v>0</v>
      </c>
      <c r="R526" s="202">
        <f>IF(Q526="Other dry cargo",L526*Alukset_fx!$B$71,IF(OR(Q526="Dry bulk",Q526="Bulk carrier"),L526*Alukset_fx!$B$69,IF(Q526="Tugboat",L526*Alukset_fx!$B$76,IF(OR(Q526="Tanker",Q526="Gas tanker",Q526="Chemical tanker",Q526="Oil tanker"),L526*Alukset_fx!$B$68,IF(OR(Q526="RoRo",Q526="Vehicle carrier"),L526*Alukset_fx!$B$72,IF(Q526="RoPax",L526*Alukset_fx!$B$73,IF(Q526="Container ship",L526*Alukset_fx!$B$70,IF(Q526="Barge",0,L526*Alukset_fx!$B$75))))))))</f>
        <v>0</v>
      </c>
      <c r="S526" s="210">
        <f>IF(L526=0,IF(Q526="Other dry cargo",Alukset_fx!$H$73*(Alukset_Käynnit_Lask!K526^Alukset_fx!$I$73),IF(OR(Q526="Dry Bulk",Q526="Bulk carrier"),Alukset_fx!$H$71*(Alukset_Käynnit_Lask!K526^Alukset_fx!$I$71),IF(Q526="Tugboat",Alukset_fx!$H$78*(Alukset_Käynnit_Lask!K526^Alukset_fx!$I$78),IF(OR(Q526="Tanker",Q526="Gas tanker",Q526="Chemical tanker",Q526="Oil tanker"),Alukset_fx!$H$70*(Alukset_Käynnit_Lask!K526^Alukset_fx!$I$70),IF(Q526="Container ship",Alukset_fx!$H$72*(Alukset_Käynnit_Lask!K526^Alukset_fx!$I$72),IF(Q526="Barge",0,IF(Q526="RoPax",Alukset_fx!$H$75*(Alukset_Käynnit_Lask!K526^Alukset_fx!$I$75),IF(OR(Q526="RoRo",Q526="Vehicle carrier"),Alukset_fx!$H$74*(Alukset_Käynnit_Lask!K526^Alukset_fx!$I$74),Alukset_fx!$H$77*(Alukset_Käynnit_Lask!K526^Alukset_fx!$I$77))))))))),"-")</f>
        <v>0</v>
      </c>
      <c r="T526" s="208">
        <f>IF(R526=0,IF(Q526="Other dry cargo",S526*Alukset_fx!$B$71,IF(OR(Q526="Dry bulk",Q526="Bulk carrier"),S526*Alukset_fx!$B$69,IF(Q526="Tugboat",S526*Alukset_fx!$B$76,IF(OR(Q526="Tanker",Q526="Gas tanker",Q526="Chemical tanker",Q526="Oil tanker"),S526*Alukset_fx!$B$68,IF(OR(Q526="RoRo",Q526="Vehicle carrier"),S526*Alukset_fx!$B$72,IF(Q526="RoPax",S526*Alukset_fx!$B$73,IF(Q526="Container ship",S526*Alukset_fx!$B$70,S526*Alukset_fx!$B$75))))))),"-")</f>
        <v>0</v>
      </c>
      <c r="U526" s="208">
        <f t="shared" ref="U526:U589" si="102">IF(L526=0,S526,L526)</f>
        <v>0</v>
      </c>
      <c r="V526" s="208">
        <f t="shared" ref="V526:V589" si="103">IF(R526=0,T526,R526)</f>
        <v>0</v>
      </c>
      <c r="W526" s="202">
        <f>Alukset_Käynnit!N533</f>
        <v>0</v>
      </c>
      <c r="X526" s="211">
        <f>IF(Q526="Other dry cargo", Alukset_fx!$C$52, IF(OR(Q526="Dry bulk",Q526="Bulk carrier"),Alukset_fx!$C$35,IF(OR(Q526="Tanker",Q526="Gas tanker",Q526="Oil tanker"),Alukset_fx!$C$57,IF(Q526="Chemical tanker",Alukset_fx!$C$56,IF(OR(Q526="Tugboat",Q526="Barge"),0,IF(Q526="Other vessel",Alukset_fx!$C$54,IF(Q526="Container ship",Alukset_fx!$C$37,IF(OR(Q526="RoPax",Q526="RoRo",Q526="Vehicle carrier"),Alukset_fx!$C$55,0))))))))</f>
        <v>0</v>
      </c>
      <c r="Y526" s="211">
        <f>IF(Q526="Other dry cargo", Alukset_fx!$Q$52, IF(OR(Q526="Dry bulk",Q526="Bulk carrier"),Alukset_fx!$Q$35,IF(OR(Q526="Tanker",Q526="Gas tanker",Q526="Oil tanker"),Alukset_fx!$Q$57,IF(Q526="Chemical tanker",Alukset_fx!$Q$56,IF(OR(Q526="Tugboat",Q526="Barge"),0,IF(Q526="Other vessel",Alukset_fx!$Q$54,IF(Q526="Container ship",Alukset_fx!$Q$37,IF(OR(Q526="RoPax",Q526="RoRo",Q526="Vehicle carrier"),Alukset_fx!$Q$55,0))))))))</f>
        <v>0</v>
      </c>
      <c r="Z526" t="str">
        <f t="shared" ref="Z526:Z589" si="104">IF(Q526="Barge","-","MDO/MGO")</f>
        <v>MDO/MGO</v>
      </c>
      <c r="AA526" t="str">
        <f t="shared" ref="AA526:AA589" si="105">IF(Q526="Container ship","SSD",IF(Q526="Tugboat","HSD",IF(Q526="Barge","-","MSD")))</f>
        <v>MSD</v>
      </c>
      <c r="AB526" t="str">
        <f t="shared" ref="AB526:AB589" si="106">IF(Q526="Barge","-","MDO/MGO")</f>
        <v>MDO/MGO</v>
      </c>
      <c r="AC526" t="str">
        <f t="shared" ref="AC526:AC589" si="107">IF(Q526="Barge","-","MSD")</f>
        <v>MSD</v>
      </c>
      <c r="AD526" t="str">
        <f t="shared" ref="AD526:AD589" si="108">IF(OR(Q526="Tugboat",Q526="Barge"),"-","MDO/MGO")</f>
        <v>MDO/MGO</v>
      </c>
      <c r="AE526" t="str">
        <f t="shared" ref="AE526:AE589" si="109">IF(OR(Q526="Barge",Q526="Tugboat"),"-","ST")</f>
        <v>ST</v>
      </c>
      <c r="AG526">
        <f>Alukset_Käynnit!O533</f>
        <v>0</v>
      </c>
      <c r="AH526" s="207">
        <f>IF(AA526="SSD",((U526*Alukset_fx!$B$24)*Alukset_Käynnit_Lask!W526*(Alukset_fx!$K$49)/1000),IF(AA526="MSD",((U526*Alukset_fx!$B$24)*Alukset_Käynnit_Lask!W526*(Alukset_fx!$K$52)/1000),IF(AA526="HSD",((U526*Alukset_fx!$B$24)*Alukset_Käynnit_Lask!W526*(Alukset_fx!$K$55)/1000),0)))</f>
        <v>0</v>
      </c>
      <c r="AI526" s="207">
        <f>IF(AC526="MSD",((V526*Alukset_fx!$B$25)*Alukset_Käynnit_Lask!W526*(Alukset_fx!$L$52)/1000),IF(AC526="HSD",((V526*Alukset_fx!$B$25)*Alukset_Käynnit_Lask!W526*(Alukset_fx!$L$55)/1000),0))</f>
        <v>0</v>
      </c>
      <c r="AJ526" s="207">
        <f>X526*W526*Alukset_fx!$K$61/1000</f>
        <v>0</v>
      </c>
      <c r="AK526">
        <v>0</v>
      </c>
      <c r="AL526" s="207">
        <f>IF(AG526="Käytetty",0,IF(AC526="MSD",((V526*Alukset_fx!$O$25)*Alukset_Käynnit_Lask!O526*(Alukset_fx!$L$52)/1000),IF(AC526="HSD",((V526*Alukset_fx!$O$25)*Alukset_Käynnit_Lask!O526*(Alukset_fx!$L$55)/1000),0)))</f>
        <v>0</v>
      </c>
      <c r="AM526" s="207">
        <f>IF(AG526="Käytetty",0,Y526*O526*Alukset_fx!$K$61/1000)</f>
        <v>0</v>
      </c>
      <c r="AN526" s="213">
        <f t="shared" ref="AN526:AN589" si="110">SUM(AH526:AM526)/1000</f>
        <v>0</v>
      </c>
    </row>
    <row r="527" spans="1:40" x14ac:dyDescent="0.25">
      <c r="A527" s="203">
        <f>Alukset_Käynnit!A534</f>
        <v>0</v>
      </c>
      <c r="B527" s="203">
        <f>Alukset_Käynnit!B534</f>
        <v>0</v>
      </c>
      <c r="C527" s="262">
        <f>Alukset_Käynnit!C534</f>
        <v>0</v>
      </c>
      <c r="D527" s="266">
        <f>Alukset_Käynnit!D534</f>
        <v>0</v>
      </c>
      <c r="E527" s="262">
        <f>Alukset_Käynnit!E534</f>
        <v>0</v>
      </c>
      <c r="F527" s="262">
        <f>Alukset_Käynnit!F534</f>
        <v>0</v>
      </c>
      <c r="G527" s="262">
        <f>Alukset_Käynnit!G534</f>
        <v>0</v>
      </c>
      <c r="H527" s="262">
        <f>Alukset_Käynnit!H534</f>
        <v>0</v>
      </c>
      <c r="I527" s="262">
        <f>Alukset_Käynnit!I534</f>
        <v>0</v>
      </c>
      <c r="J527" s="262">
        <f>Alukset_Käynnit!J534</f>
        <v>0</v>
      </c>
      <c r="K527" s="262">
        <f>Alukset_Käynnit!K534</f>
        <v>0</v>
      </c>
      <c r="L527" s="205">
        <f>Alukset_Käynnit!L534</f>
        <v>0</v>
      </c>
      <c r="N527" s="273">
        <f t="shared" si="99"/>
        <v>0</v>
      </c>
      <c r="O527" s="274">
        <f t="shared" si="100"/>
        <v>0</v>
      </c>
      <c r="Q527" s="204">
        <f t="shared" si="101"/>
        <v>0</v>
      </c>
      <c r="R527" s="202">
        <f>IF(Q527="Other dry cargo",L527*Alukset_fx!$B$71,IF(OR(Q527="Dry bulk",Q527="Bulk carrier"),L527*Alukset_fx!$B$69,IF(Q527="Tugboat",L527*Alukset_fx!$B$76,IF(OR(Q527="Tanker",Q527="Gas tanker",Q527="Chemical tanker",Q527="Oil tanker"),L527*Alukset_fx!$B$68,IF(OR(Q527="RoRo",Q527="Vehicle carrier"),L527*Alukset_fx!$B$72,IF(Q527="RoPax",L527*Alukset_fx!$B$73,IF(Q527="Container ship",L527*Alukset_fx!$B$70,IF(Q527="Barge",0,L527*Alukset_fx!$B$75))))))))</f>
        <v>0</v>
      </c>
      <c r="S527" s="210">
        <f>IF(L527=0,IF(Q527="Other dry cargo",Alukset_fx!$H$73*(Alukset_Käynnit_Lask!K527^Alukset_fx!$I$73),IF(OR(Q527="Dry Bulk",Q527="Bulk carrier"),Alukset_fx!$H$71*(Alukset_Käynnit_Lask!K527^Alukset_fx!$I$71),IF(Q527="Tugboat",Alukset_fx!$H$78*(Alukset_Käynnit_Lask!K527^Alukset_fx!$I$78),IF(OR(Q527="Tanker",Q527="Gas tanker",Q527="Chemical tanker",Q527="Oil tanker"),Alukset_fx!$H$70*(Alukset_Käynnit_Lask!K527^Alukset_fx!$I$70),IF(Q527="Container ship",Alukset_fx!$H$72*(Alukset_Käynnit_Lask!K527^Alukset_fx!$I$72),IF(Q527="Barge",0,IF(Q527="RoPax",Alukset_fx!$H$75*(Alukset_Käynnit_Lask!K527^Alukset_fx!$I$75),IF(OR(Q527="RoRo",Q527="Vehicle carrier"),Alukset_fx!$H$74*(Alukset_Käynnit_Lask!K527^Alukset_fx!$I$74),Alukset_fx!$H$77*(Alukset_Käynnit_Lask!K527^Alukset_fx!$I$77))))))))),"-")</f>
        <v>0</v>
      </c>
      <c r="T527" s="208">
        <f>IF(R527=0,IF(Q527="Other dry cargo",S527*Alukset_fx!$B$71,IF(OR(Q527="Dry bulk",Q527="Bulk carrier"),S527*Alukset_fx!$B$69,IF(Q527="Tugboat",S527*Alukset_fx!$B$76,IF(OR(Q527="Tanker",Q527="Gas tanker",Q527="Chemical tanker",Q527="Oil tanker"),S527*Alukset_fx!$B$68,IF(OR(Q527="RoRo",Q527="Vehicle carrier"),S527*Alukset_fx!$B$72,IF(Q527="RoPax",S527*Alukset_fx!$B$73,IF(Q527="Container ship",S527*Alukset_fx!$B$70,S527*Alukset_fx!$B$75))))))),"-")</f>
        <v>0</v>
      </c>
      <c r="U527" s="208">
        <f t="shared" si="102"/>
        <v>0</v>
      </c>
      <c r="V527" s="208">
        <f t="shared" si="103"/>
        <v>0</v>
      </c>
      <c r="W527" s="202">
        <f>Alukset_Käynnit!N534</f>
        <v>0</v>
      </c>
      <c r="X527" s="211">
        <f>IF(Q527="Other dry cargo", Alukset_fx!$C$52, IF(OR(Q527="Dry bulk",Q527="Bulk carrier"),Alukset_fx!$C$35,IF(OR(Q527="Tanker",Q527="Gas tanker",Q527="Oil tanker"),Alukset_fx!$C$57,IF(Q527="Chemical tanker",Alukset_fx!$C$56,IF(OR(Q527="Tugboat",Q527="Barge"),0,IF(Q527="Other vessel",Alukset_fx!$C$54,IF(Q527="Container ship",Alukset_fx!$C$37,IF(OR(Q527="RoPax",Q527="RoRo",Q527="Vehicle carrier"),Alukset_fx!$C$55,0))))))))</f>
        <v>0</v>
      </c>
      <c r="Y527" s="211">
        <f>IF(Q527="Other dry cargo", Alukset_fx!$Q$52, IF(OR(Q527="Dry bulk",Q527="Bulk carrier"),Alukset_fx!$Q$35,IF(OR(Q527="Tanker",Q527="Gas tanker",Q527="Oil tanker"),Alukset_fx!$Q$57,IF(Q527="Chemical tanker",Alukset_fx!$Q$56,IF(OR(Q527="Tugboat",Q527="Barge"),0,IF(Q527="Other vessel",Alukset_fx!$Q$54,IF(Q527="Container ship",Alukset_fx!$Q$37,IF(OR(Q527="RoPax",Q527="RoRo",Q527="Vehicle carrier"),Alukset_fx!$Q$55,0))))))))</f>
        <v>0</v>
      </c>
      <c r="Z527" t="str">
        <f t="shared" si="104"/>
        <v>MDO/MGO</v>
      </c>
      <c r="AA527" t="str">
        <f t="shared" si="105"/>
        <v>MSD</v>
      </c>
      <c r="AB527" t="str">
        <f t="shared" si="106"/>
        <v>MDO/MGO</v>
      </c>
      <c r="AC527" t="str">
        <f t="shared" si="107"/>
        <v>MSD</v>
      </c>
      <c r="AD527" t="str">
        <f t="shared" si="108"/>
        <v>MDO/MGO</v>
      </c>
      <c r="AE527" t="str">
        <f t="shared" si="109"/>
        <v>ST</v>
      </c>
      <c r="AG527">
        <f>Alukset_Käynnit!O534</f>
        <v>0</v>
      </c>
      <c r="AH527" s="207">
        <f>IF(AA527="SSD",((U527*Alukset_fx!$B$24)*Alukset_Käynnit_Lask!W527*(Alukset_fx!$K$49)/1000),IF(AA527="MSD",((U527*Alukset_fx!$B$24)*Alukset_Käynnit_Lask!W527*(Alukset_fx!$K$52)/1000),IF(AA527="HSD",((U527*Alukset_fx!$B$24)*Alukset_Käynnit_Lask!W527*(Alukset_fx!$K$55)/1000),0)))</f>
        <v>0</v>
      </c>
      <c r="AI527" s="207">
        <f>IF(AC527="MSD",((V527*Alukset_fx!$B$25)*Alukset_Käynnit_Lask!W527*(Alukset_fx!$L$52)/1000),IF(AC527="HSD",((V527*Alukset_fx!$B$25)*Alukset_Käynnit_Lask!W527*(Alukset_fx!$L$55)/1000),0))</f>
        <v>0</v>
      </c>
      <c r="AJ527" s="207">
        <f>X527*W527*Alukset_fx!$K$61/1000</f>
        <v>0</v>
      </c>
      <c r="AK527">
        <v>0</v>
      </c>
      <c r="AL527" s="207">
        <f>IF(AG527="Käytetty",0,IF(AC527="MSD",((V527*Alukset_fx!$O$25)*Alukset_Käynnit_Lask!O527*(Alukset_fx!$L$52)/1000),IF(AC527="HSD",((V527*Alukset_fx!$O$25)*Alukset_Käynnit_Lask!O527*(Alukset_fx!$L$55)/1000),0)))</f>
        <v>0</v>
      </c>
      <c r="AM527" s="207">
        <f>IF(AG527="Käytetty",0,Y527*O527*Alukset_fx!$K$61/1000)</f>
        <v>0</v>
      </c>
      <c r="AN527" s="213">
        <f t="shared" si="110"/>
        <v>0</v>
      </c>
    </row>
    <row r="528" spans="1:40" x14ac:dyDescent="0.25">
      <c r="A528" s="203">
        <f>Alukset_Käynnit!A535</f>
        <v>0</v>
      </c>
      <c r="B528" s="203">
        <f>Alukset_Käynnit!B535</f>
        <v>0</v>
      </c>
      <c r="C528" s="262">
        <f>Alukset_Käynnit!C535</f>
        <v>0</v>
      </c>
      <c r="D528" s="266">
        <f>Alukset_Käynnit!D535</f>
        <v>0</v>
      </c>
      <c r="E528" s="262">
        <f>Alukset_Käynnit!E535</f>
        <v>0</v>
      </c>
      <c r="F528" s="262">
        <f>Alukset_Käynnit!F535</f>
        <v>0</v>
      </c>
      <c r="G528" s="262">
        <f>Alukset_Käynnit!G535</f>
        <v>0</v>
      </c>
      <c r="H528" s="262">
        <f>Alukset_Käynnit!H535</f>
        <v>0</v>
      </c>
      <c r="I528" s="262">
        <f>Alukset_Käynnit!I535</f>
        <v>0</v>
      </c>
      <c r="J528" s="262">
        <f>Alukset_Käynnit!J535</f>
        <v>0</v>
      </c>
      <c r="K528" s="262">
        <f>Alukset_Käynnit!K535</f>
        <v>0</v>
      </c>
      <c r="L528" s="205">
        <f>Alukset_Käynnit!L535</f>
        <v>0</v>
      </c>
      <c r="N528" s="273">
        <f t="shared" si="99"/>
        <v>0</v>
      </c>
      <c r="O528" s="274">
        <f t="shared" si="100"/>
        <v>0</v>
      </c>
      <c r="Q528" s="204">
        <f t="shared" si="101"/>
        <v>0</v>
      </c>
      <c r="R528" s="202">
        <f>IF(Q528="Other dry cargo",L528*Alukset_fx!$B$71,IF(OR(Q528="Dry bulk",Q528="Bulk carrier"),L528*Alukset_fx!$B$69,IF(Q528="Tugboat",L528*Alukset_fx!$B$76,IF(OR(Q528="Tanker",Q528="Gas tanker",Q528="Chemical tanker",Q528="Oil tanker"),L528*Alukset_fx!$B$68,IF(OR(Q528="RoRo",Q528="Vehicle carrier"),L528*Alukset_fx!$B$72,IF(Q528="RoPax",L528*Alukset_fx!$B$73,IF(Q528="Container ship",L528*Alukset_fx!$B$70,IF(Q528="Barge",0,L528*Alukset_fx!$B$75))))))))</f>
        <v>0</v>
      </c>
      <c r="S528" s="210">
        <f>IF(L528=0,IF(Q528="Other dry cargo",Alukset_fx!$H$73*(Alukset_Käynnit_Lask!K528^Alukset_fx!$I$73),IF(OR(Q528="Dry Bulk",Q528="Bulk carrier"),Alukset_fx!$H$71*(Alukset_Käynnit_Lask!K528^Alukset_fx!$I$71),IF(Q528="Tugboat",Alukset_fx!$H$78*(Alukset_Käynnit_Lask!K528^Alukset_fx!$I$78),IF(OR(Q528="Tanker",Q528="Gas tanker",Q528="Chemical tanker",Q528="Oil tanker"),Alukset_fx!$H$70*(Alukset_Käynnit_Lask!K528^Alukset_fx!$I$70),IF(Q528="Container ship",Alukset_fx!$H$72*(Alukset_Käynnit_Lask!K528^Alukset_fx!$I$72),IF(Q528="Barge",0,IF(Q528="RoPax",Alukset_fx!$H$75*(Alukset_Käynnit_Lask!K528^Alukset_fx!$I$75),IF(OR(Q528="RoRo",Q528="Vehicle carrier"),Alukset_fx!$H$74*(Alukset_Käynnit_Lask!K528^Alukset_fx!$I$74),Alukset_fx!$H$77*(Alukset_Käynnit_Lask!K528^Alukset_fx!$I$77))))))))),"-")</f>
        <v>0</v>
      </c>
      <c r="T528" s="208">
        <f>IF(R528=0,IF(Q528="Other dry cargo",S528*Alukset_fx!$B$71,IF(OR(Q528="Dry bulk",Q528="Bulk carrier"),S528*Alukset_fx!$B$69,IF(Q528="Tugboat",S528*Alukset_fx!$B$76,IF(OR(Q528="Tanker",Q528="Gas tanker",Q528="Chemical tanker",Q528="Oil tanker"),S528*Alukset_fx!$B$68,IF(OR(Q528="RoRo",Q528="Vehicle carrier"),S528*Alukset_fx!$B$72,IF(Q528="RoPax",S528*Alukset_fx!$B$73,IF(Q528="Container ship",S528*Alukset_fx!$B$70,S528*Alukset_fx!$B$75))))))),"-")</f>
        <v>0</v>
      </c>
      <c r="U528" s="208">
        <f t="shared" si="102"/>
        <v>0</v>
      </c>
      <c r="V528" s="208">
        <f t="shared" si="103"/>
        <v>0</v>
      </c>
      <c r="W528" s="202">
        <f>Alukset_Käynnit!N535</f>
        <v>0</v>
      </c>
      <c r="X528" s="211">
        <f>IF(Q528="Other dry cargo", Alukset_fx!$C$52, IF(OR(Q528="Dry bulk",Q528="Bulk carrier"),Alukset_fx!$C$35,IF(OR(Q528="Tanker",Q528="Gas tanker",Q528="Oil tanker"),Alukset_fx!$C$57,IF(Q528="Chemical tanker",Alukset_fx!$C$56,IF(OR(Q528="Tugboat",Q528="Barge"),0,IF(Q528="Other vessel",Alukset_fx!$C$54,IF(Q528="Container ship",Alukset_fx!$C$37,IF(OR(Q528="RoPax",Q528="RoRo",Q528="Vehicle carrier"),Alukset_fx!$C$55,0))))))))</f>
        <v>0</v>
      </c>
      <c r="Y528" s="211">
        <f>IF(Q528="Other dry cargo", Alukset_fx!$Q$52, IF(OR(Q528="Dry bulk",Q528="Bulk carrier"),Alukset_fx!$Q$35,IF(OR(Q528="Tanker",Q528="Gas tanker",Q528="Oil tanker"),Alukset_fx!$Q$57,IF(Q528="Chemical tanker",Alukset_fx!$Q$56,IF(OR(Q528="Tugboat",Q528="Barge"),0,IF(Q528="Other vessel",Alukset_fx!$Q$54,IF(Q528="Container ship",Alukset_fx!$Q$37,IF(OR(Q528="RoPax",Q528="RoRo",Q528="Vehicle carrier"),Alukset_fx!$Q$55,0))))))))</f>
        <v>0</v>
      </c>
      <c r="Z528" t="str">
        <f t="shared" si="104"/>
        <v>MDO/MGO</v>
      </c>
      <c r="AA528" t="str">
        <f t="shared" si="105"/>
        <v>MSD</v>
      </c>
      <c r="AB528" t="str">
        <f t="shared" si="106"/>
        <v>MDO/MGO</v>
      </c>
      <c r="AC528" t="str">
        <f t="shared" si="107"/>
        <v>MSD</v>
      </c>
      <c r="AD528" t="str">
        <f t="shared" si="108"/>
        <v>MDO/MGO</v>
      </c>
      <c r="AE528" t="str">
        <f t="shared" si="109"/>
        <v>ST</v>
      </c>
      <c r="AG528">
        <f>Alukset_Käynnit!O535</f>
        <v>0</v>
      </c>
      <c r="AH528" s="207">
        <f>IF(AA528="SSD",((U528*Alukset_fx!$B$24)*Alukset_Käynnit_Lask!W528*(Alukset_fx!$K$49)/1000),IF(AA528="MSD",((U528*Alukset_fx!$B$24)*Alukset_Käynnit_Lask!W528*(Alukset_fx!$K$52)/1000),IF(AA528="HSD",((U528*Alukset_fx!$B$24)*Alukset_Käynnit_Lask!W528*(Alukset_fx!$K$55)/1000),0)))</f>
        <v>0</v>
      </c>
      <c r="AI528" s="207">
        <f>IF(AC528="MSD",((V528*Alukset_fx!$B$25)*Alukset_Käynnit_Lask!W528*(Alukset_fx!$L$52)/1000),IF(AC528="HSD",((V528*Alukset_fx!$B$25)*Alukset_Käynnit_Lask!W528*(Alukset_fx!$L$55)/1000),0))</f>
        <v>0</v>
      </c>
      <c r="AJ528" s="207">
        <f>X528*W528*Alukset_fx!$K$61/1000</f>
        <v>0</v>
      </c>
      <c r="AK528">
        <v>0</v>
      </c>
      <c r="AL528" s="207">
        <f>IF(AG528="Käytetty",0,IF(AC528="MSD",((V528*Alukset_fx!$O$25)*Alukset_Käynnit_Lask!O528*(Alukset_fx!$L$52)/1000),IF(AC528="HSD",((V528*Alukset_fx!$O$25)*Alukset_Käynnit_Lask!O528*(Alukset_fx!$L$55)/1000),0)))</f>
        <v>0</v>
      </c>
      <c r="AM528" s="207">
        <f>IF(AG528="Käytetty",0,Y528*O528*Alukset_fx!$K$61/1000)</f>
        <v>0</v>
      </c>
      <c r="AN528" s="213">
        <f t="shared" si="110"/>
        <v>0</v>
      </c>
    </row>
    <row r="529" spans="1:40" x14ac:dyDescent="0.25">
      <c r="A529" s="203">
        <f>Alukset_Käynnit!A536</f>
        <v>0</v>
      </c>
      <c r="B529" s="203">
        <f>Alukset_Käynnit!B536</f>
        <v>0</v>
      </c>
      <c r="C529" s="262">
        <f>Alukset_Käynnit!C536</f>
        <v>0</v>
      </c>
      <c r="D529" s="266">
        <f>Alukset_Käynnit!D536</f>
        <v>0</v>
      </c>
      <c r="E529" s="262">
        <f>Alukset_Käynnit!E536</f>
        <v>0</v>
      </c>
      <c r="F529" s="262">
        <f>Alukset_Käynnit!F536</f>
        <v>0</v>
      </c>
      <c r="G529" s="262">
        <f>Alukset_Käynnit!G536</f>
        <v>0</v>
      </c>
      <c r="H529" s="262">
        <f>Alukset_Käynnit!H536</f>
        <v>0</v>
      </c>
      <c r="I529" s="262">
        <f>Alukset_Käynnit!I536</f>
        <v>0</v>
      </c>
      <c r="J529" s="262">
        <f>Alukset_Käynnit!J536</f>
        <v>0</v>
      </c>
      <c r="K529" s="262">
        <f>Alukset_Käynnit!K536</f>
        <v>0</v>
      </c>
      <c r="L529" s="205">
        <f>Alukset_Käynnit!L536</f>
        <v>0</v>
      </c>
      <c r="N529" s="273">
        <f t="shared" si="99"/>
        <v>0</v>
      </c>
      <c r="O529" s="274">
        <f t="shared" si="100"/>
        <v>0</v>
      </c>
      <c r="Q529" s="204">
        <f t="shared" si="101"/>
        <v>0</v>
      </c>
      <c r="R529" s="202">
        <f>IF(Q529="Other dry cargo",L529*Alukset_fx!$B$71,IF(OR(Q529="Dry bulk",Q529="Bulk carrier"),L529*Alukset_fx!$B$69,IF(Q529="Tugboat",L529*Alukset_fx!$B$76,IF(OR(Q529="Tanker",Q529="Gas tanker",Q529="Chemical tanker",Q529="Oil tanker"),L529*Alukset_fx!$B$68,IF(OR(Q529="RoRo",Q529="Vehicle carrier"),L529*Alukset_fx!$B$72,IF(Q529="RoPax",L529*Alukset_fx!$B$73,IF(Q529="Container ship",L529*Alukset_fx!$B$70,IF(Q529="Barge",0,L529*Alukset_fx!$B$75))))))))</f>
        <v>0</v>
      </c>
      <c r="S529" s="210">
        <f>IF(L529=0,IF(Q529="Other dry cargo",Alukset_fx!$H$73*(Alukset_Käynnit_Lask!K529^Alukset_fx!$I$73),IF(OR(Q529="Dry Bulk",Q529="Bulk carrier"),Alukset_fx!$H$71*(Alukset_Käynnit_Lask!K529^Alukset_fx!$I$71),IF(Q529="Tugboat",Alukset_fx!$H$78*(Alukset_Käynnit_Lask!K529^Alukset_fx!$I$78),IF(OR(Q529="Tanker",Q529="Gas tanker",Q529="Chemical tanker",Q529="Oil tanker"),Alukset_fx!$H$70*(Alukset_Käynnit_Lask!K529^Alukset_fx!$I$70),IF(Q529="Container ship",Alukset_fx!$H$72*(Alukset_Käynnit_Lask!K529^Alukset_fx!$I$72),IF(Q529="Barge",0,IF(Q529="RoPax",Alukset_fx!$H$75*(Alukset_Käynnit_Lask!K529^Alukset_fx!$I$75),IF(OR(Q529="RoRo",Q529="Vehicle carrier"),Alukset_fx!$H$74*(Alukset_Käynnit_Lask!K529^Alukset_fx!$I$74),Alukset_fx!$H$77*(Alukset_Käynnit_Lask!K529^Alukset_fx!$I$77))))))))),"-")</f>
        <v>0</v>
      </c>
      <c r="T529" s="208">
        <f>IF(R529=0,IF(Q529="Other dry cargo",S529*Alukset_fx!$B$71,IF(OR(Q529="Dry bulk",Q529="Bulk carrier"),S529*Alukset_fx!$B$69,IF(Q529="Tugboat",S529*Alukset_fx!$B$76,IF(OR(Q529="Tanker",Q529="Gas tanker",Q529="Chemical tanker",Q529="Oil tanker"),S529*Alukset_fx!$B$68,IF(OR(Q529="RoRo",Q529="Vehicle carrier"),S529*Alukset_fx!$B$72,IF(Q529="RoPax",S529*Alukset_fx!$B$73,IF(Q529="Container ship",S529*Alukset_fx!$B$70,S529*Alukset_fx!$B$75))))))),"-")</f>
        <v>0</v>
      </c>
      <c r="U529" s="208">
        <f t="shared" si="102"/>
        <v>0</v>
      </c>
      <c r="V529" s="208">
        <f t="shared" si="103"/>
        <v>0</v>
      </c>
      <c r="W529" s="202">
        <f>Alukset_Käynnit!N536</f>
        <v>0</v>
      </c>
      <c r="X529" s="211">
        <f>IF(Q529="Other dry cargo", Alukset_fx!$C$52, IF(OR(Q529="Dry bulk",Q529="Bulk carrier"),Alukset_fx!$C$35,IF(OR(Q529="Tanker",Q529="Gas tanker",Q529="Oil tanker"),Alukset_fx!$C$57,IF(Q529="Chemical tanker",Alukset_fx!$C$56,IF(OR(Q529="Tugboat",Q529="Barge"),0,IF(Q529="Other vessel",Alukset_fx!$C$54,IF(Q529="Container ship",Alukset_fx!$C$37,IF(OR(Q529="RoPax",Q529="RoRo",Q529="Vehicle carrier"),Alukset_fx!$C$55,0))))))))</f>
        <v>0</v>
      </c>
      <c r="Y529" s="211">
        <f>IF(Q529="Other dry cargo", Alukset_fx!$Q$52, IF(OR(Q529="Dry bulk",Q529="Bulk carrier"),Alukset_fx!$Q$35,IF(OR(Q529="Tanker",Q529="Gas tanker",Q529="Oil tanker"),Alukset_fx!$Q$57,IF(Q529="Chemical tanker",Alukset_fx!$Q$56,IF(OR(Q529="Tugboat",Q529="Barge"),0,IF(Q529="Other vessel",Alukset_fx!$Q$54,IF(Q529="Container ship",Alukset_fx!$Q$37,IF(OR(Q529="RoPax",Q529="RoRo",Q529="Vehicle carrier"),Alukset_fx!$Q$55,0))))))))</f>
        <v>0</v>
      </c>
      <c r="Z529" t="str">
        <f t="shared" si="104"/>
        <v>MDO/MGO</v>
      </c>
      <c r="AA529" t="str">
        <f t="shared" si="105"/>
        <v>MSD</v>
      </c>
      <c r="AB529" t="str">
        <f t="shared" si="106"/>
        <v>MDO/MGO</v>
      </c>
      <c r="AC529" t="str">
        <f t="shared" si="107"/>
        <v>MSD</v>
      </c>
      <c r="AD529" t="str">
        <f t="shared" si="108"/>
        <v>MDO/MGO</v>
      </c>
      <c r="AE529" t="str">
        <f t="shared" si="109"/>
        <v>ST</v>
      </c>
      <c r="AG529">
        <f>Alukset_Käynnit!O536</f>
        <v>0</v>
      </c>
      <c r="AH529" s="207">
        <f>IF(AA529="SSD",((U529*Alukset_fx!$B$24)*Alukset_Käynnit_Lask!W529*(Alukset_fx!$K$49)/1000),IF(AA529="MSD",((U529*Alukset_fx!$B$24)*Alukset_Käynnit_Lask!W529*(Alukset_fx!$K$52)/1000),IF(AA529="HSD",((U529*Alukset_fx!$B$24)*Alukset_Käynnit_Lask!W529*(Alukset_fx!$K$55)/1000),0)))</f>
        <v>0</v>
      </c>
      <c r="AI529" s="207">
        <f>IF(AC529="MSD",((V529*Alukset_fx!$B$25)*Alukset_Käynnit_Lask!W529*(Alukset_fx!$L$52)/1000),IF(AC529="HSD",((V529*Alukset_fx!$B$25)*Alukset_Käynnit_Lask!W529*(Alukset_fx!$L$55)/1000),0))</f>
        <v>0</v>
      </c>
      <c r="AJ529" s="207">
        <f>X529*W529*Alukset_fx!$K$61/1000</f>
        <v>0</v>
      </c>
      <c r="AK529">
        <v>0</v>
      </c>
      <c r="AL529" s="207">
        <f>IF(AG529="Käytetty",0,IF(AC529="MSD",((V529*Alukset_fx!$O$25)*Alukset_Käynnit_Lask!O529*(Alukset_fx!$L$52)/1000),IF(AC529="HSD",((V529*Alukset_fx!$O$25)*Alukset_Käynnit_Lask!O529*(Alukset_fx!$L$55)/1000),0)))</f>
        <v>0</v>
      </c>
      <c r="AM529" s="207">
        <f>IF(AG529="Käytetty",0,Y529*O529*Alukset_fx!$K$61/1000)</f>
        <v>0</v>
      </c>
      <c r="AN529" s="213">
        <f t="shared" si="110"/>
        <v>0</v>
      </c>
    </row>
    <row r="530" spans="1:40" x14ac:dyDescent="0.25">
      <c r="A530" s="203">
        <f>Alukset_Käynnit!A537</f>
        <v>0</v>
      </c>
      <c r="B530" s="203">
        <f>Alukset_Käynnit!B537</f>
        <v>0</v>
      </c>
      <c r="C530" s="262">
        <f>Alukset_Käynnit!C537</f>
        <v>0</v>
      </c>
      <c r="D530" s="266">
        <f>Alukset_Käynnit!D537</f>
        <v>0</v>
      </c>
      <c r="E530" s="262">
        <f>Alukset_Käynnit!E537</f>
        <v>0</v>
      </c>
      <c r="F530" s="262">
        <f>Alukset_Käynnit!F537</f>
        <v>0</v>
      </c>
      <c r="G530" s="262">
        <f>Alukset_Käynnit!G537</f>
        <v>0</v>
      </c>
      <c r="H530" s="262">
        <f>Alukset_Käynnit!H537</f>
        <v>0</v>
      </c>
      <c r="I530" s="262">
        <f>Alukset_Käynnit!I537</f>
        <v>0</v>
      </c>
      <c r="J530" s="262">
        <f>Alukset_Käynnit!J537</f>
        <v>0</v>
      </c>
      <c r="K530" s="262">
        <f>Alukset_Käynnit!K537</f>
        <v>0</v>
      </c>
      <c r="L530" s="205">
        <f>Alukset_Käynnit!L537</f>
        <v>0</v>
      </c>
      <c r="N530" s="273">
        <f t="shared" si="99"/>
        <v>0</v>
      </c>
      <c r="O530" s="274">
        <f t="shared" si="100"/>
        <v>0</v>
      </c>
      <c r="Q530" s="204">
        <f t="shared" si="101"/>
        <v>0</v>
      </c>
      <c r="R530" s="202">
        <f>IF(Q530="Other dry cargo",L530*Alukset_fx!$B$71,IF(OR(Q530="Dry bulk",Q530="Bulk carrier"),L530*Alukset_fx!$B$69,IF(Q530="Tugboat",L530*Alukset_fx!$B$76,IF(OR(Q530="Tanker",Q530="Gas tanker",Q530="Chemical tanker",Q530="Oil tanker"),L530*Alukset_fx!$B$68,IF(OR(Q530="RoRo",Q530="Vehicle carrier"),L530*Alukset_fx!$B$72,IF(Q530="RoPax",L530*Alukset_fx!$B$73,IF(Q530="Container ship",L530*Alukset_fx!$B$70,IF(Q530="Barge",0,L530*Alukset_fx!$B$75))))))))</f>
        <v>0</v>
      </c>
      <c r="S530" s="210">
        <f>IF(L530=0,IF(Q530="Other dry cargo",Alukset_fx!$H$73*(Alukset_Käynnit_Lask!K530^Alukset_fx!$I$73),IF(OR(Q530="Dry Bulk",Q530="Bulk carrier"),Alukset_fx!$H$71*(Alukset_Käynnit_Lask!K530^Alukset_fx!$I$71),IF(Q530="Tugboat",Alukset_fx!$H$78*(Alukset_Käynnit_Lask!K530^Alukset_fx!$I$78),IF(OR(Q530="Tanker",Q530="Gas tanker",Q530="Chemical tanker",Q530="Oil tanker"),Alukset_fx!$H$70*(Alukset_Käynnit_Lask!K530^Alukset_fx!$I$70),IF(Q530="Container ship",Alukset_fx!$H$72*(Alukset_Käynnit_Lask!K530^Alukset_fx!$I$72),IF(Q530="Barge",0,IF(Q530="RoPax",Alukset_fx!$H$75*(Alukset_Käynnit_Lask!K530^Alukset_fx!$I$75),IF(OR(Q530="RoRo",Q530="Vehicle carrier"),Alukset_fx!$H$74*(Alukset_Käynnit_Lask!K530^Alukset_fx!$I$74),Alukset_fx!$H$77*(Alukset_Käynnit_Lask!K530^Alukset_fx!$I$77))))))))),"-")</f>
        <v>0</v>
      </c>
      <c r="T530" s="208">
        <f>IF(R530=0,IF(Q530="Other dry cargo",S530*Alukset_fx!$B$71,IF(OR(Q530="Dry bulk",Q530="Bulk carrier"),S530*Alukset_fx!$B$69,IF(Q530="Tugboat",S530*Alukset_fx!$B$76,IF(OR(Q530="Tanker",Q530="Gas tanker",Q530="Chemical tanker",Q530="Oil tanker"),S530*Alukset_fx!$B$68,IF(OR(Q530="RoRo",Q530="Vehicle carrier"),S530*Alukset_fx!$B$72,IF(Q530="RoPax",S530*Alukset_fx!$B$73,IF(Q530="Container ship",S530*Alukset_fx!$B$70,S530*Alukset_fx!$B$75))))))),"-")</f>
        <v>0</v>
      </c>
      <c r="U530" s="208">
        <f t="shared" si="102"/>
        <v>0</v>
      </c>
      <c r="V530" s="208">
        <f t="shared" si="103"/>
        <v>0</v>
      </c>
      <c r="W530" s="202">
        <f>Alukset_Käynnit!N537</f>
        <v>0</v>
      </c>
      <c r="X530" s="211">
        <f>IF(Q530="Other dry cargo", Alukset_fx!$C$52, IF(OR(Q530="Dry bulk",Q530="Bulk carrier"),Alukset_fx!$C$35,IF(OR(Q530="Tanker",Q530="Gas tanker",Q530="Oil tanker"),Alukset_fx!$C$57,IF(Q530="Chemical tanker",Alukset_fx!$C$56,IF(OR(Q530="Tugboat",Q530="Barge"),0,IF(Q530="Other vessel",Alukset_fx!$C$54,IF(Q530="Container ship",Alukset_fx!$C$37,IF(OR(Q530="RoPax",Q530="RoRo",Q530="Vehicle carrier"),Alukset_fx!$C$55,0))))))))</f>
        <v>0</v>
      </c>
      <c r="Y530" s="211">
        <f>IF(Q530="Other dry cargo", Alukset_fx!$Q$52, IF(OR(Q530="Dry bulk",Q530="Bulk carrier"),Alukset_fx!$Q$35,IF(OR(Q530="Tanker",Q530="Gas tanker",Q530="Oil tanker"),Alukset_fx!$Q$57,IF(Q530="Chemical tanker",Alukset_fx!$Q$56,IF(OR(Q530="Tugboat",Q530="Barge"),0,IF(Q530="Other vessel",Alukset_fx!$Q$54,IF(Q530="Container ship",Alukset_fx!$Q$37,IF(OR(Q530="RoPax",Q530="RoRo",Q530="Vehicle carrier"),Alukset_fx!$Q$55,0))))))))</f>
        <v>0</v>
      </c>
      <c r="Z530" t="str">
        <f t="shared" si="104"/>
        <v>MDO/MGO</v>
      </c>
      <c r="AA530" t="str">
        <f t="shared" si="105"/>
        <v>MSD</v>
      </c>
      <c r="AB530" t="str">
        <f t="shared" si="106"/>
        <v>MDO/MGO</v>
      </c>
      <c r="AC530" t="str">
        <f t="shared" si="107"/>
        <v>MSD</v>
      </c>
      <c r="AD530" t="str">
        <f t="shared" si="108"/>
        <v>MDO/MGO</v>
      </c>
      <c r="AE530" t="str">
        <f t="shared" si="109"/>
        <v>ST</v>
      </c>
      <c r="AG530">
        <f>Alukset_Käynnit!O537</f>
        <v>0</v>
      </c>
      <c r="AH530" s="207">
        <f>IF(AA530="SSD",((U530*Alukset_fx!$B$24)*Alukset_Käynnit_Lask!W530*(Alukset_fx!$K$49)/1000),IF(AA530="MSD",((U530*Alukset_fx!$B$24)*Alukset_Käynnit_Lask!W530*(Alukset_fx!$K$52)/1000),IF(AA530="HSD",((U530*Alukset_fx!$B$24)*Alukset_Käynnit_Lask!W530*(Alukset_fx!$K$55)/1000),0)))</f>
        <v>0</v>
      </c>
      <c r="AI530" s="207">
        <f>IF(AC530="MSD",((V530*Alukset_fx!$B$25)*Alukset_Käynnit_Lask!W530*(Alukset_fx!$L$52)/1000),IF(AC530="HSD",((V530*Alukset_fx!$B$25)*Alukset_Käynnit_Lask!W530*(Alukset_fx!$L$55)/1000),0))</f>
        <v>0</v>
      </c>
      <c r="AJ530" s="207">
        <f>X530*W530*Alukset_fx!$K$61/1000</f>
        <v>0</v>
      </c>
      <c r="AK530">
        <v>0</v>
      </c>
      <c r="AL530" s="207">
        <f>IF(AG530="Käytetty",0,IF(AC530="MSD",((V530*Alukset_fx!$O$25)*Alukset_Käynnit_Lask!O530*(Alukset_fx!$L$52)/1000),IF(AC530="HSD",((V530*Alukset_fx!$O$25)*Alukset_Käynnit_Lask!O530*(Alukset_fx!$L$55)/1000),0)))</f>
        <v>0</v>
      </c>
      <c r="AM530" s="207">
        <f>IF(AG530="Käytetty",0,Y530*O530*Alukset_fx!$K$61/1000)</f>
        <v>0</v>
      </c>
      <c r="AN530" s="213">
        <f t="shared" si="110"/>
        <v>0</v>
      </c>
    </row>
    <row r="531" spans="1:40" x14ac:dyDescent="0.25">
      <c r="A531" s="203">
        <f>Alukset_Käynnit!A538</f>
        <v>0</v>
      </c>
      <c r="B531" s="203">
        <f>Alukset_Käynnit!B538</f>
        <v>0</v>
      </c>
      <c r="C531" s="262">
        <f>Alukset_Käynnit!C538</f>
        <v>0</v>
      </c>
      <c r="D531" s="266">
        <f>Alukset_Käynnit!D538</f>
        <v>0</v>
      </c>
      <c r="E531" s="262">
        <f>Alukset_Käynnit!E538</f>
        <v>0</v>
      </c>
      <c r="F531" s="262">
        <f>Alukset_Käynnit!F538</f>
        <v>0</v>
      </c>
      <c r="G531" s="262">
        <f>Alukset_Käynnit!G538</f>
        <v>0</v>
      </c>
      <c r="H531" s="262">
        <f>Alukset_Käynnit!H538</f>
        <v>0</v>
      </c>
      <c r="I531" s="262">
        <f>Alukset_Käynnit!I538</f>
        <v>0</v>
      </c>
      <c r="J531" s="262">
        <f>Alukset_Käynnit!J538</f>
        <v>0</v>
      </c>
      <c r="K531" s="262">
        <f>Alukset_Käynnit!K538</f>
        <v>0</v>
      </c>
      <c r="L531" s="205">
        <f>Alukset_Käynnit!L538</f>
        <v>0</v>
      </c>
      <c r="N531" s="273">
        <f t="shared" si="99"/>
        <v>0</v>
      </c>
      <c r="O531" s="274">
        <f t="shared" si="100"/>
        <v>0</v>
      </c>
      <c r="Q531" s="204">
        <f t="shared" si="101"/>
        <v>0</v>
      </c>
      <c r="R531" s="202">
        <f>IF(Q531="Other dry cargo",L531*Alukset_fx!$B$71,IF(OR(Q531="Dry bulk",Q531="Bulk carrier"),L531*Alukset_fx!$B$69,IF(Q531="Tugboat",L531*Alukset_fx!$B$76,IF(OR(Q531="Tanker",Q531="Gas tanker",Q531="Chemical tanker",Q531="Oil tanker"),L531*Alukset_fx!$B$68,IF(OR(Q531="RoRo",Q531="Vehicle carrier"),L531*Alukset_fx!$B$72,IF(Q531="RoPax",L531*Alukset_fx!$B$73,IF(Q531="Container ship",L531*Alukset_fx!$B$70,IF(Q531="Barge",0,L531*Alukset_fx!$B$75))))))))</f>
        <v>0</v>
      </c>
      <c r="S531" s="210">
        <f>IF(L531=0,IF(Q531="Other dry cargo",Alukset_fx!$H$73*(Alukset_Käynnit_Lask!K531^Alukset_fx!$I$73),IF(OR(Q531="Dry Bulk",Q531="Bulk carrier"),Alukset_fx!$H$71*(Alukset_Käynnit_Lask!K531^Alukset_fx!$I$71),IF(Q531="Tugboat",Alukset_fx!$H$78*(Alukset_Käynnit_Lask!K531^Alukset_fx!$I$78),IF(OR(Q531="Tanker",Q531="Gas tanker",Q531="Chemical tanker",Q531="Oil tanker"),Alukset_fx!$H$70*(Alukset_Käynnit_Lask!K531^Alukset_fx!$I$70),IF(Q531="Container ship",Alukset_fx!$H$72*(Alukset_Käynnit_Lask!K531^Alukset_fx!$I$72),IF(Q531="Barge",0,IF(Q531="RoPax",Alukset_fx!$H$75*(Alukset_Käynnit_Lask!K531^Alukset_fx!$I$75),IF(OR(Q531="RoRo",Q531="Vehicle carrier"),Alukset_fx!$H$74*(Alukset_Käynnit_Lask!K531^Alukset_fx!$I$74),Alukset_fx!$H$77*(Alukset_Käynnit_Lask!K531^Alukset_fx!$I$77))))))))),"-")</f>
        <v>0</v>
      </c>
      <c r="T531" s="208">
        <f>IF(R531=0,IF(Q531="Other dry cargo",S531*Alukset_fx!$B$71,IF(OR(Q531="Dry bulk",Q531="Bulk carrier"),S531*Alukset_fx!$B$69,IF(Q531="Tugboat",S531*Alukset_fx!$B$76,IF(OR(Q531="Tanker",Q531="Gas tanker",Q531="Chemical tanker",Q531="Oil tanker"),S531*Alukset_fx!$B$68,IF(OR(Q531="RoRo",Q531="Vehicle carrier"),S531*Alukset_fx!$B$72,IF(Q531="RoPax",S531*Alukset_fx!$B$73,IF(Q531="Container ship",S531*Alukset_fx!$B$70,S531*Alukset_fx!$B$75))))))),"-")</f>
        <v>0</v>
      </c>
      <c r="U531" s="208">
        <f t="shared" si="102"/>
        <v>0</v>
      </c>
      <c r="V531" s="208">
        <f t="shared" si="103"/>
        <v>0</v>
      </c>
      <c r="W531" s="202">
        <f>Alukset_Käynnit!N538</f>
        <v>0</v>
      </c>
      <c r="X531" s="211">
        <f>IF(Q531="Other dry cargo", Alukset_fx!$C$52, IF(OR(Q531="Dry bulk",Q531="Bulk carrier"),Alukset_fx!$C$35,IF(OR(Q531="Tanker",Q531="Gas tanker",Q531="Oil tanker"),Alukset_fx!$C$57,IF(Q531="Chemical tanker",Alukset_fx!$C$56,IF(OR(Q531="Tugboat",Q531="Barge"),0,IF(Q531="Other vessel",Alukset_fx!$C$54,IF(Q531="Container ship",Alukset_fx!$C$37,IF(OR(Q531="RoPax",Q531="RoRo",Q531="Vehicle carrier"),Alukset_fx!$C$55,0))))))))</f>
        <v>0</v>
      </c>
      <c r="Y531" s="211">
        <f>IF(Q531="Other dry cargo", Alukset_fx!$Q$52, IF(OR(Q531="Dry bulk",Q531="Bulk carrier"),Alukset_fx!$Q$35,IF(OR(Q531="Tanker",Q531="Gas tanker",Q531="Oil tanker"),Alukset_fx!$Q$57,IF(Q531="Chemical tanker",Alukset_fx!$Q$56,IF(OR(Q531="Tugboat",Q531="Barge"),0,IF(Q531="Other vessel",Alukset_fx!$Q$54,IF(Q531="Container ship",Alukset_fx!$Q$37,IF(OR(Q531="RoPax",Q531="RoRo",Q531="Vehicle carrier"),Alukset_fx!$Q$55,0))))))))</f>
        <v>0</v>
      </c>
      <c r="Z531" t="str">
        <f t="shared" si="104"/>
        <v>MDO/MGO</v>
      </c>
      <c r="AA531" t="str">
        <f t="shared" si="105"/>
        <v>MSD</v>
      </c>
      <c r="AB531" t="str">
        <f t="shared" si="106"/>
        <v>MDO/MGO</v>
      </c>
      <c r="AC531" t="str">
        <f t="shared" si="107"/>
        <v>MSD</v>
      </c>
      <c r="AD531" t="str">
        <f t="shared" si="108"/>
        <v>MDO/MGO</v>
      </c>
      <c r="AE531" t="str">
        <f t="shared" si="109"/>
        <v>ST</v>
      </c>
      <c r="AG531">
        <f>Alukset_Käynnit!O538</f>
        <v>0</v>
      </c>
      <c r="AH531" s="207">
        <f>IF(AA531="SSD",((U531*Alukset_fx!$B$24)*Alukset_Käynnit_Lask!W531*(Alukset_fx!$K$49)/1000),IF(AA531="MSD",((U531*Alukset_fx!$B$24)*Alukset_Käynnit_Lask!W531*(Alukset_fx!$K$52)/1000),IF(AA531="HSD",((U531*Alukset_fx!$B$24)*Alukset_Käynnit_Lask!W531*(Alukset_fx!$K$55)/1000),0)))</f>
        <v>0</v>
      </c>
      <c r="AI531" s="207">
        <f>IF(AC531="MSD",((V531*Alukset_fx!$B$25)*Alukset_Käynnit_Lask!W531*(Alukset_fx!$L$52)/1000),IF(AC531="HSD",((V531*Alukset_fx!$B$25)*Alukset_Käynnit_Lask!W531*(Alukset_fx!$L$55)/1000),0))</f>
        <v>0</v>
      </c>
      <c r="AJ531" s="207">
        <f>X531*W531*Alukset_fx!$K$61/1000</f>
        <v>0</v>
      </c>
      <c r="AK531">
        <v>0</v>
      </c>
      <c r="AL531" s="207">
        <f>IF(AG531="Käytetty",0,IF(AC531="MSD",((V531*Alukset_fx!$O$25)*Alukset_Käynnit_Lask!O531*(Alukset_fx!$L$52)/1000),IF(AC531="HSD",((V531*Alukset_fx!$O$25)*Alukset_Käynnit_Lask!O531*(Alukset_fx!$L$55)/1000),0)))</f>
        <v>0</v>
      </c>
      <c r="AM531" s="207">
        <f>IF(AG531="Käytetty",0,Y531*O531*Alukset_fx!$K$61/1000)</f>
        <v>0</v>
      </c>
      <c r="AN531" s="213">
        <f t="shared" si="110"/>
        <v>0</v>
      </c>
    </row>
    <row r="532" spans="1:40" x14ac:dyDescent="0.25">
      <c r="A532" s="203">
        <f>Alukset_Käynnit!A539</f>
        <v>0</v>
      </c>
      <c r="B532" s="203">
        <f>Alukset_Käynnit!B539</f>
        <v>0</v>
      </c>
      <c r="C532" s="262">
        <f>Alukset_Käynnit!C539</f>
        <v>0</v>
      </c>
      <c r="D532" s="266">
        <f>Alukset_Käynnit!D539</f>
        <v>0</v>
      </c>
      <c r="E532" s="262">
        <f>Alukset_Käynnit!E539</f>
        <v>0</v>
      </c>
      <c r="F532" s="262">
        <f>Alukset_Käynnit!F539</f>
        <v>0</v>
      </c>
      <c r="G532" s="262">
        <f>Alukset_Käynnit!G539</f>
        <v>0</v>
      </c>
      <c r="H532" s="262">
        <f>Alukset_Käynnit!H539</f>
        <v>0</v>
      </c>
      <c r="I532" s="262">
        <f>Alukset_Käynnit!I539</f>
        <v>0</v>
      </c>
      <c r="J532" s="262">
        <f>Alukset_Käynnit!J539</f>
        <v>0</v>
      </c>
      <c r="K532" s="262">
        <f>Alukset_Käynnit!K539</f>
        <v>0</v>
      </c>
      <c r="L532" s="205">
        <f>Alukset_Käynnit!L539</f>
        <v>0</v>
      </c>
      <c r="N532" s="273">
        <f t="shared" si="99"/>
        <v>0</v>
      </c>
      <c r="O532" s="274">
        <f t="shared" si="100"/>
        <v>0</v>
      </c>
      <c r="Q532" s="204">
        <f t="shared" si="101"/>
        <v>0</v>
      </c>
      <c r="R532" s="202">
        <f>IF(Q532="Other dry cargo",L532*Alukset_fx!$B$71,IF(OR(Q532="Dry bulk",Q532="Bulk carrier"),L532*Alukset_fx!$B$69,IF(Q532="Tugboat",L532*Alukset_fx!$B$76,IF(OR(Q532="Tanker",Q532="Gas tanker",Q532="Chemical tanker",Q532="Oil tanker"),L532*Alukset_fx!$B$68,IF(OR(Q532="RoRo",Q532="Vehicle carrier"),L532*Alukset_fx!$B$72,IF(Q532="RoPax",L532*Alukset_fx!$B$73,IF(Q532="Container ship",L532*Alukset_fx!$B$70,IF(Q532="Barge",0,L532*Alukset_fx!$B$75))))))))</f>
        <v>0</v>
      </c>
      <c r="S532" s="210">
        <f>IF(L532=0,IF(Q532="Other dry cargo",Alukset_fx!$H$73*(Alukset_Käynnit_Lask!K532^Alukset_fx!$I$73),IF(OR(Q532="Dry Bulk",Q532="Bulk carrier"),Alukset_fx!$H$71*(Alukset_Käynnit_Lask!K532^Alukset_fx!$I$71),IF(Q532="Tugboat",Alukset_fx!$H$78*(Alukset_Käynnit_Lask!K532^Alukset_fx!$I$78),IF(OR(Q532="Tanker",Q532="Gas tanker",Q532="Chemical tanker",Q532="Oil tanker"),Alukset_fx!$H$70*(Alukset_Käynnit_Lask!K532^Alukset_fx!$I$70),IF(Q532="Container ship",Alukset_fx!$H$72*(Alukset_Käynnit_Lask!K532^Alukset_fx!$I$72),IF(Q532="Barge",0,IF(Q532="RoPax",Alukset_fx!$H$75*(Alukset_Käynnit_Lask!K532^Alukset_fx!$I$75),IF(OR(Q532="RoRo",Q532="Vehicle carrier"),Alukset_fx!$H$74*(Alukset_Käynnit_Lask!K532^Alukset_fx!$I$74),Alukset_fx!$H$77*(Alukset_Käynnit_Lask!K532^Alukset_fx!$I$77))))))))),"-")</f>
        <v>0</v>
      </c>
      <c r="T532" s="208">
        <f>IF(R532=0,IF(Q532="Other dry cargo",S532*Alukset_fx!$B$71,IF(OR(Q532="Dry bulk",Q532="Bulk carrier"),S532*Alukset_fx!$B$69,IF(Q532="Tugboat",S532*Alukset_fx!$B$76,IF(OR(Q532="Tanker",Q532="Gas tanker",Q532="Chemical tanker",Q532="Oil tanker"),S532*Alukset_fx!$B$68,IF(OR(Q532="RoRo",Q532="Vehicle carrier"),S532*Alukset_fx!$B$72,IF(Q532="RoPax",S532*Alukset_fx!$B$73,IF(Q532="Container ship",S532*Alukset_fx!$B$70,S532*Alukset_fx!$B$75))))))),"-")</f>
        <v>0</v>
      </c>
      <c r="U532" s="208">
        <f t="shared" si="102"/>
        <v>0</v>
      </c>
      <c r="V532" s="208">
        <f t="shared" si="103"/>
        <v>0</v>
      </c>
      <c r="W532" s="202">
        <f>Alukset_Käynnit!N539</f>
        <v>0</v>
      </c>
      <c r="X532" s="211">
        <f>IF(Q532="Other dry cargo", Alukset_fx!$C$52, IF(OR(Q532="Dry bulk",Q532="Bulk carrier"),Alukset_fx!$C$35,IF(OR(Q532="Tanker",Q532="Gas tanker",Q532="Oil tanker"),Alukset_fx!$C$57,IF(Q532="Chemical tanker",Alukset_fx!$C$56,IF(OR(Q532="Tugboat",Q532="Barge"),0,IF(Q532="Other vessel",Alukset_fx!$C$54,IF(Q532="Container ship",Alukset_fx!$C$37,IF(OR(Q532="RoPax",Q532="RoRo",Q532="Vehicle carrier"),Alukset_fx!$C$55,0))))))))</f>
        <v>0</v>
      </c>
      <c r="Y532" s="211">
        <f>IF(Q532="Other dry cargo", Alukset_fx!$Q$52, IF(OR(Q532="Dry bulk",Q532="Bulk carrier"),Alukset_fx!$Q$35,IF(OR(Q532="Tanker",Q532="Gas tanker",Q532="Oil tanker"),Alukset_fx!$Q$57,IF(Q532="Chemical tanker",Alukset_fx!$Q$56,IF(OR(Q532="Tugboat",Q532="Barge"),0,IF(Q532="Other vessel",Alukset_fx!$Q$54,IF(Q532="Container ship",Alukset_fx!$Q$37,IF(OR(Q532="RoPax",Q532="RoRo",Q532="Vehicle carrier"),Alukset_fx!$Q$55,0))))))))</f>
        <v>0</v>
      </c>
      <c r="Z532" t="str">
        <f t="shared" si="104"/>
        <v>MDO/MGO</v>
      </c>
      <c r="AA532" t="str">
        <f t="shared" si="105"/>
        <v>MSD</v>
      </c>
      <c r="AB532" t="str">
        <f t="shared" si="106"/>
        <v>MDO/MGO</v>
      </c>
      <c r="AC532" t="str">
        <f t="shared" si="107"/>
        <v>MSD</v>
      </c>
      <c r="AD532" t="str">
        <f t="shared" si="108"/>
        <v>MDO/MGO</v>
      </c>
      <c r="AE532" t="str">
        <f t="shared" si="109"/>
        <v>ST</v>
      </c>
      <c r="AG532">
        <f>Alukset_Käynnit!O539</f>
        <v>0</v>
      </c>
      <c r="AH532" s="207">
        <f>IF(AA532="SSD",((U532*Alukset_fx!$B$24)*Alukset_Käynnit_Lask!W532*(Alukset_fx!$K$49)/1000),IF(AA532="MSD",((U532*Alukset_fx!$B$24)*Alukset_Käynnit_Lask!W532*(Alukset_fx!$K$52)/1000),IF(AA532="HSD",((U532*Alukset_fx!$B$24)*Alukset_Käynnit_Lask!W532*(Alukset_fx!$K$55)/1000),0)))</f>
        <v>0</v>
      </c>
      <c r="AI532" s="207">
        <f>IF(AC532="MSD",((V532*Alukset_fx!$B$25)*Alukset_Käynnit_Lask!W532*(Alukset_fx!$L$52)/1000),IF(AC532="HSD",((V532*Alukset_fx!$B$25)*Alukset_Käynnit_Lask!W532*(Alukset_fx!$L$55)/1000),0))</f>
        <v>0</v>
      </c>
      <c r="AJ532" s="207">
        <f>X532*W532*Alukset_fx!$K$61/1000</f>
        <v>0</v>
      </c>
      <c r="AK532">
        <v>0</v>
      </c>
      <c r="AL532" s="207">
        <f>IF(AG532="Käytetty",0,IF(AC532="MSD",((V532*Alukset_fx!$O$25)*Alukset_Käynnit_Lask!O532*(Alukset_fx!$L$52)/1000),IF(AC532="HSD",((V532*Alukset_fx!$O$25)*Alukset_Käynnit_Lask!O532*(Alukset_fx!$L$55)/1000),0)))</f>
        <v>0</v>
      </c>
      <c r="AM532" s="207">
        <f>IF(AG532="Käytetty",0,Y532*O532*Alukset_fx!$K$61/1000)</f>
        <v>0</v>
      </c>
      <c r="AN532" s="213">
        <f t="shared" si="110"/>
        <v>0</v>
      </c>
    </row>
    <row r="533" spans="1:40" x14ac:dyDescent="0.25">
      <c r="A533" s="203">
        <f>Alukset_Käynnit!A540</f>
        <v>0</v>
      </c>
      <c r="B533" s="203">
        <f>Alukset_Käynnit!B540</f>
        <v>0</v>
      </c>
      <c r="C533" s="262">
        <f>Alukset_Käynnit!C540</f>
        <v>0</v>
      </c>
      <c r="D533" s="266">
        <f>Alukset_Käynnit!D540</f>
        <v>0</v>
      </c>
      <c r="E533" s="262">
        <f>Alukset_Käynnit!E540</f>
        <v>0</v>
      </c>
      <c r="F533" s="262">
        <f>Alukset_Käynnit!F540</f>
        <v>0</v>
      </c>
      <c r="G533" s="262">
        <f>Alukset_Käynnit!G540</f>
        <v>0</v>
      </c>
      <c r="H533" s="262">
        <f>Alukset_Käynnit!H540</f>
        <v>0</v>
      </c>
      <c r="I533" s="262">
        <f>Alukset_Käynnit!I540</f>
        <v>0</v>
      </c>
      <c r="J533" s="262">
        <f>Alukset_Käynnit!J540</f>
        <v>0</v>
      </c>
      <c r="K533" s="262">
        <f>Alukset_Käynnit!K540</f>
        <v>0</v>
      </c>
      <c r="L533" s="205">
        <f>Alukset_Käynnit!L540</f>
        <v>0</v>
      </c>
      <c r="N533" s="273">
        <f t="shared" ref="N533:N596" si="111">(B533-A533)*1440</f>
        <v>0</v>
      </c>
      <c r="O533" s="274">
        <f t="shared" ref="O533:O596" si="112">N533/60</f>
        <v>0</v>
      </c>
      <c r="Q533" s="204">
        <f t="shared" si="101"/>
        <v>0</v>
      </c>
      <c r="R533" s="202">
        <f>IF(Q533="Other dry cargo",L533*Alukset_fx!$B$71,IF(OR(Q533="Dry bulk",Q533="Bulk carrier"),L533*Alukset_fx!$B$69,IF(Q533="Tugboat",L533*Alukset_fx!$B$76,IF(OR(Q533="Tanker",Q533="Gas tanker",Q533="Chemical tanker",Q533="Oil tanker"),L533*Alukset_fx!$B$68,IF(OR(Q533="RoRo",Q533="Vehicle carrier"),L533*Alukset_fx!$B$72,IF(Q533="RoPax",L533*Alukset_fx!$B$73,IF(Q533="Container ship",L533*Alukset_fx!$B$70,IF(Q533="Barge",0,L533*Alukset_fx!$B$75))))))))</f>
        <v>0</v>
      </c>
      <c r="S533" s="210">
        <f>IF(L533=0,IF(Q533="Other dry cargo",Alukset_fx!$H$73*(Alukset_Käynnit_Lask!K533^Alukset_fx!$I$73),IF(OR(Q533="Dry Bulk",Q533="Bulk carrier"),Alukset_fx!$H$71*(Alukset_Käynnit_Lask!K533^Alukset_fx!$I$71),IF(Q533="Tugboat",Alukset_fx!$H$78*(Alukset_Käynnit_Lask!K533^Alukset_fx!$I$78),IF(OR(Q533="Tanker",Q533="Gas tanker",Q533="Chemical tanker",Q533="Oil tanker"),Alukset_fx!$H$70*(Alukset_Käynnit_Lask!K533^Alukset_fx!$I$70),IF(Q533="Container ship",Alukset_fx!$H$72*(Alukset_Käynnit_Lask!K533^Alukset_fx!$I$72),IF(Q533="Barge",0,IF(Q533="RoPax",Alukset_fx!$H$75*(Alukset_Käynnit_Lask!K533^Alukset_fx!$I$75),IF(OR(Q533="RoRo",Q533="Vehicle carrier"),Alukset_fx!$H$74*(Alukset_Käynnit_Lask!K533^Alukset_fx!$I$74),Alukset_fx!$H$77*(Alukset_Käynnit_Lask!K533^Alukset_fx!$I$77))))))))),"-")</f>
        <v>0</v>
      </c>
      <c r="T533" s="208">
        <f>IF(R533=0,IF(Q533="Other dry cargo",S533*Alukset_fx!$B$71,IF(OR(Q533="Dry bulk",Q533="Bulk carrier"),S533*Alukset_fx!$B$69,IF(Q533="Tugboat",S533*Alukset_fx!$B$76,IF(OR(Q533="Tanker",Q533="Gas tanker",Q533="Chemical tanker",Q533="Oil tanker"),S533*Alukset_fx!$B$68,IF(OR(Q533="RoRo",Q533="Vehicle carrier"),S533*Alukset_fx!$B$72,IF(Q533="RoPax",S533*Alukset_fx!$B$73,IF(Q533="Container ship",S533*Alukset_fx!$B$70,S533*Alukset_fx!$B$75))))))),"-")</f>
        <v>0</v>
      </c>
      <c r="U533" s="208">
        <f t="shared" si="102"/>
        <v>0</v>
      </c>
      <c r="V533" s="208">
        <f t="shared" si="103"/>
        <v>0</v>
      </c>
      <c r="W533" s="202">
        <f>Alukset_Käynnit!N540</f>
        <v>0</v>
      </c>
      <c r="X533" s="211">
        <f>IF(Q533="Other dry cargo", Alukset_fx!$C$52, IF(OR(Q533="Dry bulk",Q533="Bulk carrier"),Alukset_fx!$C$35,IF(OR(Q533="Tanker",Q533="Gas tanker",Q533="Oil tanker"),Alukset_fx!$C$57,IF(Q533="Chemical tanker",Alukset_fx!$C$56,IF(OR(Q533="Tugboat",Q533="Barge"),0,IF(Q533="Other vessel",Alukset_fx!$C$54,IF(Q533="Container ship",Alukset_fx!$C$37,IF(OR(Q533="RoPax",Q533="RoRo",Q533="Vehicle carrier"),Alukset_fx!$C$55,0))))))))</f>
        <v>0</v>
      </c>
      <c r="Y533" s="211">
        <f>IF(Q533="Other dry cargo", Alukset_fx!$Q$52, IF(OR(Q533="Dry bulk",Q533="Bulk carrier"),Alukset_fx!$Q$35,IF(OR(Q533="Tanker",Q533="Gas tanker",Q533="Oil tanker"),Alukset_fx!$Q$57,IF(Q533="Chemical tanker",Alukset_fx!$Q$56,IF(OR(Q533="Tugboat",Q533="Barge"),0,IF(Q533="Other vessel",Alukset_fx!$Q$54,IF(Q533="Container ship",Alukset_fx!$Q$37,IF(OR(Q533="RoPax",Q533="RoRo",Q533="Vehicle carrier"),Alukset_fx!$Q$55,0))))))))</f>
        <v>0</v>
      </c>
      <c r="Z533" t="str">
        <f t="shared" si="104"/>
        <v>MDO/MGO</v>
      </c>
      <c r="AA533" t="str">
        <f t="shared" si="105"/>
        <v>MSD</v>
      </c>
      <c r="AB533" t="str">
        <f t="shared" si="106"/>
        <v>MDO/MGO</v>
      </c>
      <c r="AC533" t="str">
        <f t="shared" si="107"/>
        <v>MSD</v>
      </c>
      <c r="AD533" t="str">
        <f t="shared" si="108"/>
        <v>MDO/MGO</v>
      </c>
      <c r="AE533" t="str">
        <f t="shared" si="109"/>
        <v>ST</v>
      </c>
      <c r="AG533">
        <f>Alukset_Käynnit!O540</f>
        <v>0</v>
      </c>
      <c r="AH533" s="207">
        <f>IF(AA533="SSD",((U533*Alukset_fx!$B$24)*Alukset_Käynnit_Lask!W533*(Alukset_fx!$K$49)/1000),IF(AA533="MSD",((U533*Alukset_fx!$B$24)*Alukset_Käynnit_Lask!W533*(Alukset_fx!$K$52)/1000),IF(AA533="HSD",((U533*Alukset_fx!$B$24)*Alukset_Käynnit_Lask!W533*(Alukset_fx!$K$55)/1000),0)))</f>
        <v>0</v>
      </c>
      <c r="AI533" s="207">
        <f>IF(AC533="MSD",((V533*Alukset_fx!$B$25)*Alukset_Käynnit_Lask!W533*(Alukset_fx!$L$52)/1000),IF(AC533="HSD",((V533*Alukset_fx!$B$25)*Alukset_Käynnit_Lask!W533*(Alukset_fx!$L$55)/1000),0))</f>
        <v>0</v>
      </c>
      <c r="AJ533" s="207">
        <f>X533*W533*Alukset_fx!$K$61/1000</f>
        <v>0</v>
      </c>
      <c r="AK533">
        <v>0</v>
      </c>
      <c r="AL533" s="207">
        <f>IF(AG533="Käytetty",0,IF(AC533="MSD",((V533*Alukset_fx!$O$25)*Alukset_Käynnit_Lask!O533*(Alukset_fx!$L$52)/1000),IF(AC533="HSD",((V533*Alukset_fx!$O$25)*Alukset_Käynnit_Lask!O533*(Alukset_fx!$L$55)/1000),0)))</f>
        <v>0</v>
      </c>
      <c r="AM533" s="207">
        <f>IF(AG533="Käytetty",0,Y533*O533*Alukset_fx!$K$61/1000)</f>
        <v>0</v>
      </c>
      <c r="AN533" s="213">
        <f t="shared" si="110"/>
        <v>0</v>
      </c>
    </row>
    <row r="534" spans="1:40" x14ac:dyDescent="0.25">
      <c r="A534" s="203">
        <f>Alukset_Käynnit!A541</f>
        <v>0</v>
      </c>
      <c r="B534" s="203">
        <f>Alukset_Käynnit!B541</f>
        <v>0</v>
      </c>
      <c r="C534" s="262">
        <f>Alukset_Käynnit!C541</f>
        <v>0</v>
      </c>
      <c r="D534" s="266">
        <f>Alukset_Käynnit!D541</f>
        <v>0</v>
      </c>
      <c r="E534" s="262">
        <f>Alukset_Käynnit!E541</f>
        <v>0</v>
      </c>
      <c r="F534" s="262">
        <f>Alukset_Käynnit!F541</f>
        <v>0</v>
      </c>
      <c r="G534" s="262">
        <f>Alukset_Käynnit!G541</f>
        <v>0</v>
      </c>
      <c r="H534" s="262">
        <f>Alukset_Käynnit!H541</f>
        <v>0</v>
      </c>
      <c r="I534" s="262">
        <f>Alukset_Käynnit!I541</f>
        <v>0</v>
      </c>
      <c r="J534" s="262">
        <f>Alukset_Käynnit!J541</f>
        <v>0</v>
      </c>
      <c r="K534" s="262">
        <f>Alukset_Käynnit!K541</f>
        <v>0</v>
      </c>
      <c r="L534" s="205">
        <f>Alukset_Käynnit!L541</f>
        <v>0</v>
      </c>
      <c r="N534" s="273">
        <f t="shared" si="111"/>
        <v>0</v>
      </c>
      <c r="O534" s="274">
        <f t="shared" si="112"/>
        <v>0</v>
      </c>
      <c r="Q534" s="204">
        <f t="shared" si="101"/>
        <v>0</v>
      </c>
      <c r="R534" s="202">
        <f>IF(Q534="Other dry cargo",L534*Alukset_fx!$B$71,IF(OR(Q534="Dry bulk",Q534="Bulk carrier"),L534*Alukset_fx!$B$69,IF(Q534="Tugboat",L534*Alukset_fx!$B$76,IF(OR(Q534="Tanker",Q534="Gas tanker",Q534="Chemical tanker",Q534="Oil tanker"),L534*Alukset_fx!$B$68,IF(OR(Q534="RoRo",Q534="Vehicle carrier"),L534*Alukset_fx!$B$72,IF(Q534="RoPax",L534*Alukset_fx!$B$73,IF(Q534="Container ship",L534*Alukset_fx!$B$70,IF(Q534="Barge",0,L534*Alukset_fx!$B$75))))))))</f>
        <v>0</v>
      </c>
      <c r="S534" s="210">
        <f>IF(L534=0,IF(Q534="Other dry cargo",Alukset_fx!$H$73*(Alukset_Käynnit_Lask!K534^Alukset_fx!$I$73),IF(OR(Q534="Dry Bulk",Q534="Bulk carrier"),Alukset_fx!$H$71*(Alukset_Käynnit_Lask!K534^Alukset_fx!$I$71),IF(Q534="Tugboat",Alukset_fx!$H$78*(Alukset_Käynnit_Lask!K534^Alukset_fx!$I$78),IF(OR(Q534="Tanker",Q534="Gas tanker",Q534="Chemical tanker",Q534="Oil tanker"),Alukset_fx!$H$70*(Alukset_Käynnit_Lask!K534^Alukset_fx!$I$70),IF(Q534="Container ship",Alukset_fx!$H$72*(Alukset_Käynnit_Lask!K534^Alukset_fx!$I$72),IF(Q534="Barge",0,IF(Q534="RoPax",Alukset_fx!$H$75*(Alukset_Käynnit_Lask!K534^Alukset_fx!$I$75),IF(OR(Q534="RoRo",Q534="Vehicle carrier"),Alukset_fx!$H$74*(Alukset_Käynnit_Lask!K534^Alukset_fx!$I$74),Alukset_fx!$H$77*(Alukset_Käynnit_Lask!K534^Alukset_fx!$I$77))))))))),"-")</f>
        <v>0</v>
      </c>
      <c r="T534" s="208">
        <f>IF(R534=0,IF(Q534="Other dry cargo",S534*Alukset_fx!$B$71,IF(OR(Q534="Dry bulk",Q534="Bulk carrier"),S534*Alukset_fx!$B$69,IF(Q534="Tugboat",S534*Alukset_fx!$B$76,IF(OR(Q534="Tanker",Q534="Gas tanker",Q534="Chemical tanker",Q534="Oil tanker"),S534*Alukset_fx!$B$68,IF(OR(Q534="RoRo",Q534="Vehicle carrier"),S534*Alukset_fx!$B$72,IF(Q534="RoPax",S534*Alukset_fx!$B$73,IF(Q534="Container ship",S534*Alukset_fx!$B$70,S534*Alukset_fx!$B$75))))))),"-")</f>
        <v>0</v>
      </c>
      <c r="U534" s="208">
        <f t="shared" si="102"/>
        <v>0</v>
      </c>
      <c r="V534" s="208">
        <f t="shared" si="103"/>
        <v>0</v>
      </c>
      <c r="W534" s="202">
        <f>Alukset_Käynnit!N541</f>
        <v>0</v>
      </c>
      <c r="X534" s="211">
        <f>IF(Q534="Other dry cargo", Alukset_fx!$C$52, IF(OR(Q534="Dry bulk",Q534="Bulk carrier"),Alukset_fx!$C$35,IF(OR(Q534="Tanker",Q534="Gas tanker",Q534="Oil tanker"),Alukset_fx!$C$57,IF(Q534="Chemical tanker",Alukset_fx!$C$56,IF(OR(Q534="Tugboat",Q534="Barge"),0,IF(Q534="Other vessel",Alukset_fx!$C$54,IF(Q534="Container ship",Alukset_fx!$C$37,IF(OR(Q534="RoPax",Q534="RoRo",Q534="Vehicle carrier"),Alukset_fx!$C$55,0))))))))</f>
        <v>0</v>
      </c>
      <c r="Y534" s="211">
        <f>IF(Q534="Other dry cargo", Alukset_fx!$Q$52, IF(OR(Q534="Dry bulk",Q534="Bulk carrier"),Alukset_fx!$Q$35,IF(OR(Q534="Tanker",Q534="Gas tanker",Q534="Oil tanker"),Alukset_fx!$Q$57,IF(Q534="Chemical tanker",Alukset_fx!$Q$56,IF(OR(Q534="Tugboat",Q534="Barge"),0,IF(Q534="Other vessel",Alukset_fx!$Q$54,IF(Q534="Container ship",Alukset_fx!$Q$37,IF(OR(Q534="RoPax",Q534="RoRo",Q534="Vehicle carrier"),Alukset_fx!$Q$55,0))))))))</f>
        <v>0</v>
      </c>
      <c r="Z534" t="str">
        <f t="shared" si="104"/>
        <v>MDO/MGO</v>
      </c>
      <c r="AA534" t="str">
        <f t="shared" si="105"/>
        <v>MSD</v>
      </c>
      <c r="AB534" t="str">
        <f t="shared" si="106"/>
        <v>MDO/MGO</v>
      </c>
      <c r="AC534" t="str">
        <f t="shared" si="107"/>
        <v>MSD</v>
      </c>
      <c r="AD534" t="str">
        <f t="shared" si="108"/>
        <v>MDO/MGO</v>
      </c>
      <c r="AE534" t="str">
        <f t="shared" si="109"/>
        <v>ST</v>
      </c>
      <c r="AG534">
        <f>Alukset_Käynnit!O541</f>
        <v>0</v>
      </c>
      <c r="AH534" s="207">
        <f>IF(AA534="SSD",((U534*Alukset_fx!$B$24)*Alukset_Käynnit_Lask!W534*(Alukset_fx!$K$49)/1000),IF(AA534="MSD",((U534*Alukset_fx!$B$24)*Alukset_Käynnit_Lask!W534*(Alukset_fx!$K$52)/1000),IF(AA534="HSD",((U534*Alukset_fx!$B$24)*Alukset_Käynnit_Lask!W534*(Alukset_fx!$K$55)/1000),0)))</f>
        <v>0</v>
      </c>
      <c r="AI534" s="207">
        <f>IF(AC534="MSD",((V534*Alukset_fx!$B$25)*Alukset_Käynnit_Lask!W534*(Alukset_fx!$L$52)/1000),IF(AC534="HSD",((V534*Alukset_fx!$B$25)*Alukset_Käynnit_Lask!W534*(Alukset_fx!$L$55)/1000),0))</f>
        <v>0</v>
      </c>
      <c r="AJ534" s="207">
        <f>X534*W534*Alukset_fx!$K$61/1000</f>
        <v>0</v>
      </c>
      <c r="AK534">
        <v>0</v>
      </c>
      <c r="AL534" s="207">
        <f>IF(AG534="Käytetty",0,IF(AC534="MSD",((V534*Alukset_fx!$O$25)*Alukset_Käynnit_Lask!O534*(Alukset_fx!$L$52)/1000),IF(AC534="HSD",((V534*Alukset_fx!$O$25)*Alukset_Käynnit_Lask!O534*(Alukset_fx!$L$55)/1000),0)))</f>
        <v>0</v>
      </c>
      <c r="AM534" s="207">
        <f>IF(AG534="Käytetty",0,Y534*O534*Alukset_fx!$K$61/1000)</f>
        <v>0</v>
      </c>
      <c r="AN534" s="213">
        <f t="shared" si="110"/>
        <v>0</v>
      </c>
    </row>
    <row r="535" spans="1:40" x14ac:dyDescent="0.25">
      <c r="A535" s="203">
        <f>Alukset_Käynnit!A542</f>
        <v>0</v>
      </c>
      <c r="B535" s="203">
        <f>Alukset_Käynnit!B542</f>
        <v>0</v>
      </c>
      <c r="C535" s="262">
        <f>Alukset_Käynnit!C542</f>
        <v>0</v>
      </c>
      <c r="D535" s="266">
        <f>Alukset_Käynnit!D542</f>
        <v>0</v>
      </c>
      <c r="E535" s="262">
        <f>Alukset_Käynnit!E542</f>
        <v>0</v>
      </c>
      <c r="F535" s="262">
        <f>Alukset_Käynnit!F542</f>
        <v>0</v>
      </c>
      <c r="G535" s="262">
        <f>Alukset_Käynnit!G542</f>
        <v>0</v>
      </c>
      <c r="H535" s="262">
        <f>Alukset_Käynnit!H542</f>
        <v>0</v>
      </c>
      <c r="I535" s="262">
        <f>Alukset_Käynnit!I542</f>
        <v>0</v>
      </c>
      <c r="J535" s="262">
        <f>Alukset_Käynnit!J542</f>
        <v>0</v>
      </c>
      <c r="K535" s="262">
        <f>Alukset_Käynnit!K542</f>
        <v>0</v>
      </c>
      <c r="L535" s="205">
        <f>Alukset_Käynnit!L542</f>
        <v>0</v>
      </c>
      <c r="N535" s="273">
        <f t="shared" si="111"/>
        <v>0</v>
      </c>
      <c r="O535" s="274">
        <f t="shared" si="112"/>
        <v>0</v>
      </c>
      <c r="Q535" s="204">
        <f t="shared" si="101"/>
        <v>0</v>
      </c>
      <c r="R535" s="202">
        <f>IF(Q535="Other dry cargo",L535*Alukset_fx!$B$71,IF(OR(Q535="Dry bulk",Q535="Bulk carrier"),L535*Alukset_fx!$B$69,IF(Q535="Tugboat",L535*Alukset_fx!$B$76,IF(OR(Q535="Tanker",Q535="Gas tanker",Q535="Chemical tanker",Q535="Oil tanker"),L535*Alukset_fx!$B$68,IF(OR(Q535="RoRo",Q535="Vehicle carrier"),L535*Alukset_fx!$B$72,IF(Q535="RoPax",L535*Alukset_fx!$B$73,IF(Q535="Container ship",L535*Alukset_fx!$B$70,IF(Q535="Barge",0,L535*Alukset_fx!$B$75))))))))</f>
        <v>0</v>
      </c>
      <c r="S535" s="210">
        <f>IF(L535=0,IF(Q535="Other dry cargo",Alukset_fx!$H$73*(Alukset_Käynnit_Lask!K535^Alukset_fx!$I$73),IF(OR(Q535="Dry Bulk",Q535="Bulk carrier"),Alukset_fx!$H$71*(Alukset_Käynnit_Lask!K535^Alukset_fx!$I$71),IF(Q535="Tugboat",Alukset_fx!$H$78*(Alukset_Käynnit_Lask!K535^Alukset_fx!$I$78),IF(OR(Q535="Tanker",Q535="Gas tanker",Q535="Chemical tanker",Q535="Oil tanker"),Alukset_fx!$H$70*(Alukset_Käynnit_Lask!K535^Alukset_fx!$I$70),IF(Q535="Container ship",Alukset_fx!$H$72*(Alukset_Käynnit_Lask!K535^Alukset_fx!$I$72),IF(Q535="Barge",0,IF(Q535="RoPax",Alukset_fx!$H$75*(Alukset_Käynnit_Lask!K535^Alukset_fx!$I$75),IF(OR(Q535="RoRo",Q535="Vehicle carrier"),Alukset_fx!$H$74*(Alukset_Käynnit_Lask!K535^Alukset_fx!$I$74),Alukset_fx!$H$77*(Alukset_Käynnit_Lask!K535^Alukset_fx!$I$77))))))))),"-")</f>
        <v>0</v>
      </c>
      <c r="T535" s="208">
        <f>IF(R535=0,IF(Q535="Other dry cargo",S535*Alukset_fx!$B$71,IF(OR(Q535="Dry bulk",Q535="Bulk carrier"),S535*Alukset_fx!$B$69,IF(Q535="Tugboat",S535*Alukset_fx!$B$76,IF(OR(Q535="Tanker",Q535="Gas tanker",Q535="Chemical tanker",Q535="Oil tanker"),S535*Alukset_fx!$B$68,IF(OR(Q535="RoRo",Q535="Vehicle carrier"),S535*Alukset_fx!$B$72,IF(Q535="RoPax",S535*Alukset_fx!$B$73,IF(Q535="Container ship",S535*Alukset_fx!$B$70,S535*Alukset_fx!$B$75))))))),"-")</f>
        <v>0</v>
      </c>
      <c r="U535" s="208">
        <f t="shared" si="102"/>
        <v>0</v>
      </c>
      <c r="V535" s="208">
        <f t="shared" si="103"/>
        <v>0</v>
      </c>
      <c r="W535" s="202">
        <f>Alukset_Käynnit!N542</f>
        <v>0</v>
      </c>
      <c r="X535" s="211">
        <f>IF(Q535="Other dry cargo", Alukset_fx!$C$52, IF(OR(Q535="Dry bulk",Q535="Bulk carrier"),Alukset_fx!$C$35,IF(OR(Q535="Tanker",Q535="Gas tanker",Q535="Oil tanker"),Alukset_fx!$C$57,IF(Q535="Chemical tanker",Alukset_fx!$C$56,IF(OR(Q535="Tugboat",Q535="Barge"),0,IF(Q535="Other vessel",Alukset_fx!$C$54,IF(Q535="Container ship",Alukset_fx!$C$37,IF(OR(Q535="RoPax",Q535="RoRo",Q535="Vehicle carrier"),Alukset_fx!$C$55,0))))))))</f>
        <v>0</v>
      </c>
      <c r="Y535" s="211">
        <f>IF(Q535="Other dry cargo", Alukset_fx!$Q$52, IF(OR(Q535="Dry bulk",Q535="Bulk carrier"),Alukset_fx!$Q$35,IF(OR(Q535="Tanker",Q535="Gas tanker",Q535="Oil tanker"),Alukset_fx!$Q$57,IF(Q535="Chemical tanker",Alukset_fx!$Q$56,IF(OR(Q535="Tugboat",Q535="Barge"),0,IF(Q535="Other vessel",Alukset_fx!$Q$54,IF(Q535="Container ship",Alukset_fx!$Q$37,IF(OR(Q535="RoPax",Q535="RoRo",Q535="Vehicle carrier"),Alukset_fx!$Q$55,0))))))))</f>
        <v>0</v>
      </c>
      <c r="Z535" t="str">
        <f t="shared" si="104"/>
        <v>MDO/MGO</v>
      </c>
      <c r="AA535" t="str">
        <f t="shared" si="105"/>
        <v>MSD</v>
      </c>
      <c r="AB535" t="str">
        <f t="shared" si="106"/>
        <v>MDO/MGO</v>
      </c>
      <c r="AC535" t="str">
        <f t="shared" si="107"/>
        <v>MSD</v>
      </c>
      <c r="AD535" t="str">
        <f t="shared" si="108"/>
        <v>MDO/MGO</v>
      </c>
      <c r="AE535" t="str">
        <f t="shared" si="109"/>
        <v>ST</v>
      </c>
      <c r="AG535">
        <f>Alukset_Käynnit!O542</f>
        <v>0</v>
      </c>
      <c r="AH535" s="207">
        <f>IF(AA535="SSD",((U535*Alukset_fx!$B$24)*Alukset_Käynnit_Lask!W535*(Alukset_fx!$K$49)/1000),IF(AA535="MSD",((U535*Alukset_fx!$B$24)*Alukset_Käynnit_Lask!W535*(Alukset_fx!$K$52)/1000),IF(AA535="HSD",((U535*Alukset_fx!$B$24)*Alukset_Käynnit_Lask!W535*(Alukset_fx!$K$55)/1000),0)))</f>
        <v>0</v>
      </c>
      <c r="AI535" s="207">
        <f>IF(AC535="MSD",((V535*Alukset_fx!$B$25)*Alukset_Käynnit_Lask!W535*(Alukset_fx!$L$52)/1000),IF(AC535="HSD",((V535*Alukset_fx!$B$25)*Alukset_Käynnit_Lask!W535*(Alukset_fx!$L$55)/1000),0))</f>
        <v>0</v>
      </c>
      <c r="AJ535" s="207">
        <f>X535*W535*Alukset_fx!$K$61/1000</f>
        <v>0</v>
      </c>
      <c r="AK535">
        <v>0</v>
      </c>
      <c r="AL535" s="207">
        <f>IF(AG535="Käytetty",0,IF(AC535="MSD",((V535*Alukset_fx!$O$25)*Alukset_Käynnit_Lask!O535*(Alukset_fx!$L$52)/1000),IF(AC535="HSD",((V535*Alukset_fx!$O$25)*Alukset_Käynnit_Lask!O535*(Alukset_fx!$L$55)/1000),0)))</f>
        <v>0</v>
      </c>
      <c r="AM535" s="207">
        <f>IF(AG535="Käytetty",0,Y535*O535*Alukset_fx!$K$61/1000)</f>
        <v>0</v>
      </c>
      <c r="AN535" s="213">
        <f t="shared" si="110"/>
        <v>0</v>
      </c>
    </row>
    <row r="536" spans="1:40" x14ac:dyDescent="0.25">
      <c r="A536" s="203">
        <f>Alukset_Käynnit!A543</f>
        <v>0</v>
      </c>
      <c r="B536" s="203">
        <f>Alukset_Käynnit!B543</f>
        <v>0</v>
      </c>
      <c r="C536" s="262">
        <f>Alukset_Käynnit!C543</f>
        <v>0</v>
      </c>
      <c r="D536" s="266">
        <f>Alukset_Käynnit!D543</f>
        <v>0</v>
      </c>
      <c r="E536" s="262">
        <f>Alukset_Käynnit!E543</f>
        <v>0</v>
      </c>
      <c r="F536" s="262">
        <f>Alukset_Käynnit!F543</f>
        <v>0</v>
      </c>
      <c r="G536" s="262">
        <f>Alukset_Käynnit!G543</f>
        <v>0</v>
      </c>
      <c r="H536" s="262">
        <f>Alukset_Käynnit!H543</f>
        <v>0</v>
      </c>
      <c r="I536" s="262">
        <f>Alukset_Käynnit!I543</f>
        <v>0</v>
      </c>
      <c r="J536" s="262">
        <f>Alukset_Käynnit!J543</f>
        <v>0</v>
      </c>
      <c r="K536" s="262">
        <f>Alukset_Käynnit!K543</f>
        <v>0</v>
      </c>
      <c r="L536" s="205">
        <f>Alukset_Käynnit!L543</f>
        <v>0</v>
      </c>
      <c r="N536" s="273">
        <f t="shared" si="111"/>
        <v>0</v>
      </c>
      <c r="O536" s="274">
        <f t="shared" si="112"/>
        <v>0</v>
      </c>
      <c r="Q536" s="204">
        <f t="shared" si="101"/>
        <v>0</v>
      </c>
      <c r="R536" s="202">
        <f>IF(Q536="Other dry cargo",L536*Alukset_fx!$B$71,IF(OR(Q536="Dry bulk",Q536="Bulk carrier"),L536*Alukset_fx!$B$69,IF(Q536="Tugboat",L536*Alukset_fx!$B$76,IF(OR(Q536="Tanker",Q536="Gas tanker",Q536="Chemical tanker",Q536="Oil tanker"),L536*Alukset_fx!$B$68,IF(OR(Q536="RoRo",Q536="Vehicle carrier"),L536*Alukset_fx!$B$72,IF(Q536="RoPax",L536*Alukset_fx!$B$73,IF(Q536="Container ship",L536*Alukset_fx!$B$70,IF(Q536="Barge",0,L536*Alukset_fx!$B$75))))))))</f>
        <v>0</v>
      </c>
      <c r="S536" s="210">
        <f>IF(L536=0,IF(Q536="Other dry cargo",Alukset_fx!$H$73*(Alukset_Käynnit_Lask!K536^Alukset_fx!$I$73),IF(OR(Q536="Dry Bulk",Q536="Bulk carrier"),Alukset_fx!$H$71*(Alukset_Käynnit_Lask!K536^Alukset_fx!$I$71),IF(Q536="Tugboat",Alukset_fx!$H$78*(Alukset_Käynnit_Lask!K536^Alukset_fx!$I$78),IF(OR(Q536="Tanker",Q536="Gas tanker",Q536="Chemical tanker",Q536="Oil tanker"),Alukset_fx!$H$70*(Alukset_Käynnit_Lask!K536^Alukset_fx!$I$70),IF(Q536="Container ship",Alukset_fx!$H$72*(Alukset_Käynnit_Lask!K536^Alukset_fx!$I$72),IF(Q536="Barge",0,IF(Q536="RoPax",Alukset_fx!$H$75*(Alukset_Käynnit_Lask!K536^Alukset_fx!$I$75),IF(OR(Q536="RoRo",Q536="Vehicle carrier"),Alukset_fx!$H$74*(Alukset_Käynnit_Lask!K536^Alukset_fx!$I$74),Alukset_fx!$H$77*(Alukset_Käynnit_Lask!K536^Alukset_fx!$I$77))))))))),"-")</f>
        <v>0</v>
      </c>
      <c r="T536" s="208">
        <f>IF(R536=0,IF(Q536="Other dry cargo",S536*Alukset_fx!$B$71,IF(OR(Q536="Dry bulk",Q536="Bulk carrier"),S536*Alukset_fx!$B$69,IF(Q536="Tugboat",S536*Alukset_fx!$B$76,IF(OR(Q536="Tanker",Q536="Gas tanker",Q536="Chemical tanker",Q536="Oil tanker"),S536*Alukset_fx!$B$68,IF(OR(Q536="RoRo",Q536="Vehicle carrier"),S536*Alukset_fx!$B$72,IF(Q536="RoPax",S536*Alukset_fx!$B$73,IF(Q536="Container ship",S536*Alukset_fx!$B$70,S536*Alukset_fx!$B$75))))))),"-")</f>
        <v>0</v>
      </c>
      <c r="U536" s="208">
        <f t="shared" si="102"/>
        <v>0</v>
      </c>
      <c r="V536" s="208">
        <f t="shared" si="103"/>
        <v>0</v>
      </c>
      <c r="W536" s="202">
        <f>Alukset_Käynnit!N543</f>
        <v>0</v>
      </c>
      <c r="X536" s="211">
        <f>IF(Q536="Other dry cargo", Alukset_fx!$C$52, IF(OR(Q536="Dry bulk",Q536="Bulk carrier"),Alukset_fx!$C$35,IF(OR(Q536="Tanker",Q536="Gas tanker",Q536="Oil tanker"),Alukset_fx!$C$57,IF(Q536="Chemical tanker",Alukset_fx!$C$56,IF(OR(Q536="Tugboat",Q536="Barge"),0,IF(Q536="Other vessel",Alukset_fx!$C$54,IF(Q536="Container ship",Alukset_fx!$C$37,IF(OR(Q536="RoPax",Q536="RoRo",Q536="Vehicle carrier"),Alukset_fx!$C$55,0))))))))</f>
        <v>0</v>
      </c>
      <c r="Y536" s="211">
        <f>IF(Q536="Other dry cargo", Alukset_fx!$Q$52, IF(OR(Q536="Dry bulk",Q536="Bulk carrier"),Alukset_fx!$Q$35,IF(OR(Q536="Tanker",Q536="Gas tanker",Q536="Oil tanker"),Alukset_fx!$Q$57,IF(Q536="Chemical tanker",Alukset_fx!$Q$56,IF(OR(Q536="Tugboat",Q536="Barge"),0,IF(Q536="Other vessel",Alukset_fx!$Q$54,IF(Q536="Container ship",Alukset_fx!$Q$37,IF(OR(Q536="RoPax",Q536="RoRo",Q536="Vehicle carrier"),Alukset_fx!$Q$55,0))))))))</f>
        <v>0</v>
      </c>
      <c r="Z536" t="str">
        <f t="shared" si="104"/>
        <v>MDO/MGO</v>
      </c>
      <c r="AA536" t="str">
        <f t="shared" si="105"/>
        <v>MSD</v>
      </c>
      <c r="AB536" t="str">
        <f t="shared" si="106"/>
        <v>MDO/MGO</v>
      </c>
      <c r="AC536" t="str">
        <f t="shared" si="107"/>
        <v>MSD</v>
      </c>
      <c r="AD536" t="str">
        <f t="shared" si="108"/>
        <v>MDO/MGO</v>
      </c>
      <c r="AE536" t="str">
        <f t="shared" si="109"/>
        <v>ST</v>
      </c>
      <c r="AG536">
        <f>Alukset_Käynnit!O543</f>
        <v>0</v>
      </c>
      <c r="AH536" s="207">
        <f>IF(AA536="SSD",((U536*Alukset_fx!$B$24)*Alukset_Käynnit_Lask!W536*(Alukset_fx!$K$49)/1000),IF(AA536="MSD",((U536*Alukset_fx!$B$24)*Alukset_Käynnit_Lask!W536*(Alukset_fx!$K$52)/1000),IF(AA536="HSD",((U536*Alukset_fx!$B$24)*Alukset_Käynnit_Lask!W536*(Alukset_fx!$K$55)/1000),0)))</f>
        <v>0</v>
      </c>
      <c r="AI536" s="207">
        <f>IF(AC536="MSD",((V536*Alukset_fx!$B$25)*Alukset_Käynnit_Lask!W536*(Alukset_fx!$L$52)/1000),IF(AC536="HSD",((V536*Alukset_fx!$B$25)*Alukset_Käynnit_Lask!W536*(Alukset_fx!$L$55)/1000),0))</f>
        <v>0</v>
      </c>
      <c r="AJ536" s="207">
        <f>X536*W536*Alukset_fx!$K$61/1000</f>
        <v>0</v>
      </c>
      <c r="AK536">
        <v>0</v>
      </c>
      <c r="AL536" s="207">
        <f>IF(AG536="Käytetty",0,IF(AC536="MSD",((V536*Alukset_fx!$O$25)*Alukset_Käynnit_Lask!O536*(Alukset_fx!$L$52)/1000),IF(AC536="HSD",((V536*Alukset_fx!$O$25)*Alukset_Käynnit_Lask!O536*(Alukset_fx!$L$55)/1000),0)))</f>
        <v>0</v>
      </c>
      <c r="AM536" s="207">
        <f>IF(AG536="Käytetty",0,Y536*O536*Alukset_fx!$K$61/1000)</f>
        <v>0</v>
      </c>
      <c r="AN536" s="213">
        <f t="shared" si="110"/>
        <v>0</v>
      </c>
    </row>
    <row r="537" spans="1:40" x14ac:dyDescent="0.25">
      <c r="A537" s="203">
        <f>Alukset_Käynnit!A544</f>
        <v>0</v>
      </c>
      <c r="B537" s="203">
        <f>Alukset_Käynnit!B544</f>
        <v>0</v>
      </c>
      <c r="C537" s="262">
        <f>Alukset_Käynnit!C544</f>
        <v>0</v>
      </c>
      <c r="D537" s="266">
        <f>Alukset_Käynnit!D544</f>
        <v>0</v>
      </c>
      <c r="E537" s="262">
        <f>Alukset_Käynnit!E544</f>
        <v>0</v>
      </c>
      <c r="F537" s="262">
        <f>Alukset_Käynnit!F544</f>
        <v>0</v>
      </c>
      <c r="G537" s="262">
        <f>Alukset_Käynnit!G544</f>
        <v>0</v>
      </c>
      <c r="H537" s="262">
        <f>Alukset_Käynnit!H544</f>
        <v>0</v>
      </c>
      <c r="I537" s="262">
        <f>Alukset_Käynnit!I544</f>
        <v>0</v>
      </c>
      <c r="J537" s="262">
        <f>Alukset_Käynnit!J544</f>
        <v>0</v>
      </c>
      <c r="K537" s="262">
        <f>Alukset_Käynnit!K544</f>
        <v>0</v>
      </c>
      <c r="L537" s="205">
        <f>Alukset_Käynnit!L544</f>
        <v>0</v>
      </c>
      <c r="N537" s="273">
        <f t="shared" si="111"/>
        <v>0</v>
      </c>
      <c r="O537" s="274">
        <f t="shared" si="112"/>
        <v>0</v>
      </c>
      <c r="Q537" s="204">
        <f t="shared" si="101"/>
        <v>0</v>
      </c>
      <c r="R537" s="202">
        <f>IF(Q537="Other dry cargo",L537*Alukset_fx!$B$71,IF(OR(Q537="Dry bulk",Q537="Bulk carrier"),L537*Alukset_fx!$B$69,IF(Q537="Tugboat",L537*Alukset_fx!$B$76,IF(OR(Q537="Tanker",Q537="Gas tanker",Q537="Chemical tanker",Q537="Oil tanker"),L537*Alukset_fx!$B$68,IF(OR(Q537="RoRo",Q537="Vehicle carrier"),L537*Alukset_fx!$B$72,IF(Q537="RoPax",L537*Alukset_fx!$B$73,IF(Q537="Container ship",L537*Alukset_fx!$B$70,IF(Q537="Barge",0,L537*Alukset_fx!$B$75))))))))</f>
        <v>0</v>
      </c>
      <c r="S537" s="210">
        <f>IF(L537=0,IF(Q537="Other dry cargo",Alukset_fx!$H$73*(Alukset_Käynnit_Lask!K537^Alukset_fx!$I$73),IF(OR(Q537="Dry Bulk",Q537="Bulk carrier"),Alukset_fx!$H$71*(Alukset_Käynnit_Lask!K537^Alukset_fx!$I$71),IF(Q537="Tugboat",Alukset_fx!$H$78*(Alukset_Käynnit_Lask!K537^Alukset_fx!$I$78),IF(OR(Q537="Tanker",Q537="Gas tanker",Q537="Chemical tanker",Q537="Oil tanker"),Alukset_fx!$H$70*(Alukset_Käynnit_Lask!K537^Alukset_fx!$I$70),IF(Q537="Container ship",Alukset_fx!$H$72*(Alukset_Käynnit_Lask!K537^Alukset_fx!$I$72),IF(Q537="Barge",0,IF(Q537="RoPax",Alukset_fx!$H$75*(Alukset_Käynnit_Lask!K537^Alukset_fx!$I$75),IF(OR(Q537="RoRo",Q537="Vehicle carrier"),Alukset_fx!$H$74*(Alukset_Käynnit_Lask!K537^Alukset_fx!$I$74),Alukset_fx!$H$77*(Alukset_Käynnit_Lask!K537^Alukset_fx!$I$77))))))))),"-")</f>
        <v>0</v>
      </c>
      <c r="T537" s="208">
        <f>IF(R537=0,IF(Q537="Other dry cargo",S537*Alukset_fx!$B$71,IF(OR(Q537="Dry bulk",Q537="Bulk carrier"),S537*Alukset_fx!$B$69,IF(Q537="Tugboat",S537*Alukset_fx!$B$76,IF(OR(Q537="Tanker",Q537="Gas tanker",Q537="Chemical tanker",Q537="Oil tanker"),S537*Alukset_fx!$B$68,IF(OR(Q537="RoRo",Q537="Vehicle carrier"),S537*Alukset_fx!$B$72,IF(Q537="RoPax",S537*Alukset_fx!$B$73,IF(Q537="Container ship",S537*Alukset_fx!$B$70,S537*Alukset_fx!$B$75))))))),"-")</f>
        <v>0</v>
      </c>
      <c r="U537" s="208">
        <f t="shared" si="102"/>
        <v>0</v>
      </c>
      <c r="V537" s="208">
        <f t="shared" si="103"/>
        <v>0</v>
      </c>
      <c r="W537" s="202">
        <f>Alukset_Käynnit!N544</f>
        <v>0</v>
      </c>
      <c r="X537" s="211">
        <f>IF(Q537="Other dry cargo", Alukset_fx!$C$52, IF(OR(Q537="Dry bulk",Q537="Bulk carrier"),Alukset_fx!$C$35,IF(OR(Q537="Tanker",Q537="Gas tanker",Q537="Oil tanker"),Alukset_fx!$C$57,IF(Q537="Chemical tanker",Alukset_fx!$C$56,IF(OR(Q537="Tugboat",Q537="Barge"),0,IF(Q537="Other vessel",Alukset_fx!$C$54,IF(Q537="Container ship",Alukset_fx!$C$37,IF(OR(Q537="RoPax",Q537="RoRo",Q537="Vehicle carrier"),Alukset_fx!$C$55,0))))))))</f>
        <v>0</v>
      </c>
      <c r="Y537" s="211">
        <f>IF(Q537="Other dry cargo", Alukset_fx!$Q$52, IF(OR(Q537="Dry bulk",Q537="Bulk carrier"),Alukset_fx!$Q$35,IF(OR(Q537="Tanker",Q537="Gas tanker",Q537="Oil tanker"),Alukset_fx!$Q$57,IF(Q537="Chemical tanker",Alukset_fx!$Q$56,IF(OR(Q537="Tugboat",Q537="Barge"),0,IF(Q537="Other vessel",Alukset_fx!$Q$54,IF(Q537="Container ship",Alukset_fx!$Q$37,IF(OR(Q537="RoPax",Q537="RoRo",Q537="Vehicle carrier"),Alukset_fx!$Q$55,0))))))))</f>
        <v>0</v>
      </c>
      <c r="Z537" t="str">
        <f t="shared" si="104"/>
        <v>MDO/MGO</v>
      </c>
      <c r="AA537" t="str">
        <f t="shared" si="105"/>
        <v>MSD</v>
      </c>
      <c r="AB537" t="str">
        <f t="shared" si="106"/>
        <v>MDO/MGO</v>
      </c>
      <c r="AC537" t="str">
        <f t="shared" si="107"/>
        <v>MSD</v>
      </c>
      <c r="AD537" t="str">
        <f t="shared" si="108"/>
        <v>MDO/MGO</v>
      </c>
      <c r="AE537" t="str">
        <f t="shared" si="109"/>
        <v>ST</v>
      </c>
      <c r="AG537">
        <f>Alukset_Käynnit!O544</f>
        <v>0</v>
      </c>
      <c r="AH537" s="207">
        <f>IF(AA537="SSD",((U537*Alukset_fx!$B$24)*Alukset_Käynnit_Lask!W537*(Alukset_fx!$K$49)/1000),IF(AA537="MSD",((U537*Alukset_fx!$B$24)*Alukset_Käynnit_Lask!W537*(Alukset_fx!$K$52)/1000),IF(AA537="HSD",((U537*Alukset_fx!$B$24)*Alukset_Käynnit_Lask!W537*(Alukset_fx!$K$55)/1000),0)))</f>
        <v>0</v>
      </c>
      <c r="AI537" s="207">
        <f>IF(AC537="MSD",((V537*Alukset_fx!$B$25)*Alukset_Käynnit_Lask!W537*(Alukset_fx!$L$52)/1000),IF(AC537="HSD",((V537*Alukset_fx!$B$25)*Alukset_Käynnit_Lask!W537*(Alukset_fx!$L$55)/1000),0))</f>
        <v>0</v>
      </c>
      <c r="AJ537" s="207">
        <f>X537*W537*Alukset_fx!$K$61/1000</f>
        <v>0</v>
      </c>
      <c r="AK537">
        <v>0</v>
      </c>
      <c r="AL537" s="207">
        <f>IF(AG537="Käytetty",0,IF(AC537="MSD",((V537*Alukset_fx!$O$25)*Alukset_Käynnit_Lask!O537*(Alukset_fx!$L$52)/1000),IF(AC537="HSD",((V537*Alukset_fx!$O$25)*Alukset_Käynnit_Lask!O537*(Alukset_fx!$L$55)/1000),0)))</f>
        <v>0</v>
      </c>
      <c r="AM537" s="207">
        <f>IF(AG537="Käytetty",0,Y537*O537*Alukset_fx!$K$61/1000)</f>
        <v>0</v>
      </c>
      <c r="AN537" s="213">
        <f t="shared" si="110"/>
        <v>0</v>
      </c>
    </row>
    <row r="538" spans="1:40" x14ac:dyDescent="0.25">
      <c r="A538" s="203">
        <f>Alukset_Käynnit!A545</f>
        <v>0</v>
      </c>
      <c r="B538" s="203">
        <f>Alukset_Käynnit!B545</f>
        <v>0</v>
      </c>
      <c r="C538" s="262">
        <f>Alukset_Käynnit!C545</f>
        <v>0</v>
      </c>
      <c r="D538" s="266">
        <f>Alukset_Käynnit!D545</f>
        <v>0</v>
      </c>
      <c r="E538" s="262">
        <f>Alukset_Käynnit!E545</f>
        <v>0</v>
      </c>
      <c r="F538" s="262">
        <f>Alukset_Käynnit!F545</f>
        <v>0</v>
      </c>
      <c r="G538" s="262">
        <f>Alukset_Käynnit!G545</f>
        <v>0</v>
      </c>
      <c r="H538" s="262">
        <f>Alukset_Käynnit!H545</f>
        <v>0</v>
      </c>
      <c r="I538" s="262">
        <f>Alukset_Käynnit!I545</f>
        <v>0</v>
      </c>
      <c r="J538" s="262">
        <f>Alukset_Käynnit!J545</f>
        <v>0</v>
      </c>
      <c r="K538" s="262">
        <f>Alukset_Käynnit!K545</f>
        <v>0</v>
      </c>
      <c r="L538" s="205">
        <f>Alukset_Käynnit!L545</f>
        <v>0</v>
      </c>
      <c r="N538" s="273">
        <f t="shared" si="111"/>
        <v>0</v>
      </c>
      <c r="O538" s="274">
        <f t="shared" si="112"/>
        <v>0</v>
      </c>
      <c r="Q538" s="204">
        <f t="shared" si="101"/>
        <v>0</v>
      </c>
      <c r="R538" s="202">
        <f>IF(Q538="Other dry cargo",L538*Alukset_fx!$B$71,IF(OR(Q538="Dry bulk",Q538="Bulk carrier"),L538*Alukset_fx!$B$69,IF(Q538="Tugboat",L538*Alukset_fx!$B$76,IF(OR(Q538="Tanker",Q538="Gas tanker",Q538="Chemical tanker",Q538="Oil tanker"),L538*Alukset_fx!$B$68,IF(OR(Q538="RoRo",Q538="Vehicle carrier"),L538*Alukset_fx!$B$72,IF(Q538="RoPax",L538*Alukset_fx!$B$73,IF(Q538="Container ship",L538*Alukset_fx!$B$70,IF(Q538="Barge",0,L538*Alukset_fx!$B$75))))))))</f>
        <v>0</v>
      </c>
      <c r="S538" s="210">
        <f>IF(L538=0,IF(Q538="Other dry cargo",Alukset_fx!$H$73*(Alukset_Käynnit_Lask!K538^Alukset_fx!$I$73),IF(OR(Q538="Dry Bulk",Q538="Bulk carrier"),Alukset_fx!$H$71*(Alukset_Käynnit_Lask!K538^Alukset_fx!$I$71),IF(Q538="Tugboat",Alukset_fx!$H$78*(Alukset_Käynnit_Lask!K538^Alukset_fx!$I$78),IF(OR(Q538="Tanker",Q538="Gas tanker",Q538="Chemical tanker",Q538="Oil tanker"),Alukset_fx!$H$70*(Alukset_Käynnit_Lask!K538^Alukset_fx!$I$70),IF(Q538="Container ship",Alukset_fx!$H$72*(Alukset_Käynnit_Lask!K538^Alukset_fx!$I$72),IF(Q538="Barge",0,IF(Q538="RoPax",Alukset_fx!$H$75*(Alukset_Käynnit_Lask!K538^Alukset_fx!$I$75),IF(OR(Q538="RoRo",Q538="Vehicle carrier"),Alukset_fx!$H$74*(Alukset_Käynnit_Lask!K538^Alukset_fx!$I$74),Alukset_fx!$H$77*(Alukset_Käynnit_Lask!K538^Alukset_fx!$I$77))))))))),"-")</f>
        <v>0</v>
      </c>
      <c r="T538" s="208">
        <f>IF(R538=0,IF(Q538="Other dry cargo",S538*Alukset_fx!$B$71,IF(OR(Q538="Dry bulk",Q538="Bulk carrier"),S538*Alukset_fx!$B$69,IF(Q538="Tugboat",S538*Alukset_fx!$B$76,IF(OR(Q538="Tanker",Q538="Gas tanker",Q538="Chemical tanker",Q538="Oil tanker"),S538*Alukset_fx!$B$68,IF(OR(Q538="RoRo",Q538="Vehicle carrier"),S538*Alukset_fx!$B$72,IF(Q538="RoPax",S538*Alukset_fx!$B$73,IF(Q538="Container ship",S538*Alukset_fx!$B$70,S538*Alukset_fx!$B$75))))))),"-")</f>
        <v>0</v>
      </c>
      <c r="U538" s="208">
        <f t="shared" si="102"/>
        <v>0</v>
      </c>
      <c r="V538" s="208">
        <f t="shared" si="103"/>
        <v>0</v>
      </c>
      <c r="W538" s="202">
        <f>Alukset_Käynnit!N545</f>
        <v>0</v>
      </c>
      <c r="X538" s="211">
        <f>IF(Q538="Other dry cargo", Alukset_fx!$C$52, IF(OR(Q538="Dry bulk",Q538="Bulk carrier"),Alukset_fx!$C$35,IF(OR(Q538="Tanker",Q538="Gas tanker",Q538="Oil tanker"),Alukset_fx!$C$57,IF(Q538="Chemical tanker",Alukset_fx!$C$56,IF(OR(Q538="Tugboat",Q538="Barge"),0,IF(Q538="Other vessel",Alukset_fx!$C$54,IF(Q538="Container ship",Alukset_fx!$C$37,IF(OR(Q538="RoPax",Q538="RoRo",Q538="Vehicle carrier"),Alukset_fx!$C$55,0))))))))</f>
        <v>0</v>
      </c>
      <c r="Y538" s="211">
        <f>IF(Q538="Other dry cargo", Alukset_fx!$Q$52, IF(OR(Q538="Dry bulk",Q538="Bulk carrier"),Alukset_fx!$Q$35,IF(OR(Q538="Tanker",Q538="Gas tanker",Q538="Oil tanker"),Alukset_fx!$Q$57,IF(Q538="Chemical tanker",Alukset_fx!$Q$56,IF(OR(Q538="Tugboat",Q538="Barge"),0,IF(Q538="Other vessel",Alukset_fx!$Q$54,IF(Q538="Container ship",Alukset_fx!$Q$37,IF(OR(Q538="RoPax",Q538="RoRo",Q538="Vehicle carrier"),Alukset_fx!$Q$55,0))))))))</f>
        <v>0</v>
      </c>
      <c r="Z538" t="str">
        <f t="shared" si="104"/>
        <v>MDO/MGO</v>
      </c>
      <c r="AA538" t="str">
        <f t="shared" si="105"/>
        <v>MSD</v>
      </c>
      <c r="AB538" t="str">
        <f t="shared" si="106"/>
        <v>MDO/MGO</v>
      </c>
      <c r="AC538" t="str">
        <f t="shared" si="107"/>
        <v>MSD</v>
      </c>
      <c r="AD538" t="str">
        <f t="shared" si="108"/>
        <v>MDO/MGO</v>
      </c>
      <c r="AE538" t="str">
        <f t="shared" si="109"/>
        <v>ST</v>
      </c>
      <c r="AG538">
        <f>Alukset_Käynnit!O545</f>
        <v>0</v>
      </c>
      <c r="AH538" s="207">
        <f>IF(AA538="SSD",((U538*Alukset_fx!$B$24)*Alukset_Käynnit_Lask!W538*(Alukset_fx!$K$49)/1000),IF(AA538="MSD",((U538*Alukset_fx!$B$24)*Alukset_Käynnit_Lask!W538*(Alukset_fx!$K$52)/1000),IF(AA538="HSD",((U538*Alukset_fx!$B$24)*Alukset_Käynnit_Lask!W538*(Alukset_fx!$K$55)/1000),0)))</f>
        <v>0</v>
      </c>
      <c r="AI538" s="207">
        <f>IF(AC538="MSD",((V538*Alukset_fx!$B$25)*Alukset_Käynnit_Lask!W538*(Alukset_fx!$L$52)/1000),IF(AC538="HSD",((V538*Alukset_fx!$B$25)*Alukset_Käynnit_Lask!W538*(Alukset_fx!$L$55)/1000),0))</f>
        <v>0</v>
      </c>
      <c r="AJ538" s="207">
        <f>X538*W538*Alukset_fx!$K$61/1000</f>
        <v>0</v>
      </c>
      <c r="AK538">
        <v>0</v>
      </c>
      <c r="AL538" s="207">
        <f>IF(AG538="Käytetty",0,IF(AC538="MSD",((V538*Alukset_fx!$O$25)*Alukset_Käynnit_Lask!O538*(Alukset_fx!$L$52)/1000),IF(AC538="HSD",((V538*Alukset_fx!$O$25)*Alukset_Käynnit_Lask!O538*(Alukset_fx!$L$55)/1000),0)))</f>
        <v>0</v>
      </c>
      <c r="AM538" s="207">
        <f>IF(AG538="Käytetty",0,Y538*O538*Alukset_fx!$K$61/1000)</f>
        <v>0</v>
      </c>
      <c r="AN538" s="213">
        <f t="shared" si="110"/>
        <v>0</v>
      </c>
    </row>
    <row r="539" spans="1:40" x14ac:dyDescent="0.25">
      <c r="A539" s="203">
        <f>Alukset_Käynnit!A546</f>
        <v>0</v>
      </c>
      <c r="B539" s="203">
        <f>Alukset_Käynnit!B546</f>
        <v>0</v>
      </c>
      <c r="C539" s="262">
        <f>Alukset_Käynnit!C546</f>
        <v>0</v>
      </c>
      <c r="D539" s="266">
        <f>Alukset_Käynnit!D546</f>
        <v>0</v>
      </c>
      <c r="E539" s="262">
        <f>Alukset_Käynnit!E546</f>
        <v>0</v>
      </c>
      <c r="F539" s="262">
        <f>Alukset_Käynnit!F546</f>
        <v>0</v>
      </c>
      <c r="G539" s="262">
        <f>Alukset_Käynnit!G546</f>
        <v>0</v>
      </c>
      <c r="H539" s="262">
        <f>Alukset_Käynnit!H546</f>
        <v>0</v>
      </c>
      <c r="I539" s="262">
        <f>Alukset_Käynnit!I546</f>
        <v>0</v>
      </c>
      <c r="J539" s="262">
        <f>Alukset_Käynnit!J546</f>
        <v>0</v>
      </c>
      <c r="K539" s="262">
        <f>Alukset_Käynnit!K546</f>
        <v>0</v>
      </c>
      <c r="L539" s="205">
        <f>Alukset_Käynnit!L546</f>
        <v>0</v>
      </c>
      <c r="N539" s="273">
        <f t="shared" si="111"/>
        <v>0</v>
      </c>
      <c r="O539" s="274">
        <f t="shared" si="112"/>
        <v>0</v>
      </c>
      <c r="Q539" s="204">
        <f t="shared" si="101"/>
        <v>0</v>
      </c>
      <c r="R539" s="202">
        <f>IF(Q539="Other dry cargo",L539*Alukset_fx!$B$71,IF(OR(Q539="Dry bulk",Q539="Bulk carrier"),L539*Alukset_fx!$B$69,IF(Q539="Tugboat",L539*Alukset_fx!$B$76,IF(OR(Q539="Tanker",Q539="Gas tanker",Q539="Chemical tanker",Q539="Oil tanker"),L539*Alukset_fx!$B$68,IF(OR(Q539="RoRo",Q539="Vehicle carrier"),L539*Alukset_fx!$B$72,IF(Q539="RoPax",L539*Alukset_fx!$B$73,IF(Q539="Container ship",L539*Alukset_fx!$B$70,IF(Q539="Barge",0,L539*Alukset_fx!$B$75))))))))</f>
        <v>0</v>
      </c>
      <c r="S539" s="210">
        <f>IF(L539=0,IF(Q539="Other dry cargo",Alukset_fx!$H$73*(Alukset_Käynnit_Lask!K539^Alukset_fx!$I$73),IF(OR(Q539="Dry Bulk",Q539="Bulk carrier"),Alukset_fx!$H$71*(Alukset_Käynnit_Lask!K539^Alukset_fx!$I$71),IF(Q539="Tugboat",Alukset_fx!$H$78*(Alukset_Käynnit_Lask!K539^Alukset_fx!$I$78),IF(OR(Q539="Tanker",Q539="Gas tanker",Q539="Chemical tanker",Q539="Oil tanker"),Alukset_fx!$H$70*(Alukset_Käynnit_Lask!K539^Alukset_fx!$I$70),IF(Q539="Container ship",Alukset_fx!$H$72*(Alukset_Käynnit_Lask!K539^Alukset_fx!$I$72),IF(Q539="Barge",0,IF(Q539="RoPax",Alukset_fx!$H$75*(Alukset_Käynnit_Lask!K539^Alukset_fx!$I$75),IF(OR(Q539="RoRo",Q539="Vehicle carrier"),Alukset_fx!$H$74*(Alukset_Käynnit_Lask!K539^Alukset_fx!$I$74),Alukset_fx!$H$77*(Alukset_Käynnit_Lask!K539^Alukset_fx!$I$77))))))))),"-")</f>
        <v>0</v>
      </c>
      <c r="T539" s="208">
        <f>IF(R539=0,IF(Q539="Other dry cargo",S539*Alukset_fx!$B$71,IF(OR(Q539="Dry bulk",Q539="Bulk carrier"),S539*Alukset_fx!$B$69,IF(Q539="Tugboat",S539*Alukset_fx!$B$76,IF(OR(Q539="Tanker",Q539="Gas tanker",Q539="Chemical tanker",Q539="Oil tanker"),S539*Alukset_fx!$B$68,IF(OR(Q539="RoRo",Q539="Vehicle carrier"),S539*Alukset_fx!$B$72,IF(Q539="RoPax",S539*Alukset_fx!$B$73,IF(Q539="Container ship",S539*Alukset_fx!$B$70,S539*Alukset_fx!$B$75))))))),"-")</f>
        <v>0</v>
      </c>
      <c r="U539" s="208">
        <f t="shared" si="102"/>
        <v>0</v>
      </c>
      <c r="V539" s="208">
        <f t="shared" si="103"/>
        <v>0</v>
      </c>
      <c r="W539" s="202">
        <f>Alukset_Käynnit!N546</f>
        <v>0</v>
      </c>
      <c r="X539" s="211">
        <f>IF(Q539="Other dry cargo", Alukset_fx!$C$52, IF(OR(Q539="Dry bulk",Q539="Bulk carrier"),Alukset_fx!$C$35,IF(OR(Q539="Tanker",Q539="Gas tanker",Q539="Oil tanker"),Alukset_fx!$C$57,IF(Q539="Chemical tanker",Alukset_fx!$C$56,IF(OR(Q539="Tugboat",Q539="Barge"),0,IF(Q539="Other vessel",Alukset_fx!$C$54,IF(Q539="Container ship",Alukset_fx!$C$37,IF(OR(Q539="RoPax",Q539="RoRo",Q539="Vehicle carrier"),Alukset_fx!$C$55,0))))))))</f>
        <v>0</v>
      </c>
      <c r="Y539" s="211">
        <f>IF(Q539="Other dry cargo", Alukset_fx!$Q$52, IF(OR(Q539="Dry bulk",Q539="Bulk carrier"),Alukset_fx!$Q$35,IF(OR(Q539="Tanker",Q539="Gas tanker",Q539="Oil tanker"),Alukset_fx!$Q$57,IF(Q539="Chemical tanker",Alukset_fx!$Q$56,IF(OR(Q539="Tugboat",Q539="Barge"),0,IF(Q539="Other vessel",Alukset_fx!$Q$54,IF(Q539="Container ship",Alukset_fx!$Q$37,IF(OR(Q539="RoPax",Q539="RoRo",Q539="Vehicle carrier"),Alukset_fx!$Q$55,0))))))))</f>
        <v>0</v>
      </c>
      <c r="Z539" t="str">
        <f t="shared" si="104"/>
        <v>MDO/MGO</v>
      </c>
      <c r="AA539" t="str">
        <f t="shared" si="105"/>
        <v>MSD</v>
      </c>
      <c r="AB539" t="str">
        <f t="shared" si="106"/>
        <v>MDO/MGO</v>
      </c>
      <c r="AC539" t="str">
        <f t="shared" si="107"/>
        <v>MSD</v>
      </c>
      <c r="AD539" t="str">
        <f t="shared" si="108"/>
        <v>MDO/MGO</v>
      </c>
      <c r="AE539" t="str">
        <f t="shared" si="109"/>
        <v>ST</v>
      </c>
      <c r="AG539">
        <f>Alukset_Käynnit!O546</f>
        <v>0</v>
      </c>
      <c r="AH539" s="207">
        <f>IF(AA539="SSD",((U539*Alukset_fx!$B$24)*Alukset_Käynnit_Lask!W539*(Alukset_fx!$K$49)/1000),IF(AA539="MSD",((U539*Alukset_fx!$B$24)*Alukset_Käynnit_Lask!W539*(Alukset_fx!$K$52)/1000),IF(AA539="HSD",((U539*Alukset_fx!$B$24)*Alukset_Käynnit_Lask!W539*(Alukset_fx!$K$55)/1000),0)))</f>
        <v>0</v>
      </c>
      <c r="AI539" s="207">
        <f>IF(AC539="MSD",((V539*Alukset_fx!$B$25)*Alukset_Käynnit_Lask!W539*(Alukset_fx!$L$52)/1000),IF(AC539="HSD",((V539*Alukset_fx!$B$25)*Alukset_Käynnit_Lask!W539*(Alukset_fx!$L$55)/1000),0))</f>
        <v>0</v>
      </c>
      <c r="AJ539" s="207">
        <f>X539*W539*Alukset_fx!$K$61/1000</f>
        <v>0</v>
      </c>
      <c r="AK539">
        <v>0</v>
      </c>
      <c r="AL539" s="207">
        <f>IF(AG539="Käytetty",0,IF(AC539="MSD",((V539*Alukset_fx!$O$25)*Alukset_Käynnit_Lask!O539*(Alukset_fx!$L$52)/1000),IF(AC539="HSD",((V539*Alukset_fx!$O$25)*Alukset_Käynnit_Lask!O539*(Alukset_fx!$L$55)/1000),0)))</f>
        <v>0</v>
      </c>
      <c r="AM539" s="207">
        <f>IF(AG539="Käytetty",0,Y539*O539*Alukset_fx!$K$61/1000)</f>
        <v>0</v>
      </c>
      <c r="AN539" s="213">
        <f t="shared" si="110"/>
        <v>0</v>
      </c>
    </row>
    <row r="540" spans="1:40" x14ac:dyDescent="0.25">
      <c r="A540" s="203">
        <f>Alukset_Käynnit!A547</f>
        <v>0</v>
      </c>
      <c r="B540" s="203">
        <f>Alukset_Käynnit!B547</f>
        <v>0</v>
      </c>
      <c r="C540" s="262">
        <f>Alukset_Käynnit!C547</f>
        <v>0</v>
      </c>
      <c r="D540" s="266">
        <f>Alukset_Käynnit!D547</f>
        <v>0</v>
      </c>
      <c r="E540" s="262">
        <f>Alukset_Käynnit!E547</f>
        <v>0</v>
      </c>
      <c r="F540" s="262">
        <f>Alukset_Käynnit!F547</f>
        <v>0</v>
      </c>
      <c r="G540" s="262">
        <f>Alukset_Käynnit!G547</f>
        <v>0</v>
      </c>
      <c r="H540" s="262">
        <f>Alukset_Käynnit!H547</f>
        <v>0</v>
      </c>
      <c r="I540" s="262">
        <f>Alukset_Käynnit!I547</f>
        <v>0</v>
      </c>
      <c r="J540" s="262">
        <f>Alukset_Käynnit!J547</f>
        <v>0</v>
      </c>
      <c r="K540" s="262">
        <f>Alukset_Käynnit!K547</f>
        <v>0</v>
      </c>
      <c r="L540" s="205">
        <f>Alukset_Käynnit!L547</f>
        <v>0</v>
      </c>
      <c r="N540" s="273">
        <f t="shared" si="111"/>
        <v>0</v>
      </c>
      <c r="O540" s="274">
        <f t="shared" si="112"/>
        <v>0</v>
      </c>
      <c r="Q540" s="204">
        <f t="shared" si="101"/>
        <v>0</v>
      </c>
      <c r="R540" s="202">
        <f>IF(Q540="Other dry cargo",L540*Alukset_fx!$B$71,IF(OR(Q540="Dry bulk",Q540="Bulk carrier"),L540*Alukset_fx!$B$69,IF(Q540="Tugboat",L540*Alukset_fx!$B$76,IF(OR(Q540="Tanker",Q540="Gas tanker",Q540="Chemical tanker",Q540="Oil tanker"),L540*Alukset_fx!$B$68,IF(OR(Q540="RoRo",Q540="Vehicle carrier"),L540*Alukset_fx!$B$72,IF(Q540="RoPax",L540*Alukset_fx!$B$73,IF(Q540="Container ship",L540*Alukset_fx!$B$70,IF(Q540="Barge",0,L540*Alukset_fx!$B$75))))))))</f>
        <v>0</v>
      </c>
      <c r="S540" s="210">
        <f>IF(L540=0,IF(Q540="Other dry cargo",Alukset_fx!$H$73*(Alukset_Käynnit_Lask!K540^Alukset_fx!$I$73),IF(OR(Q540="Dry Bulk",Q540="Bulk carrier"),Alukset_fx!$H$71*(Alukset_Käynnit_Lask!K540^Alukset_fx!$I$71),IF(Q540="Tugboat",Alukset_fx!$H$78*(Alukset_Käynnit_Lask!K540^Alukset_fx!$I$78),IF(OR(Q540="Tanker",Q540="Gas tanker",Q540="Chemical tanker",Q540="Oil tanker"),Alukset_fx!$H$70*(Alukset_Käynnit_Lask!K540^Alukset_fx!$I$70),IF(Q540="Container ship",Alukset_fx!$H$72*(Alukset_Käynnit_Lask!K540^Alukset_fx!$I$72),IF(Q540="Barge",0,IF(Q540="RoPax",Alukset_fx!$H$75*(Alukset_Käynnit_Lask!K540^Alukset_fx!$I$75),IF(OR(Q540="RoRo",Q540="Vehicle carrier"),Alukset_fx!$H$74*(Alukset_Käynnit_Lask!K540^Alukset_fx!$I$74),Alukset_fx!$H$77*(Alukset_Käynnit_Lask!K540^Alukset_fx!$I$77))))))))),"-")</f>
        <v>0</v>
      </c>
      <c r="T540" s="208">
        <f>IF(R540=0,IF(Q540="Other dry cargo",S540*Alukset_fx!$B$71,IF(OR(Q540="Dry bulk",Q540="Bulk carrier"),S540*Alukset_fx!$B$69,IF(Q540="Tugboat",S540*Alukset_fx!$B$76,IF(OR(Q540="Tanker",Q540="Gas tanker",Q540="Chemical tanker",Q540="Oil tanker"),S540*Alukset_fx!$B$68,IF(OR(Q540="RoRo",Q540="Vehicle carrier"),S540*Alukset_fx!$B$72,IF(Q540="RoPax",S540*Alukset_fx!$B$73,IF(Q540="Container ship",S540*Alukset_fx!$B$70,S540*Alukset_fx!$B$75))))))),"-")</f>
        <v>0</v>
      </c>
      <c r="U540" s="208">
        <f t="shared" si="102"/>
        <v>0</v>
      </c>
      <c r="V540" s="208">
        <f t="shared" si="103"/>
        <v>0</v>
      </c>
      <c r="W540" s="202">
        <f>Alukset_Käynnit!N547</f>
        <v>0</v>
      </c>
      <c r="X540" s="211">
        <f>IF(Q540="Other dry cargo", Alukset_fx!$C$52, IF(OR(Q540="Dry bulk",Q540="Bulk carrier"),Alukset_fx!$C$35,IF(OR(Q540="Tanker",Q540="Gas tanker",Q540="Oil tanker"),Alukset_fx!$C$57,IF(Q540="Chemical tanker",Alukset_fx!$C$56,IF(OR(Q540="Tugboat",Q540="Barge"),0,IF(Q540="Other vessel",Alukset_fx!$C$54,IF(Q540="Container ship",Alukset_fx!$C$37,IF(OR(Q540="RoPax",Q540="RoRo",Q540="Vehicle carrier"),Alukset_fx!$C$55,0))))))))</f>
        <v>0</v>
      </c>
      <c r="Y540" s="211">
        <f>IF(Q540="Other dry cargo", Alukset_fx!$Q$52, IF(OR(Q540="Dry bulk",Q540="Bulk carrier"),Alukset_fx!$Q$35,IF(OR(Q540="Tanker",Q540="Gas tanker",Q540="Oil tanker"),Alukset_fx!$Q$57,IF(Q540="Chemical tanker",Alukset_fx!$Q$56,IF(OR(Q540="Tugboat",Q540="Barge"),0,IF(Q540="Other vessel",Alukset_fx!$Q$54,IF(Q540="Container ship",Alukset_fx!$Q$37,IF(OR(Q540="RoPax",Q540="RoRo",Q540="Vehicle carrier"),Alukset_fx!$Q$55,0))))))))</f>
        <v>0</v>
      </c>
      <c r="Z540" t="str">
        <f t="shared" si="104"/>
        <v>MDO/MGO</v>
      </c>
      <c r="AA540" t="str">
        <f t="shared" si="105"/>
        <v>MSD</v>
      </c>
      <c r="AB540" t="str">
        <f t="shared" si="106"/>
        <v>MDO/MGO</v>
      </c>
      <c r="AC540" t="str">
        <f t="shared" si="107"/>
        <v>MSD</v>
      </c>
      <c r="AD540" t="str">
        <f t="shared" si="108"/>
        <v>MDO/MGO</v>
      </c>
      <c r="AE540" t="str">
        <f t="shared" si="109"/>
        <v>ST</v>
      </c>
      <c r="AG540">
        <f>Alukset_Käynnit!O547</f>
        <v>0</v>
      </c>
      <c r="AH540" s="207">
        <f>IF(AA540="SSD",((U540*Alukset_fx!$B$24)*Alukset_Käynnit_Lask!W540*(Alukset_fx!$K$49)/1000),IF(AA540="MSD",((U540*Alukset_fx!$B$24)*Alukset_Käynnit_Lask!W540*(Alukset_fx!$K$52)/1000),IF(AA540="HSD",((U540*Alukset_fx!$B$24)*Alukset_Käynnit_Lask!W540*(Alukset_fx!$K$55)/1000),0)))</f>
        <v>0</v>
      </c>
      <c r="AI540" s="207">
        <f>IF(AC540="MSD",((V540*Alukset_fx!$B$25)*Alukset_Käynnit_Lask!W540*(Alukset_fx!$L$52)/1000),IF(AC540="HSD",((V540*Alukset_fx!$B$25)*Alukset_Käynnit_Lask!W540*(Alukset_fx!$L$55)/1000),0))</f>
        <v>0</v>
      </c>
      <c r="AJ540" s="207">
        <f>X540*W540*Alukset_fx!$K$61/1000</f>
        <v>0</v>
      </c>
      <c r="AK540">
        <v>0</v>
      </c>
      <c r="AL540" s="207">
        <f>IF(AG540="Käytetty",0,IF(AC540="MSD",((V540*Alukset_fx!$O$25)*Alukset_Käynnit_Lask!O540*(Alukset_fx!$L$52)/1000),IF(AC540="HSD",((V540*Alukset_fx!$O$25)*Alukset_Käynnit_Lask!O540*(Alukset_fx!$L$55)/1000),0)))</f>
        <v>0</v>
      </c>
      <c r="AM540" s="207">
        <f>IF(AG540="Käytetty",0,Y540*O540*Alukset_fx!$K$61/1000)</f>
        <v>0</v>
      </c>
      <c r="AN540" s="213">
        <f t="shared" si="110"/>
        <v>0</v>
      </c>
    </row>
    <row r="541" spans="1:40" x14ac:dyDescent="0.25">
      <c r="A541" s="203">
        <f>Alukset_Käynnit!A548</f>
        <v>0</v>
      </c>
      <c r="B541" s="203">
        <f>Alukset_Käynnit!B548</f>
        <v>0</v>
      </c>
      <c r="C541" s="262">
        <f>Alukset_Käynnit!C548</f>
        <v>0</v>
      </c>
      <c r="D541" s="266">
        <f>Alukset_Käynnit!D548</f>
        <v>0</v>
      </c>
      <c r="E541" s="262">
        <f>Alukset_Käynnit!E548</f>
        <v>0</v>
      </c>
      <c r="F541" s="262">
        <f>Alukset_Käynnit!F548</f>
        <v>0</v>
      </c>
      <c r="G541" s="262">
        <f>Alukset_Käynnit!G548</f>
        <v>0</v>
      </c>
      <c r="H541" s="262">
        <f>Alukset_Käynnit!H548</f>
        <v>0</v>
      </c>
      <c r="I541" s="262">
        <f>Alukset_Käynnit!I548</f>
        <v>0</v>
      </c>
      <c r="J541" s="262">
        <f>Alukset_Käynnit!J548</f>
        <v>0</v>
      </c>
      <c r="K541" s="262">
        <f>Alukset_Käynnit!K548</f>
        <v>0</v>
      </c>
      <c r="L541" s="205">
        <f>Alukset_Käynnit!L548</f>
        <v>0</v>
      </c>
      <c r="N541" s="273">
        <f t="shared" si="111"/>
        <v>0</v>
      </c>
      <c r="O541" s="274">
        <f t="shared" si="112"/>
        <v>0</v>
      </c>
      <c r="Q541" s="204">
        <f t="shared" si="101"/>
        <v>0</v>
      </c>
      <c r="R541" s="202">
        <f>IF(Q541="Other dry cargo",L541*Alukset_fx!$B$71,IF(OR(Q541="Dry bulk",Q541="Bulk carrier"),L541*Alukset_fx!$B$69,IF(Q541="Tugboat",L541*Alukset_fx!$B$76,IF(OR(Q541="Tanker",Q541="Gas tanker",Q541="Chemical tanker",Q541="Oil tanker"),L541*Alukset_fx!$B$68,IF(OR(Q541="RoRo",Q541="Vehicle carrier"),L541*Alukset_fx!$B$72,IF(Q541="RoPax",L541*Alukset_fx!$B$73,IF(Q541="Container ship",L541*Alukset_fx!$B$70,IF(Q541="Barge",0,L541*Alukset_fx!$B$75))))))))</f>
        <v>0</v>
      </c>
      <c r="S541" s="210">
        <f>IF(L541=0,IF(Q541="Other dry cargo",Alukset_fx!$H$73*(Alukset_Käynnit_Lask!K541^Alukset_fx!$I$73),IF(OR(Q541="Dry Bulk",Q541="Bulk carrier"),Alukset_fx!$H$71*(Alukset_Käynnit_Lask!K541^Alukset_fx!$I$71),IF(Q541="Tugboat",Alukset_fx!$H$78*(Alukset_Käynnit_Lask!K541^Alukset_fx!$I$78),IF(OR(Q541="Tanker",Q541="Gas tanker",Q541="Chemical tanker",Q541="Oil tanker"),Alukset_fx!$H$70*(Alukset_Käynnit_Lask!K541^Alukset_fx!$I$70),IF(Q541="Container ship",Alukset_fx!$H$72*(Alukset_Käynnit_Lask!K541^Alukset_fx!$I$72),IF(Q541="Barge",0,IF(Q541="RoPax",Alukset_fx!$H$75*(Alukset_Käynnit_Lask!K541^Alukset_fx!$I$75),IF(OR(Q541="RoRo",Q541="Vehicle carrier"),Alukset_fx!$H$74*(Alukset_Käynnit_Lask!K541^Alukset_fx!$I$74),Alukset_fx!$H$77*(Alukset_Käynnit_Lask!K541^Alukset_fx!$I$77))))))))),"-")</f>
        <v>0</v>
      </c>
      <c r="T541" s="208">
        <f>IF(R541=0,IF(Q541="Other dry cargo",S541*Alukset_fx!$B$71,IF(OR(Q541="Dry bulk",Q541="Bulk carrier"),S541*Alukset_fx!$B$69,IF(Q541="Tugboat",S541*Alukset_fx!$B$76,IF(OR(Q541="Tanker",Q541="Gas tanker",Q541="Chemical tanker",Q541="Oil tanker"),S541*Alukset_fx!$B$68,IF(OR(Q541="RoRo",Q541="Vehicle carrier"),S541*Alukset_fx!$B$72,IF(Q541="RoPax",S541*Alukset_fx!$B$73,IF(Q541="Container ship",S541*Alukset_fx!$B$70,S541*Alukset_fx!$B$75))))))),"-")</f>
        <v>0</v>
      </c>
      <c r="U541" s="208">
        <f t="shared" si="102"/>
        <v>0</v>
      </c>
      <c r="V541" s="208">
        <f t="shared" si="103"/>
        <v>0</v>
      </c>
      <c r="W541" s="202">
        <f>Alukset_Käynnit!N548</f>
        <v>0</v>
      </c>
      <c r="X541" s="211">
        <f>IF(Q541="Other dry cargo", Alukset_fx!$C$52, IF(OR(Q541="Dry bulk",Q541="Bulk carrier"),Alukset_fx!$C$35,IF(OR(Q541="Tanker",Q541="Gas tanker",Q541="Oil tanker"),Alukset_fx!$C$57,IF(Q541="Chemical tanker",Alukset_fx!$C$56,IF(OR(Q541="Tugboat",Q541="Barge"),0,IF(Q541="Other vessel",Alukset_fx!$C$54,IF(Q541="Container ship",Alukset_fx!$C$37,IF(OR(Q541="RoPax",Q541="RoRo",Q541="Vehicle carrier"),Alukset_fx!$C$55,0))))))))</f>
        <v>0</v>
      </c>
      <c r="Y541" s="211">
        <f>IF(Q541="Other dry cargo", Alukset_fx!$Q$52, IF(OR(Q541="Dry bulk",Q541="Bulk carrier"),Alukset_fx!$Q$35,IF(OR(Q541="Tanker",Q541="Gas tanker",Q541="Oil tanker"),Alukset_fx!$Q$57,IF(Q541="Chemical tanker",Alukset_fx!$Q$56,IF(OR(Q541="Tugboat",Q541="Barge"),0,IF(Q541="Other vessel",Alukset_fx!$Q$54,IF(Q541="Container ship",Alukset_fx!$Q$37,IF(OR(Q541="RoPax",Q541="RoRo",Q541="Vehicle carrier"),Alukset_fx!$Q$55,0))))))))</f>
        <v>0</v>
      </c>
      <c r="Z541" t="str">
        <f t="shared" si="104"/>
        <v>MDO/MGO</v>
      </c>
      <c r="AA541" t="str">
        <f t="shared" si="105"/>
        <v>MSD</v>
      </c>
      <c r="AB541" t="str">
        <f t="shared" si="106"/>
        <v>MDO/MGO</v>
      </c>
      <c r="AC541" t="str">
        <f t="shared" si="107"/>
        <v>MSD</v>
      </c>
      <c r="AD541" t="str">
        <f t="shared" si="108"/>
        <v>MDO/MGO</v>
      </c>
      <c r="AE541" t="str">
        <f t="shared" si="109"/>
        <v>ST</v>
      </c>
      <c r="AG541">
        <f>Alukset_Käynnit!O548</f>
        <v>0</v>
      </c>
      <c r="AH541" s="207">
        <f>IF(AA541="SSD",((U541*Alukset_fx!$B$24)*Alukset_Käynnit_Lask!W541*(Alukset_fx!$K$49)/1000),IF(AA541="MSD",((U541*Alukset_fx!$B$24)*Alukset_Käynnit_Lask!W541*(Alukset_fx!$K$52)/1000),IF(AA541="HSD",((U541*Alukset_fx!$B$24)*Alukset_Käynnit_Lask!W541*(Alukset_fx!$K$55)/1000),0)))</f>
        <v>0</v>
      </c>
      <c r="AI541" s="207">
        <f>IF(AC541="MSD",((V541*Alukset_fx!$B$25)*Alukset_Käynnit_Lask!W541*(Alukset_fx!$L$52)/1000),IF(AC541="HSD",((V541*Alukset_fx!$B$25)*Alukset_Käynnit_Lask!W541*(Alukset_fx!$L$55)/1000),0))</f>
        <v>0</v>
      </c>
      <c r="AJ541" s="207">
        <f>X541*W541*Alukset_fx!$K$61/1000</f>
        <v>0</v>
      </c>
      <c r="AK541">
        <v>0</v>
      </c>
      <c r="AL541" s="207">
        <f>IF(AG541="Käytetty",0,IF(AC541="MSD",((V541*Alukset_fx!$O$25)*Alukset_Käynnit_Lask!O541*(Alukset_fx!$L$52)/1000),IF(AC541="HSD",((V541*Alukset_fx!$O$25)*Alukset_Käynnit_Lask!O541*(Alukset_fx!$L$55)/1000),0)))</f>
        <v>0</v>
      </c>
      <c r="AM541" s="207">
        <f>IF(AG541="Käytetty",0,Y541*O541*Alukset_fx!$K$61/1000)</f>
        <v>0</v>
      </c>
      <c r="AN541" s="213">
        <f t="shared" si="110"/>
        <v>0</v>
      </c>
    </row>
    <row r="542" spans="1:40" x14ac:dyDescent="0.25">
      <c r="A542" s="203">
        <f>Alukset_Käynnit!A549</f>
        <v>0</v>
      </c>
      <c r="B542" s="203">
        <f>Alukset_Käynnit!B549</f>
        <v>0</v>
      </c>
      <c r="C542" s="262">
        <f>Alukset_Käynnit!C549</f>
        <v>0</v>
      </c>
      <c r="D542" s="266">
        <f>Alukset_Käynnit!D549</f>
        <v>0</v>
      </c>
      <c r="E542" s="262">
        <f>Alukset_Käynnit!E549</f>
        <v>0</v>
      </c>
      <c r="F542" s="262">
        <f>Alukset_Käynnit!F549</f>
        <v>0</v>
      </c>
      <c r="G542" s="262">
        <f>Alukset_Käynnit!G549</f>
        <v>0</v>
      </c>
      <c r="H542" s="262">
        <f>Alukset_Käynnit!H549</f>
        <v>0</v>
      </c>
      <c r="I542" s="262">
        <f>Alukset_Käynnit!I549</f>
        <v>0</v>
      </c>
      <c r="J542" s="262">
        <f>Alukset_Käynnit!J549</f>
        <v>0</v>
      </c>
      <c r="K542" s="262">
        <f>Alukset_Käynnit!K549</f>
        <v>0</v>
      </c>
      <c r="L542" s="205">
        <f>Alukset_Käynnit!L549</f>
        <v>0</v>
      </c>
      <c r="N542" s="273">
        <f t="shared" si="111"/>
        <v>0</v>
      </c>
      <c r="O542" s="274">
        <f t="shared" si="112"/>
        <v>0</v>
      </c>
      <c r="Q542" s="204">
        <f t="shared" si="101"/>
        <v>0</v>
      </c>
      <c r="R542" s="202">
        <f>IF(Q542="Other dry cargo",L542*Alukset_fx!$B$71,IF(OR(Q542="Dry bulk",Q542="Bulk carrier"),L542*Alukset_fx!$B$69,IF(Q542="Tugboat",L542*Alukset_fx!$B$76,IF(OR(Q542="Tanker",Q542="Gas tanker",Q542="Chemical tanker",Q542="Oil tanker"),L542*Alukset_fx!$B$68,IF(OR(Q542="RoRo",Q542="Vehicle carrier"),L542*Alukset_fx!$B$72,IF(Q542="RoPax",L542*Alukset_fx!$B$73,IF(Q542="Container ship",L542*Alukset_fx!$B$70,IF(Q542="Barge",0,L542*Alukset_fx!$B$75))))))))</f>
        <v>0</v>
      </c>
      <c r="S542" s="210">
        <f>IF(L542=0,IF(Q542="Other dry cargo",Alukset_fx!$H$73*(Alukset_Käynnit_Lask!K542^Alukset_fx!$I$73),IF(OR(Q542="Dry Bulk",Q542="Bulk carrier"),Alukset_fx!$H$71*(Alukset_Käynnit_Lask!K542^Alukset_fx!$I$71),IF(Q542="Tugboat",Alukset_fx!$H$78*(Alukset_Käynnit_Lask!K542^Alukset_fx!$I$78),IF(OR(Q542="Tanker",Q542="Gas tanker",Q542="Chemical tanker",Q542="Oil tanker"),Alukset_fx!$H$70*(Alukset_Käynnit_Lask!K542^Alukset_fx!$I$70),IF(Q542="Container ship",Alukset_fx!$H$72*(Alukset_Käynnit_Lask!K542^Alukset_fx!$I$72),IF(Q542="Barge",0,IF(Q542="RoPax",Alukset_fx!$H$75*(Alukset_Käynnit_Lask!K542^Alukset_fx!$I$75),IF(OR(Q542="RoRo",Q542="Vehicle carrier"),Alukset_fx!$H$74*(Alukset_Käynnit_Lask!K542^Alukset_fx!$I$74),Alukset_fx!$H$77*(Alukset_Käynnit_Lask!K542^Alukset_fx!$I$77))))))))),"-")</f>
        <v>0</v>
      </c>
      <c r="T542" s="208">
        <f>IF(R542=0,IF(Q542="Other dry cargo",S542*Alukset_fx!$B$71,IF(OR(Q542="Dry bulk",Q542="Bulk carrier"),S542*Alukset_fx!$B$69,IF(Q542="Tugboat",S542*Alukset_fx!$B$76,IF(OR(Q542="Tanker",Q542="Gas tanker",Q542="Chemical tanker",Q542="Oil tanker"),S542*Alukset_fx!$B$68,IF(OR(Q542="RoRo",Q542="Vehicle carrier"),S542*Alukset_fx!$B$72,IF(Q542="RoPax",S542*Alukset_fx!$B$73,IF(Q542="Container ship",S542*Alukset_fx!$B$70,S542*Alukset_fx!$B$75))))))),"-")</f>
        <v>0</v>
      </c>
      <c r="U542" s="208">
        <f t="shared" si="102"/>
        <v>0</v>
      </c>
      <c r="V542" s="208">
        <f t="shared" si="103"/>
        <v>0</v>
      </c>
      <c r="W542" s="202">
        <f>Alukset_Käynnit!N549</f>
        <v>0</v>
      </c>
      <c r="X542" s="211">
        <f>IF(Q542="Other dry cargo", Alukset_fx!$C$52, IF(OR(Q542="Dry bulk",Q542="Bulk carrier"),Alukset_fx!$C$35,IF(OR(Q542="Tanker",Q542="Gas tanker",Q542="Oil tanker"),Alukset_fx!$C$57,IF(Q542="Chemical tanker",Alukset_fx!$C$56,IF(OR(Q542="Tugboat",Q542="Barge"),0,IF(Q542="Other vessel",Alukset_fx!$C$54,IF(Q542="Container ship",Alukset_fx!$C$37,IF(OR(Q542="RoPax",Q542="RoRo",Q542="Vehicle carrier"),Alukset_fx!$C$55,0))))))))</f>
        <v>0</v>
      </c>
      <c r="Y542" s="211">
        <f>IF(Q542="Other dry cargo", Alukset_fx!$Q$52, IF(OR(Q542="Dry bulk",Q542="Bulk carrier"),Alukset_fx!$Q$35,IF(OR(Q542="Tanker",Q542="Gas tanker",Q542="Oil tanker"),Alukset_fx!$Q$57,IF(Q542="Chemical tanker",Alukset_fx!$Q$56,IF(OR(Q542="Tugboat",Q542="Barge"),0,IF(Q542="Other vessel",Alukset_fx!$Q$54,IF(Q542="Container ship",Alukset_fx!$Q$37,IF(OR(Q542="RoPax",Q542="RoRo",Q542="Vehicle carrier"),Alukset_fx!$Q$55,0))))))))</f>
        <v>0</v>
      </c>
      <c r="Z542" t="str">
        <f t="shared" si="104"/>
        <v>MDO/MGO</v>
      </c>
      <c r="AA542" t="str">
        <f t="shared" si="105"/>
        <v>MSD</v>
      </c>
      <c r="AB542" t="str">
        <f t="shared" si="106"/>
        <v>MDO/MGO</v>
      </c>
      <c r="AC542" t="str">
        <f t="shared" si="107"/>
        <v>MSD</v>
      </c>
      <c r="AD542" t="str">
        <f t="shared" si="108"/>
        <v>MDO/MGO</v>
      </c>
      <c r="AE542" t="str">
        <f t="shared" si="109"/>
        <v>ST</v>
      </c>
      <c r="AG542">
        <f>Alukset_Käynnit!O549</f>
        <v>0</v>
      </c>
      <c r="AH542" s="207">
        <f>IF(AA542="SSD",((U542*Alukset_fx!$B$24)*Alukset_Käynnit_Lask!W542*(Alukset_fx!$K$49)/1000),IF(AA542="MSD",((U542*Alukset_fx!$B$24)*Alukset_Käynnit_Lask!W542*(Alukset_fx!$K$52)/1000),IF(AA542="HSD",((U542*Alukset_fx!$B$24)*Alukset_Käynnit_Lask!W542*(Alukset_fx!$K$55)/1000),0)))</f>
        <v>0</v>
      </c>
      <c r="AI542" s="207">
        <f>IF(AC542="MSD",((V542*Alukset_fx!$B$25)*Alukset_Käynnit_Lask!W542*(Alukset_fx!$L$52)/1000),IF(AC542="HSD",((V542*Alukset_fx!$B$25)*Alukset_Käynnit_Lask!W542*(Alukset_fx!$L$55)/1000),0))</f>
        <v>0</v>
      </c>
      <c r="AJ542" s="207">
        <f>X542*W542*Alukset_fx!$K$61/1000</f>
        <v>0</v>
      </c>
      <c r="AK542">
        <v>0</v>
      </c>
      <c r="AL542" s="207">
        <f>IF(AG542="Käytetty",0,IF(AC542="MSD",((V542*Alukset_fx!$O$25)*Alukset_Käynnit_Lask!O542*(Alukset_fx!$L$52)/1000),IF(AC542="HSD",((V542*Alukset_fx!$O$25)*Alukset_Käynnit_Lask!O542*(Alukset_fx!$L$55)/1000),0)))</f>
        <v>0</v>
      </c>
      <c r="AM542" s="207">
        <f>IF(AG542="Käytetty",0,Y542*O542*Alukset_fx!$K$61/1000)</f>
        <v>0</v>
      </c>
      <c r="AN542" s="213">
        <f t="shared" si="110"/>
        <v>0</v>
      </c>
    </row>
    <row r="543" spans="1:40" x14ac:dyDescent="0.25">
      <c r="A543" s="203">
        <f>Alukset_Käynnit!A550</f>
        <v>0</v>
      </c>
      <c r="B543" s="203">
        <f>Alukset_Käynnit!B550</f>
        <v>0</v>
      </c>
      <c r="C543" s="262">
        <f>Alukset_Käynnit!C550</f>
        <v>0</v>
      </c>
      <c r="D543" s="266">
        <f>Alukset_Käynnit!D550</f>
        <v>0</v>
      </c>
      <c r="E543" s="262">
        <f>Alukset_Käynnit!E550</f>
        <v>0</v>
      </c>
      <c r="F543" s="262">
        <f>Alukset_Käynnit!F550</f>
        <v>0</v>
      </c>
      <c r="G543" s="262">
        <f>Alukset_Käynnit!G550</f>
        <v>0</v>
      </c>
      <c r="H543" s="262">
        <f>Alukset_Käynnit!H550</f>
        <v>0</v>
      </c>
      <c r="I543" s="262">
        <f>Alukset_Käynnit!I550</f>
        <v>0</v>
      </c>
      <c r="J543" s="262">
        <f>Alukset_Käynnit!J550</f>
        <v>0</v>
      </c>
      <c r="K543" s="262">
        <f>Alukset_Käynnit!K550</f>
        <v>0</v>
      </c>
      <c r="L543" s="205">
        <f>Alukset_Käynnit!L550</f>
        <v>0</v>
      </c>
      <c r="N543" s="273">
        <f t="shared" si="111"/>
        <v>0</v>
      </c>
      <c r="O543" s="274">
        <f t="shared" si="112"/>
        <v>0</v>
      </c>
      <c r="Q543" s="204">
        <f t="shared" si="101"/>
        <v>0</v>
      </c>
      <c r="R543" s="202">
        <f>IF(Q543="Other dry cargo",L543*Alukset_fx!$B$71,IF(OR(Q543="Dry bulk",Q543="Bulk carrier"),L543*Alukset_fx!$B$69,IF(Q543="Tugboat",L543*Alukset_fx!$B$76,IF(OR(Q543="Tanker",Q543="Gas tanker",Q543="Chemical tanker",Q543="Oil tanker"),L543*Alukset_fx!$B$68,IF(OR(Q543="RoRo",Q543="Vehicle carrier"),L543*Alukset_fx!$B$72,IF(Q543="RoPax",L543*Alukset_fx!$B$73,IF(Q543="Container ship",L543*Alukset_fx!$B$70,IF(Q543="Barge",0,L543*Alukset_fx!$B$75))))))))</f>
        <v>0</v>
      </c>
      <c r="S543" s="210">
        <f>IF(L543=0,IF(Q543="Other dry cargo",Alukset_fx!$H$73*(Alukset_Käynnit_Lask!K543^Alukset_fx!$I$73),IF(OR(Q543="Dry Bulk",Q543="Bulk carrier"),Alukset_fx!$H$71*(Alukset_Käynnit_Lask!K543^Alukset_fx!$I$71),IF(Q543="Tugboat",Alukset_fx!$H$78*(Alukset_Käynnit_Lask!K543^Alukset_fx!$I$78),IF(OR(Q543="Tanker",Q543="Gas tanker",Q543="Chemical tanker",Q543="Oil tanker"),Alukset_fx!$H$70*(Alukset_Käynnit_Lask!K543^Alukset_fx!$I$70),IF(Q543="Container ship",Alukset_fx!$H$72*(Alukset_Käynnit_Lask!K543^Alukset_fx!$I$72),IF(Q543="Barge",0,IF(Q543="RoPax",Alukset_fx!$H$75*(Alukset_Käynnit_Lask!K543^Alukset_fx!$I$75),IF(OR(Q543="RoRo",Q543="Vehicle carrier"),Alukset_fx!$H$74*(Alukset_Käynnit_Lask!K543^Alukset_fx!$I$74),Alukset_fx!$H$77*(Alukset_Käynnit_Lask!K543^Alukset_fx!$I$77))))))))),"-")</f>
        <v>0</v>
      </c>
      <c r="T543" s="208">
        <f>IF(R543=0,IF(Q543="Other dry cargo",S543*Alukset_fx!$B$71,IF(OR(Q543="Dry bulk",Q543="Bulk carrier"),S543*Alukset_fx!$B$69,IF(Q543="Tugboat",S543*Alukset_fx!$B$76,IF(OR(Q543="Tanker",Q543="Gas tanker",Q543="Chemical tanker",Q543="Oil tanker"),S543*Alukset_fx!$B$68,IF(OR(Q543="RoRo",Q543="Vehicle carrier"),S543*Alukset_fx!$B$72,IF(Q543="RoPax",S543*Alukset_fx!$B$73,IF(Q543="Container ship",S543*Alukset_fx!$B$70,S543*Alukset_fx!$B$75))))))),"-")</f>
        <v>0</v>
      </c>
      <c r="U543" s="208">
        <f t="shared" si="102"/>
        <v>0</v>
      </c>
      <c r="V543" s="208">
        <f t="shared" si="103"/>
        <v>0</v>
      </c>
      <c r="W543" s="202">
        <f>Alukset_Käynnit!N550</f>
        <v>0</v>
      </c>
      <c r="X543" s="211">
        <f>IF(Q543="Other dry cargo", Alukset_fx!$C$52, IF(OR(Q543="Dry bulk",Q543="Bulk carrier"),Alukset_fx!$C$35,IF(OR(Q543="Tanker",Q543="Gas tanker",Q543="Oil tanker"),Alukset_fx!$C$57,IF(Q543="Chemical tanker",Alukset_fx!$C$56,IF(OR(Q543="Tugboat",Q543="Barge"),0,IF(Q543="Other vessel",Alukset_fx!$C$54,IF(Q543="Container ship",Alukset_fx!$C$37,IF(OR(Q543="RoPax",Q543="RoRo",Q543="Vehicle carrier"),Alukset_fx!$C$55,0))))))))</f>
        <v>0</v>
      </c>
      <c r="Y543" s="211">
        <f>IF(Q543="Other dry cargo", Alukset_fx!$Q$52, IF(OR(Q543="Dry bulk",Q543="Bulk carrier"),Alukset_fx!$Q$35,IF(OR(Q543="Tanker",Q543="Gas tanker",Q543="Oil tanker"),Alukset_fx!$Q$57,IF(Q543="Chemical tanker",Alukset_fx!$Q$56,IF(OR(Q543="Tugboat",Q543="Barge"),0,IF(Q543="Other vessel",Alukset_fx!$Q$54,IF(Q543="Container ship",Alukset_fx!$Q$37,IF(OR(Q543="RoPax",Q543="RoRo",Q543="Vehicle carrier"),Alukset_fx!$Q$55,0))))))))</f>
        <v>0</v>
      </c>
      <c r="Z543" t="str">
        <f t="shared" si="104"/>
        <v>MDO/MGO</v>
      </c>
      <c r="AA543" t="str">
        <f t="shared" si="105"/>
        <v>MSD</v>
      </c>
      <c r="AB543" t="str">
        <f t="shared" si="106"/>
        <v>MDO/MGO</v>
      </c>
      <c r="AC543" t="str">
        <f t="shared" si="107"/>
        <v>MSD</v>
      </c>
      <c r="AD543" t="str">
        <f t="shared" si="108"/>
        <v>MDO/MGO</v>
      </c>
      <c r="AE543" t="str">
        <f t="shared" si="109"/>
        <v>ST</v>
      </c>
      <c r="AG543">
        <f>Alukset_Käynnit!O550</f>
        <v>0</v>
      </c>
      <c r="AH543" s="207">
        <f>IF(AA543="SSD",((U543*Alukset_fx!$B$24)*Alukset_Käynnit_Lask!W543*(Alukset_fx!$K$49)/1000),IF(AA543="MSD",((U543*Alukset_fx!$B$24)*Alukset_Käynnit_Lask!W543*(Alukset_fx!$K$52)/1000),IF(AA543="HSD",((U543*Alukset_fx!$B$24)*Alukset_Käynnit_Lask!W543*(Alukset_fx!$K$55)/1000),0)))</f>
        <v>0</v>
      </c>
      <c r="AI543" s="207">
        <f>IF(AC543="MSD",((V543*Alukset_fx!$B$25)*Alukset_Käynnit_Lask!W543*(Alukset_fx!$L$52)/1000),IF(AC543="HSD",((V543*Alukset_fx!$B$25)*Alukset_Käynnit_Lask!W543*(Alukset_fx!$L$55)/1000),0))</f>
        <v>0</v>
      </c>
      <c r="AJ543" s="207">
        <f>X543*W543*Alukset_fx!$K$61/1000</f>
        <v>0</v>
      </c>
      <c r="AK543">
        <v>0</v>
      </c>
      <c r="AL543" s="207">
        <f>IF(AG543="Käytetty",0,IF(AC543="MSD",((V543*Alukset_fx!$O$25)*Alukset_Käynnit_Lask!O543*(Alukset_fx!$L$52)/1000),IF(AC543="HSD",((V543*Alukset_fx!$O$25)*Alukset_Käynnit_Lask!O543*(Alukset_fx!$L$55)/1000),0)))</f>
        <v>0</v>
      </c>
      <c r="AM543" s="207">
        <f>IF(AG543="Käytetty",0,Y543*O543*Alukset_fx!$K$61/1000)</f>
        <v>0</v>
      </c>
      <c r="AN543" s="213">
        <f t="shared" si="110"/>
        <v>0</v>
      </c>
    </row>
    <row r="544" spans="1:40" x14ac:dyDescent="0.25">
      <c r="A544" s="203">
        <f>Alukset_Käynnit!A551</f>
        <v>0</v>
      </c>
      <c r="B544" s="203">
        <f>Alukset_Käynnit!B551</f>
        <v>0</v>
      </c>
      <c r="C544" s="262">
        <f>Alukset_Käynnit!C551</f>
        <v>0</v>
      </c>
      <c r="D544" s="266">
        <f>Alukset_Käynnit!D551</f>
        <v>0</v>
      </c>
      <c r="E544" s="262">
        <f>Alukset_Käynnit!E551</f>
        <v>0</v>
      </c>
      <c r="F544" s="262">
        <f>Alukset_Käynnit!F551</f>
        <v>0</v>
      </c>
      <c r="G544" s="262">
        <f>Alukset_Käynnit!G551</f>
        <v>0</v>
      </c>
      <c r="H544" s="262">
        <f>Alukset_Käynnit!H551</f>
        <v>0</v>
      </c>
      <c r="I544" s="262">
        <f>Alukset_Käynnit!I551</f>
        <v>0</v>
      </c>
      <c r="J544" s="262">
        <f>Alukset_Käynnit!J551</f>
        <v>0</v>
      </c>
      <c r="K544" s="262">
        <f>Alukset_Käynnit!K551</f>
        <v>0</v>
      </c>
      <c r="L544" s="205">
        <f>Alukset_Käynnit!L551</f>
        <v>0</v>
      </c>
      <c r="N544" s="273">
        <f t="shared" si="111"/>
        <v>0</v>
      </c>
      <c r="O544" s="274">
        <f t="shared" si="112"/>
        <v>0</v>
      </c>
      <c r="Q544" s="204">
        <f t="shared" si="101"/>
        <v>0</v>
      </c>
      <c r="R544" s="202">
        <f>IF(Q544="Other dry cargo",L544*Alukset_fx!$B$71,IF(OR(Q544="Dry bulk",Q544="Bulk carrier"),L544*Alukset_fx!$B$69,IF(Q544="Tugboat",L544*Alukset_fx!$B$76,IF(OR(Q544="Tanker",Q544="Gas tanker",Q544="Chemical tanker",Q544="Oil tanker"),L544*Alukset_fx!$B$68,IF(OR(Q544="RoRo",Q544="Vehicle carrier"),L544*Alukset_fx!$B$72,IF(Q544="RoPax",L544*Alukset_fx!$B$73,IF(Q544="Container ship",L544*Alukset_fx!$B$70,IF(Q544="Barge",0,L544*Alukset_fx!$B$75))))))))</f>
        <v>0</v>
      </c>
      <c r="S544" s="210">
        <f>IF(L544=0,IF(Q544="Other dry cargo",Alukset_fx!$H$73*(Alukset_Käynnit_Lask!K544^Alukset_fx!$I$73),IF(OR(Q544="Dry Bulk",Q544="Bulk carrier"),Alukset_fx!$H$71*(Alukset_Käynnit_Lask!K544^Alukset_fx!$I$71),IF(Q544="Tugboat",Alukset_fx!$H$78*(Alukset_Käynnit_Lask!K544^Alukset_fx!$I$78),IF(OR(Q544="Tanker",Q544="Gas tanker",Q544="Chemical tanker",Q544="Oil tanker"),Alukset_fx!$H$70*(Alukset_Käynnit_Lask!K544^Alukset_fx!$I$70),IF(Q544="Container ship",Alukset_fx!$H$72*(Alukset_Käynnit_Lask!K544^Alukset_fx!$I$72),IF(Q544="Barge",0,IF(Q544="RoPax",Alukset_fx!$H$75*(Alukset_Käynnit_Lask!K544^Alukset_fx!$I$75),IF(OR(Q544="RoRo",Q544="Vehicle carrier"),Alukset_fx!$H$74*(Alukset_Käynnit_Lask!K544^Alukset_fx!$I$74),Alukset_fx!$H$77*(Alukset_Käynnit_Lask!K544^Alukset_fx!$I$77))))))))),"-")</f>
        <v>0</v>
      </c>
      <c r="T544" s="208">
        <f>IF(R544=0,IF(Q544="Other dry cargo",S544*Alukset_fx!$B$71,IF(OR(Q544="Dry bulk",Q544="Bulk carrier"),S544*Alukset_fx!$B$69,IF(Q544="Tugboat",S544*Alukset_fx!$B$76,IF(OR(Q544="Tanker",Q544="Gas tanker",Q544="Chemical tanker",Q544="Oil tanker"),S544*Alukset_fx!$B$68,IF(OR(Q544="RoRo",Q544="Vehicle carrier"),S544*Alukset_fx!$B$72,IF(Q544="RoPax",S544*Alukset_fx!$B$73,IF(Q544="Container ship",S544*Alukset_fx!$B$70,S544*Alukset_fx!$B$75))))))),"-")</f>
        <v>0</v>
      </c>
      <c r="U544" s="208">
        <f t="shared" si="102"/>
        <v>0</v>
      </c>
      <c r="V544" s="208">
        <f t="shared" si="103"/>
        <v>0</v>
      </c>
      <c r="W544" s="202">
        <f>Alukset_Käynnit!N551</f>
        <v>0</v>
      </c>
      <c r="X544" s="211">
        <f>IF(Q544="Other dry cargo", Alukset_fx!$C$52, IF(OR(Q544="Dry bulk",Q544="Bulk carrier"),Alukset_fx!$C$35,IF(OR(Q544="Tanker",Q544="Gas tanker",Q544="Oil tanker"),Alukset_fx!$C$57,IF(Q544="Chemical tanker",Alukset_fx!$C$56,IF(OR(Q544="Tugboat",Q544="Barge"),0,IF(Q544="Other vessel",Alukset_fx!$C$54,IF(Q544="Container ship",Alukset_fx!$C$37,IF(OR(Q544="RoPax",Q544="RoRo",Q544="Vehicle carrier"),Alukset_fx!$C$55,0))))))))</f>
        <v>0</v>
      </c>
      <c r="Y544" s="211">
        <f>IF(Q544="Other dry cargo", Alukset_fx!$Q$52, IF(OR(Q544="Dry bulk",Q544="Bulk carrier"),Alukset_fx!$Q$35,IF(OR(Q544="Tanker",Q544="Gas tanker",Q544="Oil tanker"),Alukset_fx!$Q$57,IF(Q544="Chemical tanker",Alukset_fx!$Q$56,IF(OR(Q544="Tugboat",Q544="Barge"),0,IF(Q544="Other vessel",Alukset_fx!$Q$54,IF(Q544="Container ship",Alukset_fx!$Q$37,IF(OR(Q544="RoPax",Q544="RoRo",Q544="Vehicle carrier"),Alukset_fx!$Q$55,0))))))))</f>
        <v>0</v>
      </c>
      <c r="Z544" t="str">
        <f t="shared" si="104"/>
        <v>MDO/MGO</v>
      </c>
      <c r="AA544" t="str">
        <f t="shared" si="105"/>
        <v>MSD</v>
      </c>
      <c r="AB544" t="str">
        <f t="shared" si="106"/>
        <v>MDO/MGO</v>
      </c>
      <c r="AC544" t="str">
        <f t="shared" si="107"/>
        <v>MSD</v>
      </c>
      <c r="AD544" t="str">
        <f t="shared" si="108"/>
        <v>MDO/MGO</v>
      </c>
      <c r="AE544" t="str">
        <f t="shared" si="109"/>
        <v>ST</v>
      </c>
      <c r="AG544">
        <f>Alukset_Käynnit!O551</f>
        <v>0</v>
      </c>
      <c r="AH544" s="207">
        <f>IF(AA544="SSD",((U544*Alukset_fx!$B$24)*Alukset_Käynnit_Lask!W544*(Alukset_fx!$K$49)/1000),IF(AA544="MSD",((U544*Alukset_fx!$B$24)*Alukset_Käynnit_Lask!W544*(Alukset_fx!$K$52)/1000),IF(AA544="HSD",((U544*Alukset_fx!$B$24)*Alukset_Käynnit_Lask!W544*(Alukset_fx!$K$55)/1000),0)))</f>
        <v>0</v>
      </c>
      <c r="AI544" s="207">
        <f>IF(AC544="MSD",((V544*Alukset_fx!$B$25)*Alukset_Käynnit_Lask!W544*(Alukset_fx!$L$52)/1000),IF(AC544="HSD",((V544*Alukset_fx!$B$25)*Alukset_Käynnit_Lask!W544*(Alukset_fx!$L$55)/1000),0))</f>
        <v>0</v>
      </c>
      <c r="AJ544" s="207">
        <f>X544*W544*Alukset_fx!$K$61/1000</f>
        <v>0</v>
      </c>
      <c r="AK544">
        <v>0</v>
      </c>
      <c r="AL544" s="207">
        <f>IF(AG544="Käytetty",0,IF(AC544="MSD",((V544*Alukset_fx!$O$25)*Alukset_Käynnit_Lask!O544*(Alukset_fx!$L$52)/1000),IF(AC544="HSD",((V544*Alukset_fx!$O$25)*Alukset_Käynnit_Lask!O544*(Alukset_fx!$L$55)/1000),0)))</f>
        <v>0</v>
      </c>
      <c r="AM544" s="207">
        <f>IF(AG544="Käytetty",0,Y544*O544*Alukset_fx!$K$61/1000)</f>
        <v>0</v>
      </c>
      <c r="AN544" s="213">
        <f t="shared" si="110"/>
        <v>0</v>
      </c>
    </row>
    <row r="545" spans="1:40" x14ac:dyDescent="0.25">
      <c r="A545" s="203">
        <f>Alukset_Käynnit!A552</f>
        <v>0</v>
      </c>
      <c r="B545" s="203">
        <f>Alukset_Käynnit!B552</f>
        <v>0</v>
      </c>
      <c r="C545" s="262">
        <f>Alukset_Käynnit!C552</f>
        <v>0</v>
      </c>
      <c r="D545" s="266">
        <f>Alukset_Käynnit!D552</f>
        <v>0</v>
      </c>
      <c r="E545" s="262">
        <f>Alukset_Käynnit!E552</f>
        <v>0</v>
      </c>
      <c r="F545" s="262">
        <f>Alukset_Käynnit!F552</f>
        <v>0</v>
      </c>
      <c r="G545" s="262">
        <f>Alukset_Käynnit!G552</f>
        <v>0</v>
      </c>
      <c r="H545" s="262">
        <f>Alukset_Käynnit!H552</f>
        <v>0</v>
      </c>
      <c r="I545" s="262">
        <f>Alukset_Käynnit!I552</f>
        <v>0</v>
      </c>
      <c r="J545" s="262">
        <f>Alukset_Käynnit!J552</f>
        <v>0</v>
      </c>
      <c r="K545" s="262">
        <f>Alukset_Käynnit!K552</f>
        <v>0</v>
      </c>
      <c r="L545" s="205">
        <f>Alukset_Käynnit!L552</f>
        <v>0</v>
      </c>
      <c r="N545" s="273">
        <f t="shared" si="111"/>
        <v>0</v>
      </c>
      <c r="O545" s="274">
        <f t="shared" si="112"/>
        <v>0</v>
      </c>
      <c r="Q545" s="204">
        <f t="shared" si="101"/>
        <v>0</v>
      </c>
      <c r="R545" s="202">
        <f>IF(Q545="Other dry cargo",L545*Alukset_fx!$B$71,IF(OR(Q545="Dry bulk",Q545="Bulk carrier"),L545*Alukset_fx!$B$69,IF(Q545="Tugboat",L545*Alukset_fx!$B$76,IF(OR(Q545="Tanker",Q545="Gas tanker",Q545="Chemical tanker",Q545="Oil tanker"),L545*Alukset_fx!$B$68,IF(OR(Q545="RoRo",Q545="Vehicle carrier"),L545*Alukset_fx!$B$72,IF(Q545="RoPax",L545*Alukset_fx!$B$73,IF(Q545="Container ship",L545*Alukset_fx!$B$70,IF(Q545="Barge",0,L545*Alukset_fx!$B$75))))))))</f>
        <v>0</v>
      </c>
      <c r="S545" s="210">
        <f>IF(L545=0,IF(Q545="Other dry cargo",Alukset_fx!$H$73*(Alukset_Käynnit_Lask!K545^Alukset_fx!$I$73),IF(OR(Q545="Dry Bulk",Q545="Bulk carrier"),Alukset_fx!$H$71*(Alukset_Käynnit_Lask!K545^Alukset_fx!$I$71),IF(Q545="Tugboat",Alukset_fx!$H$78*(Alukset_Käynnit_Lask!K545^Alukset_fx!$I$78),IF(OR(Q545="Tanker",Q545="Gas tanker",Q545="Chemical tanker",Q545="Oil tanker"),Alukset_fx!$H$70*(Alukset_Käynnit_Lask!K545^Alukset_fx!$I$70),IF(Q545="Container ship",Alukset_fx!$H$72*(Alukset_Käynnit_Lask!K545^Alukset_fx!$I$72),IF(Q545="Barge",0,IF(Q545="RoPax",Alukset_fx!$H$75*(Alukset_Käynnit_Lask!K545^Alukset_fx!$I$75),IF(OR(Q545="RoRo",Q545="Vehicle carrier"),Alukset_fx!$H$74*(Alukset_Käynnit_Lask!K545^Alukset_fx!$I$74),Alukset_fx!$H$77*(Alukset_Käynnit_Lask!K545^Alukset_fx!$I$77))))))))),"-")</f>
        <v>0</v>
      </c>
      <c r="T545" s="208">
        <f>IF(R545=0,IF(Q545="Other dry cargo",S545*Alukset_fx!$B$71,IF(OR(Q545="Dry bulk",Q545="Bulk carrier"),S545*Alukset_fx!$B$69,IF(Q545="Tugboat",S545*Alukset_fx!$B$76,IF(OR(Q545="Tanker",Q545="Gas tanker",Q545="Chemical tanker",Q545="Oil tanker"),S545*Alukset_fx!$B$68,IF(OR(Q545="RoRo",Q545="Vehicle carrier"),S545*Alukset_fx!$B$72,IF(Q545="RoPax",S545*Alukset_fx!$B$73,IF(Q545="Container ship",S545*Alukset_fx!$B$70,S545*Alukset_fx!$B$75))))))),"-")</f>
        <v>0</v>
      </c>
      <c r="U545" s="208">
        <f t="shared" si="102"/>
        <v>0</v>
      </c>
      <c r="V545" s="208">
        <f t="shared" si="103"/>
        <v>0</v>
      </c>
      <c r="W545" s="202">
        <f>Alukset_Käynnit!N552</f>
        <v>0</v>
      </c>
      <c r="X545" s="211">
        <f>IF(Q545="Other dry cargo", Alukset_fx!$C$52, IF(OR(Q545="Dry bulk",Q545="Bulk carrier"),Alukset_fx!$C$35,IF(OR(Q545="Tanker",Q545="Gas tanker",Q545="Oil tanker"),Alukset_fx!$C$57,IF(Q545="Chemical tanker",Alukset_fx!$C$56,IF(OR(Q545="Tugboat",Q545="Barge"),0,IF(Q545="Other vessel",Alukset_fx!$C$54,IF(Q545="Container ship",Alukset_fx!$C$37,IF(OR(Q545="RoPax",Q545="RoRo",Q545="Vehicle carrier"),Alukset_fx!$C$55,0))))))))</f>
        <v>0</v>
      </c>
      <c r="Y545" s="211">
        <f>IF(Q545="Other dry cargo", Alukset_fx!$Q$52, IF(OR(Q545="Dry bulk",Q545="Bulk carrier"),Alukset_fx!$Q$35,IF(OR(Q545="Tanker",Q545="Gas tanker",Q545="Oil tanker"),Alukset_fx!$Q$57,IF(Q545="Chemical tanker",Alukset_fx!$Q$56,IF(OR(Q545="Tugboat",Q545="Barge"),0,IF(Q545="Other vessel",Alukset_fx!$Q$54,IF(Q545="Container ship",Alukset_fx!$Q$37,IF(OR(Q545="RoPax",Q545="RoRo",Q545="Vehicle carrier"),Alukset_fx!$Q$55,0))))))))</f>
        <v>0</v>
      </c>
      <c r="Z545" t="str">
        <f t="shared" si="104"/>
        <v>MDO/MGO</v>
      </c>
      <c r="AA545" t="str">
        <f t="shared" si="105"/>
        <v>MSD</v>
      </c>
      <c r="AB545" t="str">
        <f t="shared" si="106"/>
        <v>MDO/MGO</v>
      </c>
      <c r="AC545" t="str">
        <f t="shared" si="107"/>
        <v>MSD</v>
      </c>
      <c r="AD545" t="str">
        <f t="shared" si="108"/>
        <v>MDO/MGO</v>
      </c>
      <c r="AE545" t="str">
        <f t="shared" si="109"/>
        <v>ST</v>
      </c>
      <c r="AG545">
        <f>Alukset_Käynnit!O552</f>
        <v>0</v>
      </c>
      <c r="AH545" s="207">
        <f>IF(AA545="SSD",((U545*Alukset_fx!$B$24)*Alukset_Käynnit_Lask!W545*(Alukset_fx!$K$49)/1000),IF(AA545="MSD",((U545*Alukset_fx!$B$24)*Alukset_Käynnit_Lask!W545*(Alukset_fx!$K$52)/1000),IF(AA545="HSD",((U545*Alukset_fx!$B$24)*Alukset_Käynnit_Lask!W545*(Alukset_fx!$K$55)/1000),0)))</f>
        <v>0</v>
      </c>
      <c r="AI545" s="207">
        <f>IF(AC545="MSD",((V545*Alukset_fx!$B$25)*Alukset_Käynnit_Lask!W545*(Alukset_fx!$L$52)/1000),IF(AC545="HSD",((V545*Alukset_fx!$B$25)*Alukset_Käynnit_Lask!W545*(Alukset_fx!$L$55)/1000),0))</f>
        <v>0</v>
      </c>
      <c r="AJ545" s="207">
        <f>X545*W545*Alukset_fx!$K$61/1000</f>
        <v>0</v>
      </c>
      <c r="AK545">
        <v>0</v>
      </c>
      <c r="AL545" s="207">
        <f>IF(AG545="Käytetty",0,IF(AC545="MSD",((V545*Alukset_fx!$O$25)*Alukset_Käynnit_Lask!O545*(Alukset_fx!$L$52)/1000),IF(AC545="HSD",((V545*Alukset_fx!$O$25)*Alukset_Käynnit_Lask!O545*(Alukset_fx!$L$55)/1000),0)))</f>
        <v>0</v>
      </c>
      <c r="AM545" s="207">
        <f>IF(AG545="Käytetty",0,Y545*O545*Alukset_fx!$K$61/1000)</f>
        <v>0</v>
      </c>
      <c r="AN545" s="213">
        <f t="shared" si="110"/>
        <v>0</v>
      </c>
    </row>
    <row r="546" spans="1:40" x14ac:dyDescent="0.25">
      <c r="A546" s="203">
        <f>Alukset_Käynnit!A553</f>
        <v>0</v>
      </c>
      <c r="B546" s="203">
        <f>Alukset_Käynnit!B553</f>
        <v>0</v>
      </c>
      <c r="C546" s="262">
        <f>Alukset_Käynnit!C553</f>
        <v>0</v>
      </c>
      <c r="D546" s="266">
        <f>Alukset_Käynnit!D553</f>
        <v>0</v>
      </c>
      <c r="E546" s="262">
        <f>Alukset_Käynnit!E553</f>
        <v>0</v>
      </c>
      <c r="F546" s="262">
        <f>Alukset_Käynnit!F553</f>
        <v>0</v>
      </c>
      <c r="G546" s="262">
        <f>Alukset_Käynnit!G553</f>
        <v>0</v>
      </c>
      <c r="H546" s="262">
        <f>Alukset_Käynnit!H553</f>
        <v>0</v>
      </c>
      <c r="I546" s="262">
        <f>Alukset_Käynnit!I553</f>
        <v>0</v>
      </c>
      <c r="J546" s="262">
        <f>Alukset_Käynnit!J553</f>
        <v>0</v>
      </c>
      <c r="K546" s="262">
        <f>Alukset_Käynnit!K553</f>
        <v>0</v>
      </c>
      <c r="L546" s="205">
        <f>Alukset_Käynnit!L553</f>
        <v>0</v>
      </c>
      <c r="N546" s="273">
        <f t="shared" si="111"/>
        <v>0</v>
      </c>
      <c r="O546" s="274">
        <f t="shared" si="112"/>
        <v>0</v>
      </c>
      <c r="Q546" s="204">
        <f t="shared" si="101"/>
        <v>0</v>
      </c>
      <c r="R546" s="202">
        <f>IF(Q546="Other dry cargo",L546*Alukset_fx!$B$71,IF(OR(Q546="Dry bulk",Q546="Bulk carrier"),L546*Alukset_fx!$B$69,IF(Q546="Tugboat",L546*Alukset_fx!$B$76,IF(OR(Q546="Tanker",Q546="Gas tanker",Q546="Chemical tanker",Q546="Oil tanker"),L546*Alukset_fx!$B$68,IF(OR(Q546="RoRo",Q546="Vehicle carrier"),L546*Alukset_fx!$B$72,IF(Q546="RoPax",L546*Alukset_fx!$B$73,IF(Q546="Container ship",L546*Alukset_fx!$B$70,IF(Q546="Barge",0,L546*Alukset_fx!$B$75))))))))</f>
        <v>0</v>
      </c>
      <c r="S546" s="210">
        <f>IF(L546=0,IF(Q546="Other dry cargo",Alukset_fx!$H$73*(Alukset_Käynnit_Lask!K546^Alukset_fx!$I$73),IF(OR(Q546="Dry Bulk",Q546="Bulk carrier"),Alukset_fx!$H$71*(Alukset_Käynnit_Lask!K546^Alukset_fx!$I$71),IF(Q546="Tugboat",Alukset_fx!$H$78*(Alukset_Käynnit_Lask!K546^Alukset_fx!$I$78),IF(OR(Q546="Tanker",Q546="Gas tanker",Q546="Chemical tanker",Q546="Oil tanker"),Alukset_fx!$H$70*(Alukset_Käynnit_Lask!K546^Alukset_fx!$I$70),IF(Q546="Container ship",Alukset_fx!$H$72*(Alukset_Käynnit_Lask!K546^Alukset_fx!$I$72),IF(Q546="Barge",0,IF(Q546="RoPax",Alukset_fx!$H$75*(Alukset_Käynnit_Lask!K546^Alukset_fx!$I$75),IF(OR(Q546="RoRo",Q546="Vehicle carrier"),Alukset_fx!$H$74*(Alukset_Käynnit_Lask!K546^Alukset_fx!$I$74),Alukset_fx!$H$77*(Alukset_Käynnit_Lask!K546^Alukset_fx!$I$77))))))))),"-")</f>
        <v>0</v>
      </c>
      <c r="T546" s="208">
        <f>IF(R546=0,IF(Q546="Other dry cargo",S546*Alukset_fx!$B$71,IF(OR(Q546="Dry bulk",Q546="Bulk carrier"),S546*Alukset_fx!$B$69,IF(Q546="Tugboat",S546*Alukset_fx!$B$76,IF(OR(Q546="Tanker",Q546="Gas tanker",Q546="Chemical tanker",Q546="Oil tanker"),S546*Alukset_fx!$B$68,IF(OR(Q546="RoRo",Q546="Vehicle carrier"),S546*Alukset_fx!$B$72,IF(Q546="RoPax",S546*Alukset_fx!$B$73,IF(Q546="Container ship",S546*Alukset_fx!$B$70,S546*Alukset_fx!$B$75))))))),"-")</f>
        <v>0</v>
      </c>
      <c r="U546" s="208">
        <f t="shared" si="102"/>
        <v>0</v>
      </c>
      <c r="V546" s="208">
        <f t="shared" si="103"/>
        <v>0</v>
      </c>
      <c r="W546" s="202">
        <f>Alukset_Käynnit!N553</f>
        <v>0</v>
      </c>
      <c r="X546" s="211">
        <f>IF(Q546="Other dry cargo", Alukset_fx!$C$52, IF(OR(Q546="Dry bulk",Q546="Bulk carrier"),Alukset_fx!$C$35,IF(OR(Q546="Tanker",Q546="Gas tanker",Q546="Oil tanker"),Alukset_fx!$C$57,IF(Q546="Chemical tanker",Alukset_fx!$C$56,IF(OR(Q546="Tugboat",Q546="Barge"),0,IF(Q546="Other vessel",Alukset_fx!$C$54,IF(Q546="Container ship",Alukset_fx!$C$37,IF(OR(Q546="RoPax",Q546="RoRo",Q546="Vehicle carrier"),Alukset_fx!$C$55,0))))))))</f>
        <v>0</v>
      </c>
      <c r="Y546" s="211">
        <f>IF(Q546="Other dry cargo", Alukset_fx!$Q$52, IF(OR(Q546="Dry bulk",Q546="Bulk carrier"),Alukset_fx!$Q$35,IF(OR(Q546="Tanker",Q546="Gas tanker",Q546="Oil tanker"),Alukset_fx!$Q$57,IF(Q546="Chemical tanker",Alukset_fx!$Q$56,IF(OR(Q546="Tugboat",Q546="Barge"),0,IF(Q546="Other vessel",Alukset_fx!$Q$54,IF(Q546="Container ship",Alukset_fx!$Q$37,IF(OR(Q546="RoPax",Q546="RoRo",Q546="Vehicle carrier"),Alukset_fx!$Q$55,0))))))))</f>
        <v>0</v>
      </c>
      <c r="Z546" t="str">
        <f t="shared" si="104"/>
        <v>MDO/MGO</v>
      </c>
      <c r="AA546" t="str">
        <f t="shared" si="105"/>
        <v>MSD</v>
      </c>
      <c r="AB546" t="str">
        <f t="shared" si="106"/>
        <v>MDO/MGO</v>
      </c>
      <c r="AC546" t="str">
        <f t="shared" si="107"/>
        <v>MSD</v>
      </c>
      <c r="AD546" t="str">
        <f t="shared" si="108"/>
        <v>MDO/MGO</v>
      </c>
      <c r="AE546" t="str">
        <f t="shared" si="109"/>
        <v>ST</v>
      </c>
      <c r="AG546">
        <f>Alukset_Käynnit!O553</f>
        <v>0</v>
      </c>
      <c r="AH546" s="207">
        <f>IF(AA546="SSD",((U546*Alukset_fx!$B$24)*Alukset_Käynnit_Lask!W546*(Alukset_fx!$K$49)/1000),IF(AA546="MSD",((U546*Alukset_fx!$B$24)*Alukset_Käynnit_Lask!W546*(Alukset_fx!$K$52)/1000),IF(AA546="HSD",((U546*Alukset_fx!$B$24)*Alukset_Käynnit_Lask!W546*(Alukset_fx!$K$55)/1000),0)))</f>
        <v>0</v>
      </c>
      <c r="AI546" s="207">
        <f>IF(AC546="MSD",((V546*Alukset_fx!$B$25)*Alukset_Käynnit_Lask!W546*(Alukset_fx!$L$52)/1000),IF(AC546="HSD",((V546*Alukset_fx!$B$25)*Alukset_Käynnit_Lask!W546*(Alukset_fx!$L$55)/1000),0))</f>
        <v>0</v>
      </c>
      <c r="AJ546" s="207">
        <f>X546*W546*Alukset_fx!$K$61/1000</f>
        <v>0</v>
      </c>
      <c r="AK546">
        <v>0</v>
      </c>
      <c r="AL546" s="207">
        <f>IF(AG546="Käytetty",0,IF(AC546="MSD",((V546*Alukset_fx!$O$25)*Alukset_Käynnit_Lask!O546*(Alukset_fx!$L$52)/1000),IF(AC546="HSD",((V546*Alukset_fx!$O$25)*Alukset_Käynnit_Lask!O546*(Alukset_fx!$L$55)/1000),0)))</f>
        <v>0</v>
      </c>
      <c r="AM546" s="207">
        <f>IF(AG546="Käytetty",0,Y546*O546*Alukset_fx!$K$61/1000)</f>
        <v>0</v>
      </c>
      <c r="AN546" s="213">
        <f t="shared" si="110"/>
        <v>0</v>
      </c>
    </row>
    <row r="547" spans="1:40" x14ac:dyDescent="0.25">
      <c r="A547" s="203">
        <f>Alukset_Käynnit!A554</f>
        <v>0</v>
      </c>
      <c r="B547" s="203">
        <f>Alukset_Käynnit!B554</f>
        <v>0</v>
      </c>
      <c r="C547" s="262">
        <f>Alukset_Käynnit!C554</f>
        <v>0</v>
      </c>
      <c r="D547" s="266">
        <f>Alukset_Käynnit!D554</f>
        <v>0</v>
      </c>
      <c r="E547" s="262">
        <f>Alukset_Käynnit!E554</f>
        <v>0</v>
      </c>
      <c r="F547" s="262">
        <f>Alukset_Käynnit!F554</f>
        <v>0</v>
      </c>
      <c r="G547" s="262">
        <f>Alukset_Käynnit!G554</f>
        <v>0</v>
      </c>
      <c r="H547" s="262">
        <f>Alukset_Käynnit!H554</f>
        <v>0</v>
      </c>
      <c r="I547" s="262">
        <f>Alukset_Käynnit!I554</f>
        <v>0</v>
      </c>
      <c r="J547" s="262">
        <f>Alukset_Käynnit!J554</f>
        <v>0</v>
      </c>
      <c r="K547" s="262">
        <f>Alukset_Käynnit!K554</f>
        <v>0</v>
      </c>
      <c r="L547" s="205">
        <f>Alukset_Käynnit!L554</f>
        <v>0</v>
      </c>
      <c r="N547" s="273">
        <f t="shared" si="111"/>
        <v>0</v>
      </c>
      <c r="O547" s="274">
        <f t="shared" si="112"/>
        <v>0</v>
      </c>
      <c r="Q547" s="204">
        <f t="shared" si="101"/>
        <v>0</v>
      </c>
      <c r="R547" s="202">
        <f>IF(Q547="Other dry cargo",L547*Alukset_fx!$B$71,IF(OR(Q547="Dry bulk",Q547="Bulk carrier"),L547*Alukset_fx!$B$69,IF(Q547="Tugboat",L547*Alukset_fx!$B$76,IF(OR(Q547="Tanker",Q547="Gas tanker",Q547="Chemical tanker",Q547="Oil tanker"),L547*Alukset_fx!$B$68,IF(OR(Q547="RoRo",Q547="Vehicle carrier"),L547*Alukset_fx!$B$72,IF(Q547="RoPax",L547*Alukset_fx!$B$73,IF(Q547="Container ship",L547*Alukset_fx!$B$70,IF(Q547="Barge",0,L547*Alukset_fx!$B$75))))))))</f>
        <v>0</v>
      </c>
      <c r="S547" s="210">
        <f>IF(L547=0,IF(Q547="Other dry cargo",Alukset_fx!$H$73*(Alukset_Käynnit_Lask!K547^Alukset_fx!$I$73),IF(OR(Q547="Dry Bulk",Q547="Bulk carrier"),Alukset_fx!$H$71*(Alukset_Käynnit_Lask!K547^Alukset_fx!$I$71),IF(Q547="Tugboat",Alukset_fx!$H$78*(Alukset_Käynnit_Lask!K547^Alukset_fx!$I$78),IF(OR(Q547="Tanker",Q547="Gas tanker",Q547="Chemical tanker",Q547="Oil tanker"),Alukset_fx!$H$70*(Alukset_Käynnit_Lask!K547^Alukset_fx!$I$70),IF(Q547="Container ship",Alukset_fx!$H$72*(Alukset_Käynnit_Lask!K547^Alukset_fx!$I$72),IF(Q547="Barge",0,IF(Q547="RoPax",Alukset_fx!$H$75*(Alukset_Käynnit_Lask!K547^Alukset_fx!$I$75),IF(OR(Q547="RoRo",Q547="Vehicle carrier"),Alukset_fx!$H$74*(Alukset_Käynnit_Lask!K547^Alukset_fx!$I$74),Alukset_fx!$H$77*(Alukset_Käynnit_Lask!K547^Alukset_fx!$I$77))))))))),"-")</f>
        <v>0</v>
      </c>
      <c r="T547" s="208">
        <f>IF(R547=0,IF(Q547="Other dry cargo",S547*Alukset_fx!$B$71,IF(OR(Q547="Dry bulk",Q547="Bulk carrier"),S547*Alukset_fx!$B$69,IF(Q547="Tugboat",S547*Alukset_fx!$B$76,IF(OR(Q547="Tanker",Q547="Gas tanker",Q547="Chemical tanker",Q547="Oil tanker"),S547*Alukset_fx!$B$68,IF(OR(Q547="RoRo",Q547="Vehicle carrier"),S547*Alukset_fx!$B$72,IF(Q547="RoPax",S547*Alukset_fx!$B$73,IF(Q547="Container ship",S547*Alukset_fx!$B$70,S547*Alukset_fx!$B$75))))))),"-")</f>
        <v>0</v>
      </c>
      <c r="U547" s="208">
        <f t="shared" si="102"/>
        <v>0</v>
      </c>
      <c r="V547" s="208">
        <f t="shared" si="103"/>
        <v>0</v>
      </c>
      <c r="W547" s="202">
        <f>Alukset_Käynnit!N554</f>
        <v>0</v>
      </c>
      <c r="X547" s="211">
        <f>IF(Q547="Other dry cargo", Alukset_fx!$C$52, IF(OR(Q547="Dry bulk",Q547="Bulk carrier"),Alukset_fx!$C$35,IF(OR(Q547="Tanker",Q547="Gas tanker",Q547="Oil tanker"),Alukset_fx!$C$57,IF(Q547="Chemical tanker",Alukset_fx!$C$56,IF(OR(Q547="Tugboat",Q547="Barge"),0,IF(Q547="Other vessel",Alukset_fx!$C$54,IF(Q547="Container ship",Alukset_fx!$C$37,IF(OR(Q547="RoPax",Q547="RoRo",Q547="Vehicle carrier"),Alukset_fx!$C$55,0))))))))</f>
        <v>0</v>
      </c>
      <c r="Y547" s="211">
        <f>IF(Q547="Other dry cargo", Alukset_fx!$Q$52, IF(OR(Q547="Dry bulk",Q547="Bulk carrier"),Alukset_fx!$Q$35,IF(OR(Q547="Tanker",Q547="Gas tanker",Q547="Oil tanker"),Alukset_fx!$Q$57,IF(Q547="Chemical tanker",Alukset_fx!$Q$56,IF(OR(Q547="Tugboat",Q547="Barge"),0,IF(Q547="Other vessel",Alukset_fx!$Q$54,IF(Q547="Container ship",Alukset_fx!$Q$37,IF(OR(Q547="RoPax",Q547="RoRo",Q547="Vehicle carrier"),Alukset_fx!$Q$55,0))))))))</f>
        <v>0</v>
      </c>
      <c r="Z547" t="str">
        <f t="shared" si="104"/>
        <v>MDO/MGO</v>
      </c>
      <c r="AA547" t="str">
        <f t="shared" si="105"/>
        <v>MSD</v>
      </c>
      <c r="AB547" t="str">
        <f t="shared" si="106"/>
        <v>MDO/MGO</v>
      </c>
      <c r="AC547" t="str">
        <f t="shared" si="107"/>
        <v>MSD</v>
      </c>
      <c r="AD547" t="str">
        <f t="shared" si="108"/>
        <v>MDO/MGO</v>
      </c>
      <c r="AE547" t="str">
        <f t="shared" si="109"/>
        <v>ST</v>
      </c>
      <c r="AG547">
        <f>Alukset_Käynnit!O554</f>
        <v>0</v>
      </c>
      <c r="AH547" s="207">
        <f>IF(AA547="SSD",((U547*Alukset_fx!$B$24)*Alukset_Käynnit_Lask!W547*(Alukset_fx!$K$49)/1000),IF(AA547="MSD",((U547*Alukset_fx!$B$24)*Alukset_Käynnit_Lask!W547*(Alukset_fx!$K$52)/1000),IF(AA547="HSD",((U547*Alukset_fx!$B$24)*Alukset_Käynnit_Lask!W547*(Alukset_fx!$K$55)/1000),0)))</f>
        <v>0</v>
      </c>
      <c r="AI547" s="207">
        <f>IF(AC547="MSD",((V547*Alukset_fx!$B$25)*Alukset_Käynnit_Lask!W547*(Alukset_fx!$L$52)/1000),IF(AC547="HSD",((V547*Alukset_fx!$B$25)*Alukset_Käynnit_Lask!W547*(Alukset_fx!$L$55)/1000),0))</f>
        <v>0</v>
      </c>
      <c r="AJ547" s="207">
        <f>X547*W547*Alukset_fx!$K$61/1000</f>
        <v>0</v>
      </c>
      <c r="AK547">
        <v>0</v>
      </c>
      <c r="AL547" s="207">
        <f>IF(AG547="Käytetty",0,IF(AC547="MSD",((V547*Alukset_fx!$O$25)*Alukset_Käynnit_Lask!O547*(Alukset_fx!$L$52)/1000),IF(AC547="HSD",((V547*Alukset_fx!$O$25)*Alukset_Käynnit_Lask!O547*(Alukset_fx!$L$55)/1000),0)))</f>
        <v>0</v>
      </c>
      <c r="AM547" s="207">
        <f>IF(AG547="Käytetty",0,Y547*O547*Alukset_fx!$K$61/1000)</f>
        <v>0</v>
      </c>
      <c r="AN547" s="213">
        <f t="shared" si="110"/>
        <v>0</v>
      </c>
    </row>
    <row r="548" spans="1:40" x14ac:dyDescent="0.25">
      <c r="A548" s="203">
        <f>Alukset_Käynnit!A555</f>
        <v>0</v>
      </c>
      <c r="B548" s="203">
        <f>Alukset_Käynnit!B555</f>
        <v>0</v>
      </c>
      <c r="C548" s="262">
        <f>Alukset_Käynnit!C555</f>
        <v>0</v>
      </c>
      <c r="D548" s="266">
        <f>Alukset_Käynnit!D555</f>
        <v>0</v>
      </c>
      <c r="E548" s="262">
        <f>Alukset_Käynnit!E555</f>
        <v>0</v>
      </c>
      <c r="F548" s="262">
        <f>Alukset_Käynnit!F555</f>
        <v>0</v>
      </c>
      <c r="G548" s="262">
        <f>Alukset_Käynnit!G555</f>
        <v>0</v>
      </c>
      <c r="H548" s="262">
        <f>Alukset_Käynnit!H555</f>
        <v>0</v>
      </c>
      <c r="I548" s="262">
        <f>Alukset_Käynnit!I555</f>
        <v>0</v>
      </c>
      <c r="J548" s="262">
        <f>Alukset_Käynnit!J555</f>
        <v>0</v>
      </c>
      <c r="K548" s="262">
        <f>Alukset_Käynnit!K555</f>
        <v>0</v>
      </c>
      <c r="L548" s="205">
        <f>Alukset_Käynnit!L555</f>
        <v>0</v>
      </c>
      <c r="N548" s="273">
        <f t="shared" si="111"/>
        <v>0</v>
      </c>
      <c r="O548" s="274">
        <f t="shared" si="112"/>
        <v>0</v>
      </c>
      <c r="Q548" s="204">
        <f t="shared" si="101"/>
        <v>0</v>
      </c>
      <c r="R548" s="202">
        <f>IF(Q548="Other dry cargo",L548*Alukset_fx!$B$71,IF(OR(Q548="Dry bulk",Q548="Bulk carrier"),L548*Alukset_fx!$B$69,IF(Q548="Tugboat",L548*Alukset_fx!$B$76,IF(OR(Q548="Tanker",Q548="Gas tanker",Q548="Chemical tanker",Q548="Oil tanker"),L548*Alukset_fx!$B$68,IF(OR(Q548="RoRo",Q548="Vehicle carrier"),L548*Alukset_fx!$B$72,IF(Q548="RoPax",L548*Alukset_fx!$B$73,IF(Q548="Container ship",L548*Alukset_fx!$B$70,IF(Q548="Barge",0,L548*Alukset_fx!$B$75))))))))</f>
        <v>0</v>
      </c>
      <c r="S548" s="210">
        <f>IF(L548=0,IF(Q548="Other dry cargo",Alukset_fx!$H$73*(Alukset_Käynnit_Lask!K548^Alukset_fx!$I$73),IF(OR(Q548="Dry Bulk",Q548="Bulk carrier"),Alukset_fx!$H$71*(Alukset_Käynnit_Lask!K548^Alukset_fx!$I$71),IF(Q548="Tugboat",Alukset_fx!$H$78*(Alukset_Käynnit_Lask!K548^Alukset_fx!$I$78),IF(OR(Q548="Tanker",Q548="Gas tanker",Q548="Chemical tanker",Q548="Oil tanker"),Alukset_fx!$H$70*(Alukset_Käynnit_Lask!K548^Alukset_fx!$I$70),IF(Q548="Container ship",Alukset_fx!$H$72*(Alukset_Käynnit_Lask!K548^Alukset_fx!$I$72),IF(Q548="Barge",0,IF(Q548="RoPax",Alukset_fx!$H$75*(Alukset_Käynnit_Lask!K548^Alukset_fx!$I$75),IF(OR(Q548="RoRo",Q548="Vehicle carrier"),Alukset_fx!$H$74*(Alukset_Käynnit_Lask!K548^Alukset_fx!$I$74),Alukset_fx!$H$77*(Alukset_Käynnit_Lask!K548^Alukset_fx!$I$77))))))))),"-")</f>
        <v>0</v>
      </c>
      <c r="T548" s="208">
        <f>IF(R548=0,IF(Q548="Other dry cargo",S548*Alukset_fx!$B$71,IF(OR(Q548="Dry bulk",Q548="Bulk carrier"),S548*Alukset_fx!$B$69,IF(Q548="Tugboat",S548*Alukset_fx!$B$76,IF(OR(Q548="Tanker",Q548="Gas tanker",Q548="Chemical tanker",Q548="Oil tanker"),S548*Alukset_fx!$B$68,IF(OR(Q548="RoRo",Q548="Vehicle carrier"),S548*Alukset_fx!$B$72,IF(Q548="RoPax",S548*Alukset_fx!$B$73,IF(Q548="Container ship",S548*Alukset_fx!$B$70,S548*Alukset_fx!$B$75))))))),"-")</f>
        <v>0</v>
      </c>
      <c r="U548" s="208">
        <f t="shared" si="102"/>
        <v>0</v>
      </c>
      <c r="V548" s="208">
        <f t="shared" si="103"/>
        <v>0</v>
      </c>
      <c r="W548" s="202">
        <f>Alukset_Käynnit!N555</f>
        <v>0</v>
      </c>
      <c r="X548" s="211">
        <f>IF(Q548="Other dry cargo", Alukset_fx!$C$52, IF(OR(Q548="Dry bulk",Q548="Bulk carrier"),Alukset_fx!$C$35,IF(OR(Q548="Tanker",Q548="Gas tanker",Q548="Oil tanker"),Alukset_fx!$C$57,IF(Q548="Chemical tanker",Alukset_fx!$C$56,IF(OR(Q548="Tugboat",Q548="Barge"),0,IF(Q548="Other vessel",Alukset_fx!$C$54,IF(Q548="Container ship",Alukset_fx!$C$37,IF(OR(Q548="RoPax",Q548="RoRo",Q548="Vehicle carrier"),Alukset_fx!$C$55,0))))))))</f>
        <v>0</v>
      </c>
      <c r="Y548" s="211">
        <f>IF(Q548="Other dry cargo", Alukset_fx!$Q$52, IF(OR(Q548="Dry bulk",Q548="Bulk carrier"),Alukset_fx!$Q$35,IF(OR(Q548="Tanker",Q548="Gas tanker",Q548="Oil tanker"),Alukset_fx!$Q$57,IF(Q548="Chemical tanker",Alukset_fx!$Q$56,IF(OR(Q548="Tugboat",Q548="Barge"),0,IF(Q548="Other vessel",Alukset_fx!$Q$54,IF(Q548="Container ship",Alukset_fx!$Q$37,IF(OR(Q548="RoPax",Q548="RoRo",Q548="Vehicle carrier"),Alukset_fx!$Q$55,0))))))))</f>
        <v>0</v>
      </c>
      <c r="Z548" t="str">
        <f t="shared" si="104"/>
        <v>MDO/MGO</v>
      </c>
      <c r="AA548" t="str">
        <f t="shared" si="105"/>
        <v>MSD</v>
      </c>
      <c r="AB548" t="str">
        <f t="shared" si="106"/>
        <v>MDO/MGO</v>
      </c>
      <c r="AC548" t="str">
        <f t="shared" si="107"/>
        <v>MSD</v>
      </c>
      <c r="AD548" t="str">
        <f t="shared" si="108"/>
        <v>MDO/MGO</v>
      </c>
      <c r="AE548" t="str">
        <f t="shared" si="109"/>
        <v>ST</v>
      </c>
      <c r="AG548">
        <f>Alukset_Käynnit!O555</f>
        <v>0</v>
      </c>
      <c r="AH548" s="207">
        <f>IF(AA548="SSD",((U548*Alukset_fx!$B$24)*Alukset_Käynnit_Lask!W548*(Alukset_fx!$K$49)/1000),IF(AA548="MSD",((U548*Alukset_fx!$B$24)*Alukset_Käynnit_Lask!W548*(Alukset_fx!$K$52)/1000),IF(AA548="HSD",((U548*Alukset_fx!$B$24)*Alukset_Käynnit_Lask!W548*(Alukset_fx!$K$55)/1000),0)))</f>
        <v>0</v>
      </c>
      <c r="AI548" s="207">
        <f>IF(AC548="MSD",((V548*Alukset_fx!$B$25)*Alukset_Käynnit_Lask!W548*(Alukset_fx!$L$52)/1000),IF(AC548="HSD",((V548*Alukset_fx!$B$25)*Alukset_Käynnit_Lask!W548*(Alukset_fx!$L$55)/1000),0))</f>
        <v>0</v>
      </c>
      <c r="AJ548" s="207">
        <f>X548*W548*Alukset_fx!$K$61/1000</f>
        <v>0</v>
      </c>
      <c r="AK548">
        <v>0</v>
      </c>
      <c r="AL548" s="207">
        <f>IF(AG548="Käytetty",0,IF(AC548="MSD",((V548*Alukset_fx!$O$25)*Alukset_Käynnit_Lask!O548*(Alukset_fx!$L$52)/1000),IF(AC548="HSD",((V548*Alukset_fx!$O$25)*Alukset_Käynnit_Lask!O548*(Alukset_fx!$L$55)/1000),0)))</f>
        <v>0</v>
      </c>
      <c r="AM548" s="207">
        <f>IF(AG548="Käytetty",0,Y548*O548*Alukset_fx!$K$61/1000)</f>
        <v>0</v>
      </c>
      <c r="AN548" s="213">
        <f t="shared" si="110"/>
        <v>0</v>
      </c>
    </row>
    <row r="549" spans="1:40" x14ac:dyDescent="0.25">
      <c r="A549" s="203">
        <f>Alukset_Käynnit!A556</f>
        <v>0</v>
      </c>
      <c r="B549" s="203">
        <f>Alukset_Käynnit!B556</f>
        <v>0</v>
      </c>
      <c r="C549" s="262">
        <f>Alukset_Käynnit!C556</f>
        <v>0</v>
      </c>
      <c r="D549" s="266">
        <f>Alukset_Käynnit!D556</f>
        <v>0</v>
      </c>
      <c r="E549" s="262">
        <f>Alukset_Käynnit!E556</f>
        <v>0</v>
      </c>
      <c r="F549" s="262">
        <f>Alukset_Käynnit!F556</f>
        <v>0</v>
      </c>
      <c r="G549" s="262">
        <f>Alukset_Käynnit!G556</f>
        <v>0</v>
      </c>
      <c r="H549" s="262">
        <f>Alukset_Käynnit!H556</f>
        <v>0</v>
      </c>
      <c r="I549" s="262">
        <f>Alukset_Käynnit!I556</f>
        <v>0</v>
      </c>
      <c r="J549" s="262">
        <f>Alukset_Käynnit!J556</f>
        <v>0</v>
      </c>
      <c r="K549" s="262">
        <f>Alukset_Käynnit!K556</f>
        <v>0</v>
      </c>
      <c r="L549" s="205">
        <f>Alukset_Käynnit!L556</f>
        <v>0</v>
      </c>
      <c r="N549" s="273">
        <f t="shared" si="111"/>
        <v>0</v>
      </c>
      <c r="O549" s="274">
        <f t="shared" si="112"/>
        <v>0</v>
      </c>
      <c r="Q549" s="204">
        <f t="shared" si="101"/>
        <v>0</v>
      </c>
      <c r="R549" s="202">
        <f>IF(Q549="Other dry cargo",L549*Alukset_fx!$B$71,IF(OR(Q549="Dry bulk",Q549="Bulk carrier"),L549*Alukset_fx!$B$69,IF(Q549="Tugboat",L549*Alukset_fx!$B$76,IF(OR(Q549="Tanker",Q549="Gas tanker",Q549="Chemical tanker",Q549="Oil tanker"),L549*Alukset_fx!$B$68,IF(OR(Q549="RoRo",Q549="Vehicle carrier"),L549*Alukset_fx!$B$72,IF(Q549="RoPax",L549*Alukset_fx!$B$73,IF(Q549="Container ship",L549*Alukset_fx!$B$70,IF(Q549="Barge",0,L549*Alukset_fx!$B$75))))))))</f>
        <v>0</v>
      </c>
      <c r="S549" s="210">
        <f>IF(L549=0,IF(Q549="Other dry cargo",Alukset_fx!$H$73*(Alukset_Käynnit_Lask!K549^Alukset_fx!$I$73),IF(OR(Q549="Dry Bulk",Q549="Bulk carrier"),Alukset_fx!$H$71*(Alukset_Käynnit_Lask!K549^Alukset_fx!$I$71),IF(Q549="Tugboat",Alukset_fx!$H$78*(Alukset_Käynnit_Lask!K549^Alukset_fx!$I$78),IF(OR(Q549="Tanker",Q549="Gas tanker",Q549="Chemical tanker",Q549="Oil tanker"),Alukset_fx!$H$70*(Alukset_Käynnit_Lask!K549^Alukset_fx!$I$70),IF(Q549="Container ship",Alukset_fx!$H$72*(Alukset_Käynnit_Lask!K549^Alukset_fx!$I$72),IF(Q549="Barge",0,IF(Q549="RoPax",Alukset_fx!$H$75*(Alukset_Käynnit_Lask!K549^Alukset_fx!$I$75),IF(OR(Q549="RoRo",Q549="Vehicle carrier"),Alukset_fx!$H$74*(Alukset_Käynnit_Lask!K549^Alukset_fx!$I$74),Alukset_fx!$H$77*(Alukset_Käynnit_Lask!K549^Alukset_fx!$I$77))))))))),"-")</f>
        <v>0</v>
      </c>
      <c r="T549" s="208">
        <f>IF(R549=0,IF(Q549="Other dry cargo",S549*Alukset_fx!$B$71,IF(OR(Q549="Dry bulk",Q549="Bulk carrier"),S549*Alukset_fx!$B$69,IF(Q549="Tugboat",S549*Alukset_fx!$B$76,IF(OR(Q549="Tanker",Q549="Gas tanker",Q549="Chemical tanker",Q549="Oil tanker"),S549*Alukset_fx!$B$68,IF(OR(Q549="RoRo",Q549="Vehicle carrier"),S549*Alukset_fx!$B$72,IF(Q549="RoPax",S549*Alukset_fx!$B$73,IF(Q549="Container ship",S549*Alukset_fx!$B$70,S549*Alukset_fx!$B$75))))))),"-")</f>
        <v>0</v>
      </c>
      <c r="U549" s="208">
        <f t="shared" si="102"/>
        <v>0</v>
      </c>
      <c r="V549" s="208">
        <f t="shared" si="103"/>
        <v>0</v>
      </c>
      <c r="W549" s="202">
        <f>Alukset_Käynnit!N556</f>
        <v>0</v>
      </c>
      <c r="X549" s="211">
        <f>IF(Q549="Other dry cargo", Alukset_fx!$C$52, IF(OR(Q549="Dry bulk",Q549="Bulk carrier"),Alukset_fx!$C$35,IF(OR(Q549="Tanker",Q549="Gas tanker",Q549="Oil tanker"),Alukset_fx!$C$57,IF(Q549="Chemical tanker",Alukset_fx!$C$56,IF(OR(Q549="Tugboat",Q549="Barge"),0,IF(Q549="Other vessel",Alukset_fx!$C$54,IF(Q549="Container ship",Alukset_fx!$C$37,IF(OR(Q549="RoPax",Q549="RoRo",Q549="Vehicle carrier"),Alukset_fx!$C$55,0))))))))</f>
        <v>0</v>
      </c>
      <c r="Y549" s="211">
        <f>IF(Q549="Other dry cargo", Alukset_fx!$Q$52, IF(OR(Q549="Dry bulk",Q549="Bulk carrier"),Alukset_fx!$Q$35,IF(OR(Q549="Tanker",Q549="Gas tanker",Q549="Oil tanker"),Alukset_fx!$Q$57,IF(Q549="Chemical tanker",Alukset_fx!$Q$56,IF(OR(Q549="Tugboat",Q549="Barge"),0,IF(Q549="Other vessel",Alukset_fx!$Q$54,IF(Q549="Container ship",Alukset_fx!$Q$37,IF(OR(Q549="RoPax",Q549="RoRo",Q549="Vehicle carrier"),Alukset_fx!$Q$55,0))))))))</f>
        <v>0</v>
      </c>
      <c r="Z549" t="str">
        <f t="shared" si="104"/>
        <v>MDO/MGO</v>
      </c>
      <c r="AA549" t="str">
        <f t="shared" si="105"/>
        <v>MSD</v>
      </c>
      <c r="AB549" t="str">
        <f t="shared" si="106"/>
        <v>MDO/MGO</v>
      </c>
      <c r="AC549" t="str">
        <f t="shared" si="107"/>
        <v>MSD</v>
      </c>
      <c r="AD549" t="str">
        <f t="shared" si="108"/>
        <v>MDO/MGO</v>
      </c>
      <c r="AE549" t="str">
        <f t="shared" si="109"/>
        <v>ST</v>
      </c>
      <c r="AG549">
        <f>Alukset_Käynnit!O556</f>
        <v>0</v>
      </c>
      <c r="AH549" s="207">
        <f>IF(AA549="SSD",((U549*Alukset_fx!$B$24)*Alukset_Käynnit_Lask!W549*(Alukset_fx!$K$49)/1000),IF(AA549="MSD",((U549*Alukset_fx!$B$24)*Alukset_Käynnit_Lask!W549*(Alukset_fx!$K$52)/1000),IF(AA549="HSD",((U549*Alukset_fx!$B$24)*Alukset_Käynnit_Lask!W549*(Alukset_fx!$K$55)/1000),0)))</f>
        <v>0</v>
      </c>
      <c r="AI549" s="207">
        <f>IF(AC549="MSD",((V549*Alukset_fx!$B$25)*Alukset_Käynnit_Lask!W549*(Alukset_fx!$L$52)/1000),IF(AC549="HSD",((V549*Alukset_fx!$B$25)*Alukset_Käynnit_Lask!W549*(Alukset_fx!$L$55)/1000),0))</f>
        <v>0</v>
      </c>
      <c r="AJ549" s="207">
        <f>X549*W549*Alukset_fx!$K$61/1000</f>
        <v>0</v>
      </c>
      <c r="AK549">
        <v>0</v>
      </c>
      <c r="AL549" s="207">
        <f>IF(AG549="Käytetty",0,IF(AC549="MSD",((V549*Alukset_fx!$O$25)*Alukset_Käynnit_Lask!O549*(Alukset_fx!$L$52)/1000),IF(AC549="HSD",((V549*Alukset_fx!$O$25)*Alukset_Käynnit_Lask!O549*(Alukset_fx!$L$55)/1000),0)))</f>
        <v>0</v>
      </c>
      <c r="AM549" s="207">
        <f>IF(AG549="Käytetty",0,Y549*O549*Alukset_fx!$K$61/1000)</f>
        <v>0</v>
      </c>
      <c r="AN549" s="213">
        <f t="shared" si="110"/>
        <v>0</v>
      </c>
    </row>
    <row r="550" spans="1:40" x14ac:dyDescent="0.25">
      <c r="A550" s="203">
        <f>Alukset_Käynnit!A557</f>
        <v>0</v>
      </c>
      <c r="B550" s="203">
        <f>Alukset_Käynnit!B557</f>
        <v>0</v>
      </c>
      <c r="C550" s="262">
        <f>Alukset_Käynnit!C557</f>
        <v>0</v>
      </c>
      <c r="D550" s="266">
        <f>Alukset_Käynnit!D557</f>
        <v>0</v>
      </c>
      <c r="E550" s="262">
        <f>Alukset_Käynnit!E557</f>
        <v>0</v>
      </c>
      <c r="F550" s="262">
        <f>Alukset_Käynnit!F557</f>
        <v>0</v>
      </c>
      <c r="G550" s="262">
        <f>Alukset_Käynnit!G557</f>
        <v>0</v>
      </c>
      <c r="H550" s="262">
        <f>Alukset_Käynnit!H557</f>
        <v>0</v>
      </c>
      <c r="I550" s="262">
        <f>Alukset_Käynnit!I557</f>
        <v>0</v>
      </c>
      <c r="J550" s="262">
        <f>Alukset_Käynnit!J557</f>
        <v>0</v>
      </c>
      <c r="K550" s="262">
        <f>Alukset_Käynnit!K557</f>
        <v>0</v>
      </c>
      <c r="L550" s="205">
        <f>Alukset_Käynnit!L557</f>
        <v>0</v>
      </c>
      <c r="N550" s="273">
        <f t="shared" si="111"/>
        <v>0</v>
      </c>
      <c r="O550" s="274">
        <f t="shared" si="112"/>
        <v>0</v>
      </c>
      <c r="Q550" s="204">
        <f t="shared" si="101"/>
        <v>0</v>
      </c>
      <c r="R550" s="202">
        <f>IF(Q550="Other dry cargo",L550*Alukset_fx!$B$71,IF(OR(Q550="Dry bulk",Q550="Bulk carrier"),L550*Alukset_fx!$B$69,IF(Q550="Tugboat",L550*Alukset_fx!$B$76,IF(OR(Q550="Tanker",Q550="Gas tanker",Q550="Chemical tanker",Q550="Oil tanker"),L550*Alukset_fx!$B$68,IF(OR(Q550="RoRo",Q550="Vehicle carrier"),L550*Alukset_fx!$B$72,IF(Q550="RoPax",L550*Alukset_fx!$B$73,IF(Q550="Container ship",L550*Alukset_fx!$B$70,IF(Q550="Barge",0,L550*Alukset_fx!$B$75))))))))</f>
        <v>0</v>
      </c>
      <c r="S550" s="210">
        <f>IF(L550=0,IF(Q550="Other dry cargo",Alukset_fx!$H$73*(Alukset_Käynnit_Lask!K550^Alukset_fx!$I$73),IF(OR(Q550="Dry Bulk",Q550="Bulk carrier"),Alukset_fx!$H$71*(Alukset_Käynnit_Lask!K550^Alukset_fx!$I$71),IF(Q550="Tugboat",Alukset_fx!$H$78*(Alukset_Käynnit_Lask!K550^Alukset_fx!$I$78),IF(OR(Q550="Tanker",Q550="Gas tanker",Q550="Chemical tanker",Q550="Oil tanker"),Alukset_fx!$H$70*(Alukset_Käynnit_Lask!K550^Alukset_fx!$I$70),IF(Q550="Container ship",Alukset_fx!$H$72*(Alukset_Käynnit_Lask!K550^Alukset_fx!$I$72),IF(Q550="Barge",0,IF(Q550="RoPax",Alukset_fx!$H$75*(Alukset_Käynnit_Lask!K550^Alukset_fx!$I$75),IF(OR(Q550="RoRo",Q550="Vehicle carrier"),Alukset_fx!$H$74*(Alukset_Käynnit_Lask!K550^Alukset_fx!$I$74),Alukset_fx!$H$77*(Alukset_Käynnit_Lask!K550^Alukset_fx!$I$77))))))))),"-")</f>
        <v>0</v>
      </c>
      <c r="T550" s="208">
        <f>IF(R550=0,IF(Q550="Other dry cargo",S550*Alukset_fx!$B$71,IF(OR(Q550="Dry bulk",Q550="Bulk carrier"),S550*Alukset_fx!$B$69,IF(Q550="Tugboat",S550*Alukset_fx!$B$76,IF(OR(Q550="Tanker",Q550="Gas tanker",Q550="Chemical tanker",Q550="Oil tanker"),S550*Alukset_fx!$B$68,IF(OR(Q550="RoRo",Q550="Vehicle carrier"),S550*Alukset_fx!$B$72,IF(Q550="RoPax",S550*Alukset_fx!$B$73,IF(Q550="Container ship",S550*Alukset_fx!$B$70,S550*Alukset_fx!$B$75))))))),"-")</f>
        <v>0</v>
      </c>
      <c r="U550" s="208">
        <f t="shared" si="102"/>
        <v>0</v>
      </c>
      <c r="V550" s="208">
        <f t="shared" si="103"/>
        <v>0</v>
      </c>
      <c r="W550" s="202">
        <f>Alukset_Käynnit!N557</f>
        <v>0</v>
      </c>
      <c r="X550" s="211">
        <f>IF(Q550="Other dry cargo", Alukset_fx!$C$52, IF(OR(Q550="Dry bulk",Q550="Bulk carrier"),Alukset_fx!$C$35,IF(OR(Q550="Tanker",Q550="Gas tanker",Q550="Oil tanker"),Alukset_fx!$C$57,IF(Q550="Chemical tanker",Alukset_fx!$C$56,IF(OR(Q550="Tugboat",Q550="Barge"),0,IF(Q550="Other vessel",Alukset_fx!$C$54,IF(Q550="Container ship",Alukset_fx!$C$37,IF(OR(Q550="RoPax",Q550="RoRo",Q550="Vehicle carrier"),Alukset_fx!$C$55,0))))))))</f>
        <v>0</v>
      </c>
      <c r="Y550" s="211">
        <f>IF(Q550="Other dry cargo", Alukset_fx!$Q$52, IF(OR(Q550="Dry bulk",Q550="Bulk carrier"),Alukset_fx!$Q$35,IF(OR(Q550="Tanker",Q550="Gas tanker",Q550="Oil tanker"),Alukset_fx!$Q$57,IF(Q550="Chemical tanker",Alukset_fx!$Q$56,IF(OR(Q550="Tugboat",Q550="Barge"),0,IF(Q550="Other vessel",Alukset_fx!$Q$54,IF(Q550="Container ship",Alukset_fx!$Q$37,IF(OR(Q550="RoPax",Q550="RoRo",Q550="Vehicle carrier"),Alukset_fx!$Q$55,0))))))))</f>
        <v>0</v>
      </c>
      <c r="Z550" t="str">
        <f t="shared" si="104"/>
        <v>MDO/MGO</v>
      </c>
      <c r="AA550" t="str">
        <f t="shared" si="105"/>
        <v>MSD</v>
      </c>
      <c r="AB550" t="str">
        <f t="shared" si="106"/>
        <v>MDO/MGO</v>
      </c>
      <c r="AC550" t="str">
        <f t="shared" si="107"/>
        <v>MSD</v>
      </c>
      <c r="AD550" t="str">
        <f t="shared" si="108"/>
        <v>MDO/MGO</v>
      </c>
      <c r="AE550" t="str">
        <f t="shared" si="109"/>
        <v>ST</v>
      </c>
      <c r="AG550">
        <f>Alukset_Käynnit!O557</f>
        <v>0</v>
      </c>
      <c r="AH550" s="207">
        <f>IF(AA550="SSD",((U550*Alukset_fx!$B$24)*Alukset_Käynnit_Lask!W550*(Alukset_fx!$K$49)/1000),IF(AA550="MSD",((U550*Alukset_fx!$B$24)*Alukset_Käynnit_Lask!W550*(Alukset_fx!$K$52)/1000),IF(AA550="HSD",((U550*Alukset_fx!$B$24)*Alukset_Käynnit_Lask!W550*(Alukset_fx!$K$55)/1000),0)))</f>
        <v>0</v>
      </c>
      <c r="AI550" s="207">
        <f>IF(AC550="MSD",((V550*Alukset_fx!$B$25)*Alukset_Käynnit_Lask!W550*(Alukset_fx!$L$52)/1000),IF(AC550="HSD",((V550*Alukset_fx!$B$25)*Alukset_Käynnit_Lask!W550*(Alukset_fx!$L$55)/1000),0))</f>
        <v>0</v>
      </c>
      <c r="AJ550" s="207">
        <f>X550*W550*Alukset_fx!$K$61/1000</f>
        <v>0</v>
      </c>
      <c r="AK550">
        <v>0</v>
      </c>
      <c r="AL550" s="207">
        <f>IF(AG550="Käytetty",0,IF(AC550="MSD",((V550*Alukset_fx!$O$25)*Alukset_Käynnit_Lask!O550*(Alukset_fx!$L$52)/1000),IF(AC550="HSD",((V550*Alukset_fx!$O$25)*Alukset_Käynnit_Lask!O550*(Alukset_fx!$L$55)/1000),0)))</f>
        <v>0</v>
      </c>
      <c r="AM550" s="207">
        <f>IF(AG550="Käytetty",0,Y550*O550*Alukset_fx!$K$61/1000)</f>
        <v>0</v>
      </c>
      <c r="AN550" s="213">
        <f t="shared" si="110"/>
        <v>0</v>
      </c>
    </row>
    <row r="551" spans="1:40" x14ac:dyDescent="0.25">
      <c r="A551" s="203">
        <f>Alukset_Käynnit!A558</f>
        <v>0</v>
      </c>
      <c r="B551" s="203">
        <f>Alukset_Käynnit!B558</f>
        <v>0</v>
      </c>
      <c r="C551" s="262">
        <f>Alukset_Käynnit!C558</f>
        <v>0</v>
      </c>
      <c r="D551" s="266">
        <f>Alukset_Käynnit!D558</f>
        <v>0</v>
      </c>
      <c r="E551" s="262">
        <f>Alukset_Käynnit!E558</f>
        <v>0</v>
      </c>
      <c r="F551" s="262">
        <f>Alukset_Käynnit!F558</f>
        <v>0</v>
      </c>
      <c r="G551" s="262">
        <f>Alukset_Käynnit!G558</f>
        <v>0</v>
      </c>
      <c r="H551" s="262">
        <f>Alukset_Käynnit!H558</f>
        <v>0</v>
      </c>
      <c r="I551" s="262">
        <f>Alukset_Käynnit!I558</f>
        <v>0</v>
      </c>
      <c r="J551" s="262">
        <f>Alukset_Käynnit!J558</f>
        <v>0</v>
      </c>
      <c r="K551" s="262">
        <f>Alukset_Käynnit!K558</f>
        <v>0</v>
      </c>
      <c r="L551" s="205">
        <f>Alukset_Käynnit!L558</f>
        <v>0</v>
      </c>
      <c r="N551" s="273">
        <f t="shared" si="111"/>
        <v>0</v>
      </c>
      <c r="O551" s="274">
        <f t="shared" si="112"/>
        <v>0</v>
      </c>
      <c r="Q551" s="204">
        <f t="shared" si="101"/>
        <v>0</v>
      </c>
      <c r="R551" s="202">
        <f>IF(Q551="Other dry cargo",L551*Alukset_fx!$B$71,IF(OR(Q551="Dry bulk",Q551="Bulk carrier"),L551*Alukset_fx!$B$69,IF(Q551="Tugboat",L551*Alukset_fx!$B$76,IF(OR(Q551="Tanker",Q551="Gas tanker",Q551="Chemical tanker",Q551="Oil tanker"),L551*Alukset_fx!$B$68,IF(OR(Q551="RoRo",Q551="Vehicle carrier"),L551*Alukset_fx!$B$72,IF(Q551="RoPax",L551*Alukset_fx!$B$73,IF(Q551="Container ship",L551*Alukset_fx!$B$70,IF(Q551="Barge",0,L551*Alukset_fx!$B$75))))))))</f>
        <v>0</v>
      </c>
      <c r="S551" s="210">
        <f>IF(L551=0,IF(Q551="Other dry cargo",Alukset_fx!$H$73*(Alukset_Käynnit_Lask!K551^Alukset_fx!$I$73),IF(OR(Q551="Dry Bulk",Q551="Bulk carrier"),Alukset_fx!$H$71*(Alukset_Käynnit_Lask!K551^Alukset_fx!$I$71),IF(Q551="Tugboat",Alukset_fx!$H$78*(Alukset_Käynnit_Lask!K551^Alukset_fx!$I$78),IF(OR(Q551="Tanker",Q551="Gas tanker",Q551="Chemical tanker",Q551="Oil tanker"),Alukset_fx!$H$70*(Alukset_Käynnit_Lask!K551^Alukset_fx!$I$70),IF(Q551="Container ship",Alukset_fx!$H$72*(Alukset_Käynnit_Lask!K551^Alukset_fx!$I$72),IF(Q551="Barge",0,IF(Q551="RoPax",Alukset_fx!$H$75*(Alukset_Käynnit_Lask!K551^Alukset_fx!$I$75),IF(OR(Q551="RoRo",Q551="Vehicle carrier"),Alukset_fx!$H$74*(Alukset_Käynnit_Lask!K551^Alukset_fx!$I$74),Alukset_fx!$H$77*(Alukset_Käynnit_Lask!K551^Alukset_fx!$I$77))))))))),"-")</f>
        <v>0</v>
      </c>
      <c r="T551" s="208">
        <f>IF(R551=0,IF(Q551="Other dry cargo",S551*Alukset_fx!$B$71,IF(OR(Q551="Dry bulk",Q551="Bulk carrier"),S551*Alukset_fx!$B$69,IF(Q551="Tugboat",S551*Alukset_fx!$B$76,IF(OR(Q551="Tanker",Q551="Gas tanker",Q551="Chemical tanker",Q551="Oil tanker"),S551*Alukset_fx!$B$68,IF(OR(Q551="RoRo",Q551="Vehicle carrier"),S551*Alukset_fx!$B$72,IF(Q551="RoPax",S551*Alukset_fx!$B$73,IF(Q551="Container ship",S551*Alukset_fx!$B$70,S551*Alukset_fx!$B$75))))))),"-")</f>
        <v>0</v>
      </c>
      <c r="U551" s="208">
        <f t="shared" si="102"/>
        <v>0</v>
      </c>
      <c r="V551" s="208">
        <f t="shared" si="103"/>
        <v>0</v>
      </c>
      <c r="W551" s="202">
        <f>Alukset_Käynnit!N558</f>
        <v>0</v>
      </c>
      <c r="X551" s="211">
        <f>IF(Q551="Other dry cargo", Alukset_fx!$C$52, IF(OR(Q551="Dry bulk",Q551="Bulk carrier"),Alukset_fx!$C$35,IF(OR(Q551="Tanker",Q551="Gas tanker",Q551="Oil tanker"),Alukset_fx!$C$57,IF(Q551="Chemical tanker",Alukset_fx!$C$56,IF(OR(Q551="Tugboat",Q551="Barge"),0,IF(Q551="Other vessel",Alukset_fx!$C$54,IF(Q551="Container ship",Alukset_fx!$C$37,IF(OR(Q551="RoPax",Q551="RoRo",Q551="Vehicle carrier"),Alukset_fx!$C$55,0))))))))</f>
        <v>0</v>
      </c>
      <c r="Y551" s="211">
        <f>IF(Q551="Other dry cargo", Alukset_fx!$Q$52, IF(OR(Q551="Dry bulk",Q551="Bulk carrier"),Alukset_fx!$Q$35,IF(OR(Q551="Tanker",Q551="Gas tanker",Q551="Oil tanker"),Alukset_fx!$Q$57,IF(Q551="Chemical tanker",Alukset_fx!$Q$56,IF(OR(Q551="Tugboat",Q551="Barge"),0,IF(Q551="Other vessel",Alukset_fx!$Q$54,IF(Q551="Container ship",Alukset_fx!$Q$37,IF(OR(Q551="RoPax",Q551="RoRo",Q551="Vehicle carrier"),Alukset_fx!$Q$55,0))))))))</f>
        <v>0</v>
      </c>
      <c r="Z551" t="str">
        <f t="shared" si="104"/>
        <v>MDO/MGO</v>
      </c>
      <c r="AA551" t="str">
        <f t="shared" si="105"/>
        <v>MSD</v>
      </c>
      <c r="AB551" t="str">
        <f t="shared" si="106"/>
        <v>MDO/MGO</v>
      </c>
      <c r="AC551" t="str">
        <f t="shared" si="107"/>
        <v>MSD</v>
      </c>
      <c r="AD551" t="str">
        <f t="shared" si="108"/>
        <v>MDO/MGO</v>
      </c>
      <c r="AE551" t="str">
        <f t="shared" si="109"/>
        <v>ST</v>
      </c>
      <c r="AG551">
        <f>Alukset_Käynnit!O558</f>
        <v>0</v>
      </c>
      <c r="AH551" s="207">
        <f>IF(AA551="SSD",((U551*Alukset_fx!$B$24)*Alukset_Käynnit_Lask!W551*(Alukset_fx!$K$49)/1000),IF(AA551="MSD",((U551*Alukset_fx!$B$24)*Alukset_Käynnit_Lask!W551*(Alukset_fx!$K$52)/1000),IF(AA551="HSD",((U551*Alukset_fx!$B$24)*Alukset_Käynnit_Lask!W551*(Alukset_fx!$K$55)/1000),0)))</f>
        <v>0</v>
      </c>
      <c r="AI551" s="207">
        <f>IF(AC551="MSD",((V551*Alukset_fx!$B$25)*Alukset_Käynnit_Lask!W551*(Alukset_fx!$L$52)/1000),IF(AC551="HSD",((V551*Alukset_fx!$B$25)*Alukset_Käynnit_Lask!W551*(Alukset_fx!$L$55)/1000),0))</f>
        <v>0</v>
      </c>
      <c r="AJ551" s="207">
        <f>X551*W551*Alukset_fx!$K$61/1000</f>
        <v>0</v>
      </c>
      <c r="AK551">
        <v>0</v>
      </c>
      <c r="AL551" s="207">
        <f>IF(AG551="Käytetty",0,IF(AC551="MSD",((V551*Alukset_fx!$O$25)*Alukset_Käynnit_Lask!O551*(Alukset_fx!$L$52)/1000),IF(AC551="HSD",((V551*Alukset_fx!$O$25)*Alukset_Käynnit_Lask!O551*(Alukset_fx!$L$55)/1000),0)))</f>
        <v>0</v>
      </c>
      <c r="AM551" s="207">
        <f>IF(AG551="Käytetty",0,Y551*O551*Alukset_fx!$K$61/1000)</f>
        <v>0</v>
      </c>
      <c r="AN551" s="213">
        <f t="shared" si="110"/>
        <v>0</v>
      </c>
    </row>
    <row r="552" spans="1:40" x14ac:dyDescent="0.25">
      <c r="A552" s="203">
        <f>Alukset_Käynnit!A559</f>
        <v>0</v>
      </c>
      <c r="B552" s="203">
        <f>Alukset_Käynnit!B559</f>
        <v>0</v>
      </c>
      <c r="C552" s="262">
        <f>Alukset_Käynnit!C559</f>
        <v>0</v>
      </c>
      <c r="D552" s="266">
        <f>Alukset_Käynnit!D559</f>
        <v>0</v>
      </c>
      <c r="E552" s="262">
        <f>Alukset_Käynnit!E559</f>
        <v>0</v>
      </c>
      <c r="F552" s="262">
        <f>Alukset_Käynnit!F559</f>
        <v>0</v>
      </c>
      <c r="G552" s="262">
        <f>Alukset_Käynnit!G559</f>
        <v>0</v>
      </c>
      <c r="H552" s="262">
        <f>Alukset_Käynnit!H559</f>
        <v>0</v>
      </c>
      <c r="I552" s="262">
        <f>Alukset_Käynnit!I559</f>
        <v>0</v>
      </c>
      <c r="J552" s="262">
        <f>Alukset_Käynnit!J559</f>
        <v>0</v>
      </c>
      <c r="K552" s="262">
        <f>Alukset_Käynnit!K559</f>
        <v>0</v>
      </c>
      <c r="L552" s="205">
        <f>Alukset_Käynnit!L559</f>
        <v>0</v>
      </c>
      <c r="N552" s="273">
        <f t="shared" si="111"/>
        <v>0</v>
      </c>
      <c r="O552" s="274">
        <f t="shared" si="112"/>
        <v>0</v>
      </c>
      <c r="Q552" s="204">
        <f t="shared" si="101"/>
        <v>0</v>
      </c>
      <c r="R552" s="202">
        <f>IF(Q552="Other dry cargo",L552*Alukset_fx!$B$71,IF(OR(Q552="Dry bulk",Q552="Bulk carrier"),L552*Alukset_fx!$B$69,IF(Q552="Tugboat",L552*Alukset_fx!$B$76,IF(OR(Q552="Tanker",Q552="Gas tanker",Q552="Chemical tanker",Q552="Oil tanker"),L552*Alukset_fx!$B$68,IF(OR(Q552="RoRo",Q552="Vehicle carrier"),L552*Alukset_fx!$B$72,IF(Q552="RoPax",L552*Alukset_fx!$B$73,IF(Q552="Container ship",L552*Alukset_fx!$B$70,IF(Q552="Barge",0,L552*Alukset_fx!$B$75))))))))</f>
        <v>0</v>
      </c>
      <c r="S552" s="210">
        <f>IF(L552=0,IF(Q552="Other dry cargo",Alukset_fx!$H$73*(Alukset_Käynnit_Lask!K552^Alukset_fx!$I$73),IF(OR(Q552="Dry Bulk",Q552="Bulk carrier"),Alukset_fx!$H$71*(Alukset_Käynnit_Lask!K552^Alukset_fx!$I$71),IF(Q552="Tugboat",Alukset_fx!$H$78*(Alukset_Käynnit_Lask!K552^Alukset_fx!$I$78),IF(OR(Q552="Tanker",Q552="Gas tanker",Q552="Chemical tanker",Q552="Oil tanker"),Alukset_fx!$H$70*(Alukset_Käynnit_Lask!K552^Alukset_fx!$I$70),IF(Q552="Container ship",Alukset_fx!$H$72*(Alukset_Käynnit_Lask!K552^Alukset_fx!$I$72),IF(Q552="Barge",0,IF(Q552="RoPax",Alukset_fx!$H$75*(Alukset_Käynnit_Lask!K552^Alukset_fx!$I$75),IF(OR(Q552="RoRo",Q552="Vehicle carrier"),Alukset_fx!$H$74*(Alukset_Käynnit_Lask!K552^Alukset_fx!$I$74),Alukset_fx!$H$77*(Alukset_Käynnit_Lask!K552^Alukset_fx!$I$77))))))))),"-")</f>
        <v>0</v>
      </c>
      <c r="T552" s="208">
        <f>IF(R552=0,IF(Q552="Other dry cargo",S552*Alukset_fx!$B$71,IF(OR(Q552="Dry bulk",Q552="Bulk carrier"),S552*Alukset_fx!$B$69,IF(Q552="Tugboat",S552*Alukset_fx!$B$76,IF(OR(Q552="Tanker",Q552="Gas tanker",Q552="Chemical tanker",Q552="Oil tanker"),S552*Alukset_fx!$B$68,IF(OR(Q552="RoRo",Q552="Vehicle carrier"),S552*Alukset_fx!$B$72,IF(Q552="RoPax",S552*Alukset_fx!$B$73,IF(Q552="Container ship",S552*Alukset_fx!$B$70,S552*Alukset_fx!$B$75))))))),"-")</f>
        <v>0</v>
      </c>
      <c r="U552" s="208">
        <f t="shared" si="102"/>
        <v>0</v>
      </c>
      <c r="V552" s="208">
        <f t="shared" si="103"/>
        <v>0</v>
      </c>
      <c r="W552" s="202">
        <f>Alukset_Käynnit!N559</f>
        <v>0</v>
      </c>
      <c r="X552" s="211">
        <f>IF(Q552="Other dry cargo", Alukset_fx!$C$52, IF(OR(Q552="Dry bulk",Q552="Bulk carrier"),Alukset_fx!$C$35,IF(OR(Q552="Tanker",Q552="Gas tanker",Q552="Oil tanker"),Alukset_fx!$C$57,IF(Q552="Chemical tanker",Alukset_fx!$C$56,IF(OR(Q552="Tugboat",Q552="Barge"),0,IF(Q552="Other vessel",Alukset_fx!$C$54,IF(Q552="Container ship",Alukset_fx!$C$37,IF(OR(Q552="RoPax",Q552="RoRo",Q552="Vehicle carrier"),Alukset_fx!$C$55,0))))))))</f>
        <v>0</v>
      </c>
      <c r="Y552" s="211">
        <f>IF(Q552="Other dry cargo", Alukset_fx!$Q$52, IF(OR(Q552="Dry bulk",Q552="Bulk carrier"),Alukset_fx!$Q$35,IF(OR(Q552="Tanker",Q552="Gas tanker",Q552="Oil tanker"),Alukset_fx!$Q$57,IF(Q552="Chemical tanker",Alukset_fx!$Q$56,IF(OR(Q552="Tugboat",Q552="Barge"),0,IF(Q552="Other vessel",Alukset_fx!$Q$54,IF(Q552="Container ship",Alukset_fx!$Q$37,IF(OR(Q552="RoPax",Q552="RoRo",Q552="Vehicle carrier"),Alukset_fx!$Q$55,0))))))))</f>
        <v>0</v>
      </c>
      <c r="Z552" t="str">
        <f t="shared" si="104"/>
        <v>MDO/MGO</v>
      </c>
      <c r="AA552" t="str">
        <f t="shared" si="105"/>
        <v>MSD</v>
      </c>
      <c r="AB552" t="str">
        <f t="shared" si="106"/>
        <v>MDO/MGO</v>
      </c>
      <c r="AC552" t="str">
        <f t="shared" si="107"/>
        <v>MSD</v>
      </c>
      <c r="AD552" t="str">
        <f t="shared" si="108"/>
        <v>MDO/MGO</v>
      </c>
      <c r="AE552" t="str">
        <f t="shared" si="109"/>
        <v>ST</v>
      </c>
      <c r="AG552">
        <f>Alukset_Käynnit!O559</f>
        <v>0</v>
      </c>
      <c r="AH552" s="207">
        <f>IF(AA552="SSD",((U552*Alukset_fx!$B$24)*Alukset_Käynnit_Lask!W552*(Alukset_fx!$K$49)/1000),IF(AA552="MSD",((U552*Alukset_fx!$B$24)*Alukset_Käynnit_Lask!W552*(Alukset_fx!$K$52)/1000),IF(AA552="HSD",((U552*Alukset_fx!$B$24)*Alukset_Käynnit_Lask!W552*(Alukset_fx!$K$55)/1000),0)))</f>
        <v>0</v>
      </c>
      <c r="AI552" s="207">
        <f>IF(AC552="MSD",((V552*Alukset_fx!$B$25)*Alukset_Käynnit_Lask!W552*(Alukset_fx!$L$52)/1000),IF(AC552="HSD",((V552*Alukset_fx!$B$25)*Alukset_Käynnit_Lask!W552*(Alukset_fx!$L$55)/1000),0))</f>
        <v>0</v>
      </c>
      <c r="AJ552" s="207">
        <f>X552*W552*Alukset_fx!$K$61/1000</f>
        <v>0</v>
      </c>
      <c r="AK552">
        <v>0</v>
      </c>
      <c r="AL552" s="207">
        <f>IF(AG552="Käytetty",0,IF(AC552="MSD",((V552*Alukset_fx!$O$25)*Alukset_Käynnit_Lask!O552*(Alukset_fx!$L$52)/1000),IF(AC552="HSD",((V552*Alukset_fx!$O$25)*Alukset_Käynnit_Lask!O552*(Alukset_fx!$L$55)/1000),0)))</f>
        <v>0</v>
      </c>
      <c r="AM552" s="207">
        <f>IF(AG552="Käytetty",0,Y552*O552*Alukset_fx!$K$61/1000)</f>
        <v>0</v>
      </c>
      <c r="AN552" s="213">
        <f t="shared" si="110"/>
        <v>0</v>
      </c>
    </row>
    <row r="553" spans="1:40" x14ac:dyDescent="0.25">
      <c r="A553" s="203">
        <f>Alukset_Käynnit!A560</f>
        <v>0</v>
      </c>
      <c r="B553" s="203">
        <f>Alukset_Käynnit!B560</f>
        <v>0</v>
      </c>
      <c r="C553" s="262">
        <f>Alukset_Käynnit!C560</f>
        <v>0</v>
      </c>
      <c r="D553" s="266">
        <f>Alukset_Käynnit!D560</f>
        <v>0</v>
      </c>
      <c r="E553" s="262">
        <f>Alukset_Käynnit!E560</f>
        <v>0</v>
      </c>
      <c r="F553" s="262">
        <f>Alukset_Käynnit!F560</f>
        <v>0</v>
      </c>
      <c r="G553" s="262">
        <f>Alukset_Käynnit!G560</f>
        <v>0</v>
      </c>
      <c r="H553" s="262">
        <f>Alukset_Käynnit!H560</f>
        <v>0</v>
      </c>
      <c r="I553" s="262">
        <f>Alukset_Käynnit!I560</f>
        <v>0</v>
      </c>
      <c r="J553" s="262">
        <f>Alukset_Käynnit!J560</f>
        <v>0</v>
      </c>
      <c r="K553" s="262">
        <f>Alukset_Käynnit!K560</f>
        <v>0</v>
      </c>
      <c r="L553" s="205">
        <f>Alukset_Käynnit!L560</f>
        <v>0</v>
      </c>
      <c r="N553" s="273">
        <f t="shared" si="111"/>
        <v>0</v>
      </c>
      <c r="O553" s="274">
        <f t="shared" si="112"/>
        <v>0</v>
      </c>
      <c r="Q553" s="204">
        <f t="shared" si="101"/>
        <v>0</v>
      </c>
      <c r="R553" s="202">
        <f>IF(Q553="Other dry cargo",L553*Alukset_fx!$B$71,IF(OR(Q553="Dry bulk",Q553="Bulk carrier"),L553*Alukset_fx!$B$69,IF(Q553="Tugboat",L553*Alukset_fx!$B$76,IF(OR(Q553="Tanker",Q553="Gas tanker",Q553="Chemical tanker",Q553="Oil tanker"),L553*Alukset_fx!$B$68,IF(OR(Q553="RoRo",Q553="Vehicle carrier"),L553*Alukset_fx!$B$72,IF(Q553="RoPax",L553*Alukset_fx!$B$73,IF(Q553="Container ship",L553*Alukset_fx!$B$70,IF(Q553="Barge",0,L553*Alukset_fx!$B$75))))))))</f>
        <v>0</v>
      </c>
      <c r="S553" s="210">
        <f>IF(L553=0,IF(Q553="Other dry cargo",Alukset_fx!$H$73*(Alukset_Käynnit_Lask!K553^Alukset_fx!$I$73),IF(OR(Q553="Dry Bulk",Q553="Bulk carrier"),Alukset_fx!$H$71*(Alukset_Käynnit_Lask!K553^Alukset_fx!$I$71),IF(Q553="Tugboat",Alukset_fx!$H$78*(Alukset_Käynnit_Lask!K553^Alukset_fx!$I$78),IF(OR(Q553="Tanker",Q553="Gas tanker",Q553="Chemical tanker",Q553="Oil tanker"),Alukset_fx!$H$70*(Alukset_Käynnit_Lask!K553^Alukset_fx!$I$70),IF(Q553="Container ship",Alukset_fx!$H$72*(Alukset_Käynnit_Lask!K553^Alukset_fx!$I$72),IF(Q553="Barge",0,IF(Q553="RoPax",Alukset_fx!$H$75*(Alukset_Käynnit_Lask!K553^Alukset_fx!$I$75),IF(OR(Q553="RoRo",Q553="Vehicle carrier"),Alukset_fx!$H$74*(Alukset_Käynnit_Lask!K553^Alukset_fx!$I$74),Alukset_fx!$H$77*(Alukset_Käynnit_Lask!K553^Alukset_fx!$I$77))))))))),"-")</f>
        <v>0</v>
      </c>
      <c r="T553" s="208">
        <f>IF(R553=0,IF(Q553="Other dry cargo",S553*Alukset_fx!$B$71,IF(OR(Q553="Dry bulk",Q553="Bulk carrier"),S553*Alukset_fx!$B$69,IF(Q553="Tugboat",S553*Alukset_fx!$B$76,IF(OR(Q553="Tanker",Q553="Gas tanker",Q553="Chemical tanker",Q553="Oil tanker"),S553*Alukset_fx!$B$68,IF(OR(Q553="RoRo",Q553="Vehicle carrier"),S553*Alukset_fx!$B$72,IF(Q553="RoPax",S553*Alukset_fx!$B$73,IF(Q553="Container ship",S553*Alukset_fx!$B$70,S553*Alukset_fx!$B$75))))))),"-")</f>
        <v>0</v>
      </c>
      <c r="U553" s="208">
        <f t="shared" si="102"/>
        <v>0</v>
      </c>
      <c r="V553" s="208">
        <f t="shared" si="103"/>
        <v>0</v>
      </c>
      <c r="W553" s="202">
        <f>Alukset_Käynnit!N560</f>
        <v>0</v>
      </c>
      <c r="X553" s="211">
        <f>IF(Q553="Other dry cargo", Alukset_fx!$C$52, IF(OR(Q553="Dry bulk",Q553="Bulk carrier"),Alukset_fx!$C$35,IF(OR(Q553="Tanker",Q553="Gas tanker",Q553="Oil tanker"),Alukset_fx!$C$57,IF(Q553="Chemical tanker",Alukset_fx!$C$56,IF(OR(Q553="Tugboat",Q553="Barge"),0,IF(Q553="Other vessel",Alukset_fx!$C$54,IF(Q553="Container ship",Alukset_fx!$C$37,IF(OR(Q553="RoPax",Q553="RoRo",Q553="Vehicle carrier"),Alukset_fx!$C$55,0))))))))</f>
        <v>0</v>
      </c>
      <c r="Y553" s="211">
        <f>IF(Q553="Other dry cargo", Alukset_fx!$Q$52, IF(OR(Q553="Dry bulk",Q553="Bulk carrier"),Alukset_fx!$Q$35,IF(OR(Q553="Tanker",Q553="Gas tanker",Q553="Oil tanker"),Alukset_fx!$Q$57,IF(Q553="Chemical tanker",Alukset_fx!$Q$56,IF(OR(Q553="Tugboat",Q553="Barge"),0,IF(Q553="Other vessel",Alukset_fx!$Q$54,IF(Q553="Container ship",Alukset_fx!$Q$37,IF(OR(Q553="RoPax",Q553="RoRo",Q553="Vehicle carrier"),Alukset_fx!$Q$55,0))))))))</f>
        <v>0</v>
      </c>
      <c r="Z553" t="str">
        <f t="shared" si="104"/>
        <v>MDO/MGO</v>
      </c>
      <c r="AA553" t="str">
        <f t="shared" si="105"/>
        <v>MSD</v>
      </c>
      <c r="AB553" t="str">
        <f t="shared" si="106"/>
        <v>MDO/MGO</v>
      </c>
      <c r="AC553" t="str">
        <f t="shared" si="107"/>
        <v>MSD</v>
      </c>
      <c r="AD553" t="str">
        <f t="shared" si="108"/>
        <v>MDO/MGO</v>
      </c>
      <c r="AE553" t="str">
        <f t="shared" si="109"/>
        <v>ST</v>
      </c>
      <c r="AG553">
        <f>Alukset_Käynnit!O560</f>
        <v>0</v>
      </c>
      <c r="AH553" s="207">
        <f>IF(AA553="SSD",((U553*Alukset_fx!$B$24)*Alukset_Käynnit_Lask!W553*(Alukset_fx!$K$49)/1000),IF(AA553="MSD",((U553*Alukset_fx!$B$24)*Alukset_Käynnit_Lask!W553*(Alukset_fx!$K$52)/1000),IF(AA553="HSD",((U553*Alukset_fx!$B$24)*Alukset_Käynnit_Lask!W553*(Alukset_fx!$K$55)/1000),0)))</f>
        <v>0</v>
      </c>
      <c r="AI553" s="207">
        <f>IF(AC553="MSD",((V553*Alukset_fx!$B$25)*Alukset_Käynnit_Lask!W553*(Alukset_fx!$L$52)/1000),IF(AC553="HSD",((V553*Alukset_fx!$B$25)*Alukset_Käynnit_Lask!W553*(Alukset_fx!$L$55)/1000),0))</f>
        <v>0</v>
      </c>
      <c r="AJ553" s="207">
        <f>X553*W553*Alukset_fx!$K$61/1000</f>
        <v>0</v>
      </c>
      <c r="AK553">
        <v>0</v>
      </c>
      <c r="AL553" s="207">
        <f>IF(AG553="Käytetty",0,IF(AC553="MSD",((V553*Alukset_fx!$O$25)*Alukset_Käynnit_Lask!O553*(Alukset_fx!$L$52)/1000),IF(AC553="HSD",((V553*Alukset_fx!$O$25)*Alukset_Käynnit_Lask!O553*(Alukset_fx!$L$55)/1000),0)))</f>
        <v>0</v>
      </c>
      <c r="AM553" s="207">
        <f>IF(AG553="Käytetty",0,Y553*O553*Alukset_fx!$K$61/1000)</f>
        <v>0</v>
      </c>
      <c r="AN553" s="213">
        <f t="shared" si="110"/>
        <v>0</v>
      </c>
    </row>
    <row r="554" spans="1:40" x14ac:dyDescent="0.25">
      <c r="A554" s="203">
        <f>Alukset_Käynnit!A561</f>
        <v>0</v>
      </c>
      <c r="B554" s="203">
        <f>Alukset_Käynnit!B561</f>
        <v>0</v>
      </c>
      <c r="C554" s="262">
        <f>Alukset_Käynnit!C561</f>
        <v>0</v>
      </c>
      <c r="D554" s="266">
        <f>Alukset_Käynnit!D561</f>
        <v>0</v>
      </c>
      <c r="E554" s="262">
        <f>Alukset_Käynnit!E561</f>
        <v>0</v>
      </c>
      <c r="F554" s="262">
        <f>Alukset_Käynnit!F561</f>
        <v>0</v>
      </c>
      <c r="G554" s="262">
        <f>Alukset_Käynnit!G561</f>
        <v>0</v>
      </c>
      <c r="H554" s="262">
        <f>Alukset_Käynnit!H561</f>
        <v>0</v>
      </c>
      <c r="I554" s="262">
        <f>Alukset_Käynnit!I561</f>
        <v>0</v>
      </c>
      <c r="J554" s="262">
        <f>Alukset_Käynnit!J561</f>
        <v>0</v>
      </c>
      <c r="K554" s="262">
        <f>Alukset_Käynnit!K561</f>
        <v>0</v>
      </c>
      <c r="L554" s="205">
        <f>Alukset_Käynnit!L561</f>
        <v>0</v>
      </c>
      <c r="N554" s="273">
        <f t="shared" si="111"/>
        <v>0</v>
      </c>
      <c r="O554" s="274">
        <f t="shared" si="112"/>
        <v>0</v>
      </c>
      <c r="Q554" s="204">
        <f t="shared" si="101"/>
        <v>0</v>
      </c>
      <c r="R554" s="202">
        <f>IF(Q554="Other dry cargo",L554*Alukset_fx!$B$71,IF(OR(Q554="Dry bulk",Q554="Bulk carrier"),L554*Alukset_fx!$B$69,IF(Q554="Tugboat",L554*Alukset_fx!$B$76,IF(OR(Q554="Tanker",Q554="Gas tanker",Q554="Chemical tanker",Q554="Oil tanker"),L554*Alukset_fx!$B$68,IF(OR(Q554="RoRo",Q554="Vehicle carrier"),L554*Alukset_fx!$B$72,IF(Q554="RoPax",L554*Alukset_fx!$B$73,IF(Q554="Container ship",L554*Alukset_fx!$B$70,IF(Q554="Barge",0,L554*Alukset_fx!$B$75))))))))</f>
        <v>0</v>
      </c>
      <c r="S554" s="210">
        <f>IF(L554=0,IF(Q554="Other dry cargo",Alukset_fx!$H$73*(Alukset_Käynnit_Lask!K554^Alukset_fx!$I$73),IF(OR(Q554="Dry Bulk",Q554="Bulk carrier"),Alukset_fx!$H$71*(Alukset_Käynnit_Lask!K554^Alukset_fx!$I$71),IF(Q554="Tugboat",Alukset_fx!$H$78*(Alukset_Käynnit_Lask!K554^Alukset_fx!$I$78),IF(OR(Q554="Tanker",Q554="Gas tanker",Q554="Chemical tanker",Q554="Oil tanker"),Alukset_fx!$H$70*(Alukset_Käynnit_Lask!K554^Alukset_fx!$I$70),IF(Q554="Container ship",Alukset_fx!$H$72*(Alukset_Käynnit_Lask!K554^Alukset_fx!$I$72),IF(Q554="Barge",0,IF(Q554="RoPax",Alukset_fx!$H$75*(Alukset_Käynnit_Lask!K554^Alukset_fx!$I$75),IF(OR(Q554="RoRo",Q554="Vehicle carrier"),Alukset_fx!$H$74*(Alukset_Käynnit_Lask!K554^Alukset_fx!$I$74),Alukset_fx!$H$77*(Alukset_Käynnit_Lask!K554^Alukset_fx!$I$77))))))))),"-")</f>
        <v>0</v>
      </c>
      <c r="T554" s="208">
        <f>IF(R554=0,IF(Q554="Other dry cargo",S554*Alukset_fx!$B$71,IF(OR(Q554="Dry bulk",Q554="Bulk carrier"),S554*Alukset_fx!$B$69,IF(Q554="Tugboat",S554*Alukset_fx!$B$76,IF(OR(Q554="Tanker",Q554="Gas tanker",Q554="Chemical tanker",Q554="Oil tanker"),S554*Alukset_fx!$B$68,IF(OR(Q554="RoRo",Q554="Vehicle carrier"),S554*Alukset_fx!$B$72,IF(Q554="RoPax",S554*Alukset_fx!$B$73,IF(Q554="Container ship",S554*Alukset_fx!$B$70,S554*Alukset_fx!$B$75))))))),"-")</f>
        <v>0</v>
      </c>
      <c r="U554" s="208">
        <f t="shared" si="102"/>
        <v>0</v>
      </c>
      <c r="V554" s="208">
        <f t="shared" si="103"/>
        <v>0</v>
      </c>
      <c r="W554" s="202">
        <f>Alukset_Käynnit!N561</f>
        <v>0</v>
      </c>
      <c r="X554" s="211">
        <f>IF(Q554="Other dry cargo", Alukset_fx!$C$52, IF(OR(Q554="Dry bulk",Q554="Bulk carrier"),Alukset_fx!$C$35,IF(OR(Q554="Tanker",Q554="Gas tanker",Q554="Oil tanker"),Alukset_fx!$C$57,IF(Q554="Chemical tanker",Alukset_fx!$C$56,IF(OR(Q554="Tugboat",Q554="Barge"),0,IF(Q554="Other vessel",Alukset_fx!$C$54,IF(Q554="Container ship",Alukset_fx!$C$37,IF(OR(Q554="RoPax",Q554="RoRo",Q554="Vehicle carrier"),Alukset_fx!$C$55,0))))))))</f>
        <v>0</v>
      </c>
      <c r="Y554" s="211">
        <f>IF(Q554="Other dry cargo", Alukset_fx!$Q$52, IF(OR(Q554="Dry bulk",Q554="Bulk carrier"),Alukset_fx!$Q$35,IF(OR(Q554="Tanker",Q554="Gas tanker",Q554="Oil tanker"),Alukset_fx!$Q$57,IF(Q554="Chemical tanker",Alukset_fx!$Q$56,IF(OR(Q554="Tugboat",Q554="Barge"),0,IF(Q554="Other vessel",Alukset_fx!$Q$54,IF(Q554="Container ship",Alukset_fx!$Q$37,IF(OR(Q554="RoPax",Q554="RoRo",Q554="Vehicle carrier"),Alukset_fx!$Q$55,0))))))))</f>
        <v>0</v>
      </c>
      <c r="Z554" t="str">
        <f t="shared" si="104"/>
        <v>MDO/MGO</v>
      </c>
      <c r="AA554" t="str">
        <f t="shared" si="105"/>
        <v>MSD</v>
      </c>
      <c r="AB554" t="str">
        <f t="shared" si="106"/>
        <v>MDO/MGO</v>
      </c>
      <c r="AC554" t="str">
        <f t="shared" si="107"/>
        <v>MSD</v>
      </c>
      <c r="AD554" t="str">
        <f t="shared" si="108"/>
        <v>MDO/MGO</v>
      </c>
      <c r="AE554" t="str">
        <f t="shared" si="109"/>
        <v>ST</v>
      </c>
      <c r="AG554">
        <f>Alukset_Käynnit!O561</f>
        <v>0</v>
      </c>
      <c r="AH554" s="207">
        <f>IF(AA554="SSD",((U554*Alukset_fx!$B$24)*Alukset_Käynnit_Lask!W554*(Alukset_fx!$K$49)/1000),IF(AA554="MSD",((U554*Alukset_fx!$B$24)*Alukset_Käynnit_Lask!W554*(Alukset_fx!$K$52)/1000),IF(AA554="HSD",((U554*Alukset_fx!$B$24)*Alukset_Käynnit_Lask!W554*(Alukset_fx!$K$55)/1000),0)))</f>
        <v>0</v>
      </c>
      <c r="AI554" s="207">
        <f>IF(AC554="MSD",((V554*Alukset_fx!$B$25)*Alukset_Käynnit_Lask!W554*(Alukset_fx!$L$52)/1000),IF(AC554="HSD",((V554*Alukset_fx!$B$25)*Alukset_Käynnit_Lask!W554*(Alukset_fx!$L$55)/1000),0))</f>
        <v>0</v>
      </c>
      <c r="AJ554" s="207">
        <f>X554*W554*Alukset_fx!$K$61/1000</f>
        <v>0</v>
      </c>
      <c r="AK554">
        <v>0</v>
      </c>
      <c r="AL554" s="207">
        <f>IF(AG554="Käytetty",0,IF(AC554="MSD",((V554*Alukset_fx!$O$25)*Alukset_Käynnit_Lask!O554*(Alukset_fx!$L$52)/1000),IF(AC554="HSD",((V554*Alukset_fx!$O$25)*Alukset_Käynnit_Lask!O554*(Alukset_fx!$L$55)/1000),0)))</f>
        <v>0</v>
      </c>
      <c r="AM554" s="207">
        <f>IF(AG554="Käytetty",0,Y554*O554*Alukset_fx!$K$61/1000)</f>
        <v>0</v>
      </c>
      <c r="AN554" s="213">
        <f t="shared" si="110"/>
        <v>0</v>
      </c>
    </row>
    <row r="555" spans="1:40" x14ac:dyDescent="0.25">
      <c r="A555" s="203">
        <f>Alukset_Käynnit!A562</f>
        <v>0</v>
      </c>
      <c r="B555" s="203">
        <f>Alukset_Käynnit!B562</f>
        <v>0</v>
      </c>
      <c r="C555" s="262">
        <f>Alukset_Käynnit!C562</f>
        <v>0</v>
      </c>
      <c r="D555" s="266">
        <f>Alukset_Käynnit!D562</f>
        <v>0</v>
      </c>
      <c r="E555" s="262">
        <f>Alukset_Käynnit!E562</f>
        <v>0</v>
      </c>
      <c r="F555" s="262">
        <f>Alukset_Käynnit!F562</f>
        <v>0</v>
      </c>
      <c r="G555" s="262">
        <f>Alukset_Käynnit!G562</f>
        <v>0</v>
      </c>
      <c r="H555" s="262">
        <f>Alukset_Käynnit!H562</f>
        <v>0</v>
      </c>
      <c r="I555" s="262">
        <f>Alukset_Käynnit!I562</f>
        <v>0</v>
      </c>
      <c r="J555" s="262">
        <f>Alukset_Käynnit!J562</f>
        <v>0</v>
      </c>
      <c r="K555" s="262">
        <f>Alukset_Käynnit!K562</f>
        <v>0</v>
      </c>
      <c r="L555" s="205">
        <f>Alukset_Käynnit!L562</f>
        <v>0</v>
      </c>
      <c r="N555" s="273">
        <f t="shared" si="111"/>
        <v>0</v>
      </c>
      <c r="O555" s="274">
        <f t="shared" si="112"/>
        <v>0</v>
      </c>
      <c r="Q555" s="204">
        <f t="shared" si="101"/>
        <v>0</v>
      </c>
      <c r="R555" s="202">
        <f>IF(Q555="Other dry cargo",L555*Alukset_fx!$B$71,IF(OR(Q555="Dry bulk",Q555="Bulk carrier"),L555*Alukset_fx!$B$69,IF(Q555="Tugboat",L555*Alukset_fx!$B$76,IF(OR(Q555="Tanker",Q555="Gas tanker",Q555="Chemical tanker",Q555="Oil tanker"),L555*Alukset_fx!$B$68,IF(OR(Q555="RoRo",Q555="Vehicle carrier"),L555*Alukset_fx!$B$72,IF(Q555="RoPax",L555*Alukset_fx!$B$73,IF(Q555="Container ship",L555*Alukset_fx!$B$70,IF(Q555="Barge",0,L555*Alukset_fx!$B$75))))))))</f>
        <v>0</v>
      </c>
      <c r="S555" s="210">
        <f>IF(L555=0,IF(Q555="Other dry cargo",Alukset_fx!$H$73*(Alukset_Käynnit_Lask!K555^Alukset_fx!$I$73),IF(OR(Q555="Dry Bulk",Q555="Bulk carrier"),Alukset_fx!$H$71*(Alukset_Käynnit_Lask!K555^Alukset_fx!$I$71),IF(Q555="Tugboat",Alukset_fx!$H$78*(Alukset_Käynnit_Lask!K555^Alukset_fx!$I$78),IF(OR(Q555="Tanker",Q555="Gas tanker",Q555="Chemical tanker",Q555="Oil tanker"),Alukset_fx!$H$70*(Alukset_Käynnit_Lask!K555^Alukset_fx!$I$70),IF(Q555="Container ship",Alukset_fx!$H$72*(Alukset_Käynnit_Lask!K555^Alukset_fx!$I$72),IF(Q555="Barge",0,IF(Q555="RoPax",Alukset_fx!$H$75*(Alukset_Käynnit_Lask!K555^Alukset_fx!$I$75),IF(OR(Q555="RoRo",Q555="Vehicle carrier"),Alukset_fx!$H$74*(Alukset_Käynnit_Lask!K555^Alukset_fx!$I$74),Alukset_fx!$H$77*(Alukset_Käynnit_Lask!K555^Alukset_fx!$I$77))))))))),"-")</f>
        <v>0</v>
      </c>
      <c r="T555" s="208">
        <f>IF(R555=0,IF(Q555="Other dry cargo",S555*Alukset_fx!$B$71,IF(OR(Q555="Dry bulk",Q555="Bulk carrier"),S555*Alukset_fx!$B$69,IF(Q555="Tugboat",S555*Alukset_fx!$B$76,IF(OR(Q555="Tanker",Q555="Gas tanker",Q555="Chemical tanker",Q555="Oil tanker"),S555*Alukset_fx!$B$68,IF(OR(Q555="RoRo",Q555="Vehicle carrier"),S555*Alukset_fx!$B$72,IF(Q555="RoPax",S555*Alukset_fx!$B$73,IF(Q555="Container ship",S555*Alukset_fx!$B$70,S555*Alukset_fx!$B$75))))))),"-")</f>
        <v>0</v>
      </c>
      <c r="U555" s="208">
        <f t="shared" si="102"/>
        <v>0</v>
      </c>
      <c r="V555" s="208">
        <f t="shared" si="103"/>
        <v>0</v>
      </c>
      <c r="W555" s="202">
        <f>Alukset_Käynnit!N562</f>
        <v>0</v>
      </c>
      <c r="X555" s="211">
        <f>IF(Q555="Other dry cargo", Alukset_fx!$C$52, IF(OR(Q555="Dry bulk",Q555="Bulk carrier"),Alukset_fx!$C$35,IF(OR(Q555="Tanker",Q555="Gas tanker",Q555="Oil tanker"),Alukset_fx!$C$57,IF(Q555="Chemical tanker",Alukset_fx!$C$56,IF(OR(Q555="Tugboat",Q555="Barge"),0,IF(Q555="Other vessel",Alukset_fx!$C$54,IF(Q555="Container ship",Alukset_fx!$C$37,IF(OR(Q555="RoPax",Q555="RoRo",Q555="Vehicle carrier"),Alukset_fx!$C$55,0))))))))</f>
        <v>0</v>
      </c>
      <c r="Y555" s="211">
        <f>IF(Q555="Other dry cargo", Alukset_fx!$Q$52, IF(OR(Q555="Dry bulk",Q555="Bulk carrier"),Alukset_fx!$Q$35,IF(OR(Q555="Tanker",Q555="Gas tanker",Q555="Oil tanker"),Alukset_fx!$Q$57,IF(Q555="Chemical tanker",Alukset_fx!$Q$56,IF(OR(Q555="Tugboat",Q555="Barge"),0,IF(Q555="Other vessel",Alukset_fx!$Q$54,IF(Q555="Container ship",Alukset_fx!$Q$37,IF(OR(Q555="RoPax",Q555="RoRo",Q555="Vehicle carrier"),Alukset_fx!$Q$55,0))))))))</f>
        <v>0</v>
      </c>
      <c r="Z555" t="str">
        <f t="shared" si="104"/>
        <v>MDO/MGO</v>
      </c>
      <c r="AA555" t="str">
        <f t="shared" si="105"/>
        <v>MSD</v>
      </c>
      <c r="AB555" t="str">
        <f t="shared" si="106"/>
        <v>MDO/MGO</v>
      </c>
      <c r="AC555" t="str">
        <f t="shared" si="107"/>
        <v>MSD</v>
      </c>
      <c r="AD555" t="str">
        <f t="shared" si="108"/>
        <v>MDO/MGO</v>
      </c>
      <c r="AE555" t="str">
        <f t="shared" si="109"/>
        <v>ST</v>
      </c>
      <c r="AG555">
        <f>Alukset_Käynnit!O562</f>
        <v>0</v>
      </c>
      <c r="AH555" s="207">
        <f>IF(AA555="SSD",((U555*Alukset_fx!$B$24)*Alukset_Käynnit_Lask!W555*(Alukset_fx!$K$49)/1000),IF(AA555="MSD",((U555*Alukset_fx!$B$24)*Alukset_Käynnit_Lask!W555*(Alukset_fx!$K$52)/1000),IF(AA555="HSD",((U555*Alukset_fx!$B$24)*Alukset_Käynnit_Lask!W555*(Alukset_fx!$K$55)/1000),0)))</f>
        <v>0</v>
      </c>
      <c r="AI555" s="207">
        <f>IF(AC555="MSD",((V555*Alukset_fx!$B$25)*Alukset_Käynnit_Lask!W555*(Alukset_fx!$L$52)/1000),IF(AC555="HSD",((V555*Alukset_fx!$B$25)*Alukset_Käynnit_Lask!W555*(Alukset_fx!$L$55)/1000),0))</f>
        <v>0</v>
      </c>
      <c r="AJ555" s="207">
        <f>X555*W555*Alukset_fx!$K$61/1000</f>
        <v>0</v>
      </c>
      <c r="AK555">
        <v>0</v>
      </c>
      <c r="AL555" s="207">
        <f>IF(AG555="Käytetty",0,IF(AC555="MSD",((V555*Alukset_fx!$O$25)*Alukset_Käynnit_Lask!O555*(Alukset_fx!$L$52)/1000),IF(AC555="HSD",((V555*Alukset_fx!$O$25)*Alukset_Käynnit_Lask!O555*(Alukset_fx!$L$55)/1000),0)))</f>
        <v>0</v>
      </c>
      <c r="AM555" s="207">
        <f>IF(AG555="Käytetty",0,Y555*O555*Alukset_fx!$K$61/1000)</f>
        <v>0</v>
      </c>
      <c r="AN555" s="213">
        <f t="shared" si="110"/>
        <v>0</v>
      </c>
    </row>
    <row r="556" spans="1:40" x14ac:dyDescent="0.25">
      <c r="A556" s="203">
        <f>Alukset_Käynnit!A563</f>
        <v>0</v>
      </c>
      <c r="B556" s="203">
        <f>Alukset_Käynnit!B563</f>
        <v>0</v>
      </c>
      <c r="C556" s="262">
        <f>Alukset_Käynnit!C563</f>
        <v>0</v>
      </c>
      <c r="D556" s="266">
        <f>Alukset_Käynnit!D563</f>
        <v>0</v>
      </c>
      <c r="E556" s="262">
        <f>Alukset_Käynnit!E563</f>
        <v>0</v>
      </c>
      <c r="F556" s="262">
        <f>Alukset_Käynnit!F563</f>
        <v>0</v>
      </c>
      <c r="G556" s="262">
        <f>Alukset_Käynnit!G563</f>
        <v>0</v>
      </c>
      <c r="H556" s="262">
        <f>Alukset_Käynnit!H563</f>
        <v>0</v>
      </c>
      <c r="I556" s="262">
        <f>Alukset_Käynnit!I563</f>
        <v>0</v>
      </c>
      <c r="J556" s="262">
        <f>Alukset_Käynnit!J563</f>
        <v>0</v>
      </c>
      <c r="K556" s="262">
        <f>Alukset_Käynnit!K563</f>
        <v>0</v>
      </c>
      <c r="L556" s="205">
        <f>Alukset_Käynnit!L563</f>
        <v>0</v>
      </c>
      <c r="N556" s="273">
        <f t="shared" si="111"/>
        <v>0</v>
      </c>
      <c r="O556" s="274">
        <f t="shared" si="112"/>
        <v>0</v>
      </c>
      <c r="Q556" s="204">
        <f t="shared" si="101"/>
        <v>0</v>
      </c>
      <c r="R556" s="202">
        <f>IF(Q556="Other dry cargo",L556*Alukset_fx!$B$71,IF(OR(Q556="Dry bulk",Q556="Bulk carrier"),L556*Alukset_fx!$B$69,IF(Q556="Tugboat",L556*Alukset_fx!$B$76,IF(OR(Q556="Tanker",Q556="Gas tanker",Q556="Chemical tanker",Q556="Oil tanker"),L556*Alukset_fx!$B$68,IF(OR(Q556="RoRo",Q556="Vehicle carrier"),L556*Alukset_fx!$B$72,IF(Q556="RoPax",L556*Alukset_fx!$B$73,IF(Q556="Container ship",L556*Alukset_fx!$B$70,IF(Q556="Barge",0,L556*Alukset_fx!$B$75))))))))</f>
        <v>0</v>
      </c>
      <c r="S556" s="210">
        <f>IF(L556=0,IF(Q556="Other dry cargo",Alukset_fx!$H$73*(Alukset_Käynnit_Lask!K556^Alukset_fx!$I$73),IF(OR(Q556="Dry Bulk",Q556="Bulk carrier"),Alukset_fx!$H$71*(Alukset_Käynnit_Lask!K556^Alukset_fx!$I$71),IF(Q556="Tugboat",Alukset_fx!$H$78*(Alukset_Käynnit_Lask!K556^Alukset_fx!$I$78),IF(OR(Q556="Tanker",Q556="Gas tanker",Q556="Chemical tanker",Q556="Oil tanker"),Alukset_fx!$H$70*(Alukset_Käynnit_Lask!K556^Alukset_fx!$I$70),IF(Q556="Container ship",Alukset_fx!$H$72*(Alukset_Käynnit_Lask!K556^Alukset_fx!$I$72),IF(Q556="Barge",0,IF(Q556="RoPax",Alukset_fx!$H$75*(Alukset_Käynnit_Lask!K556^Alukset_fx!$I$75),IF(OR(Q556="RoRo",Q556="Vehicle carrier"),Alukset_fx!$H$74*(Alukset_Käynnit_Lask!K556^Alukset_fx!$I$74),Alukset_fx!$H$77*(Alukset_Käynnit_Lask!K556^Alukset_fx!$I$77))))))))),"-")</f>
        <v>0</v>
      </c>
      <c r="T556" s="208">
        <f>IF(R556=0,IF(Q556="Other dry cargo",S556*Alukset_fx!$B$71,IF(OR(Q556="Dry bulk",Q556="Bulk carrier"),S556*Alukset_fx!$B$69,IF(Q556="Tugboat",S556*Alukset_fx!$B$76,IF(OR(Q556="Tanker",Q556="Gas tanker",Q556="Chemical tanker",Q556="Oil tanker"),S556*Alukset_fx!$B$68,IF(OR(Q556="RoRo",Q556="Vehicle carrier"),S556*Alukset_fx!$B$72,IF(Q556="RoPax",S556*Alukset_fx!$B$73,IF(Q556="Container ship",S556*Alukset_fx!$B$70,S556*Alukset_fx!$B$75))))))),"-")</f>
        <v>0</v>
      </c>
      <c r="U556" s="208">
        <f t="shared" si="102"/>
        <v>0</v>
      </c>
      <c r="V556" s="208">
        <f t="shared" si="103"/>
        <v>0</v>
      </c>
      <c r="W556" s="202">
        <f>Alukset_Käynnit!N563</f>
        <v>0</v>
      </c>
      <c r="X556" s="211">
        <f>IF(Q556="Other dry cargo", Alukset_fx!$C$52, IF(OR(Q556="Dry bulk",Q556="Bulk carrier"),Alukset_fx!$C$35,IF(OR(Q556="Tanker",Q556="Gas tanker",Q556="Oil tanker"),Alukset_fx!$C$57,IF(Q556="Chemical tanker",Alukset_fx!$C$56,IF(OR(Q556="Tugboat",Q556="Barge"),0,IF(Q556="Other vessel",Alukset_fx!$C$54,IF(Q556="Container ship",Alukset_fx!$C$37,IF(OR(Q556="RoPax",Q556="RoRo",Q556="Vehicle carrier"),Alukset_fx!$C$55,0))))))))</f>
        <v>0</v>
      </c>
      <c r="Y556" s="211">
        <f>IF(Q556="Other dry cargo", Alukset_fx!$Q$52, IF(OR(Q556="Dry bulk",Q556="Bulk carrier"),Alukset_fx!$Q$35,IF(OR(Q556="Tanker",Q556="Gas tanker",Q556="Oil tanker"),Alukset_fx!$Q$57,IF(Q556="Chemical tanker",Alukset_fx!$Q$56,IF(OR(Q556="Tugboat",Q556="Barge"),0,IF(Q556="Other vessel",Alukset_fx!$Q$54,IF(Q556="Container ship",Alukset_fx!$Q$37,IF(OR(Q556="RoPax",Q556="RoRo",Q556="Vehicle carrier"),Alukset_fx!$Q$55,0))))))))</f>
        <v>0</v>
      </c>
      <c r="Z556" t="str">
        <f t="shared" si="104"/>
        <v>MDO/MGO</v>
      </c>
      <c r="AA556" t="str">
        <f t="shared" si="105"/>
        <v>MSD</v>
      </c>
      <c r="AB556" t="str">
        <f t="shared" si="106"/>
        <v>MDO/MGO</v>
      </c>
      <c r="AC556" t="str">
        <f t="shared" si="107"/>
        <v>MSD</v>
      </c>
      <c r="AD556" t="str">
        <f t="shared" si="108"/>
        <v>MDO/MGO</v>
      </c>
      <c r="AE556" t="str">
        <f t="shared" si="109"/>
        <v>ST</v>
      </c>
      <c r="AG556">
        <f>Alukset_Käynnit!O563</f>
        <v>0</v>
      </c>
      <c r="AH556" s="207">
        <f>IF(AA556="SSD",((U556*Alukset_fx!$B$24)*Alukset_Käynnit_Lask!W556*(Alukset_fx!$K$49)/1000),IF(AA556="MSD",((U556*Alukset_fx!$B$24)*Alukset_Käynnit_Lask!W556*(Alukset_fx!$K$52)/1000),IF(AA556="HSD",((U556*Alukset_fx!$B$24)*Alukset_Käynnit_Lask!W556*(Alukset_fx!$K$55)/1000),0)))</f>
        <v>0</v>
      </c>
      <c r="AI556" s="207">
        <f>IF(AC556="MSD",((V556*Alukset_fx!$B$25)*Alukset_Käynnit_Lask!W556*(Alukset_fx!$L$52)/1000),IF(AC556="HSD",((V556*Alukset_fx!$B$25)*Alukset_Käynnit_Lask!W556*(Alukset_fx!$L$55)/1000),0))</f>
        <v>0</v>
      </c>
      <c r="AJ556" s="207">
        <f>X556*W556*Alukset_fx!$K$61/1000</f>
        <v>0</v>
      </c>
      <c r="AK556">
        <v>0</v>
      </c>
      <c r="AL556" s="207">
        <f>IF(AG556="Käytetty",0,IF(AC556="MSD",((V556*Alukset_fx!$O$25)*Alukset_Käynnit_Lask!O556*(Alukset_fx!$L$52)/1000),IF(AC556="HSD",((V556*Alukset_fx!$O$25)*Alukset_Käynnit_Lask!O556*(Alukset_fx!$L$55)/1000),0)))</f>
        <v>0</v>
      </c>
      <c r="AM556" s="207">
        <f>IF(AG556="Käytetty",0,Y556*O556*Alukset_fx!$K$61/1000)</f>
        <v>0</v>
      </c>
      <c r="AN556" s="213">
        <f t="shared" si="110"/>
        <v>0</v>
      </c>
    </row>
    <row r="557" spans="1:40" x14ac:dyDescent="0.25">
      <c r="A557" s="203">
        <f>Alukset_Käynnit!A564</f>
        <v>0</v>
      </c>
      <c r="B557" s="203">
        <f>Alukset_Käynnit!B564</f>
        <v>0</v>
      </c>
      <c r="C557" s="262">
        <f>Alukset_Käynnit!C564</f>
        <v>0</v>
      </c>
      <c r="D557" s="266">
        <f>Alukset_Käynnit!D564</f>
        <v>0</v>
      </c>
      <c r="E557" s="262">
        <f>Alukset_Käynnit!E564</f>
        <v>0</v>
      </c>
      <c r="F557" s="262">
        <f>Alukset_Käynnit!F564</f>
        <v>0</v>
      </c>
      <c r="G557" s="262">
        <f>Alukset_Käynnit!G564</f>
        <v>0</v>
      </c>
      <c r="H557" s="262">
        <f>Alukset_Käynnit!H564</f>
        <v>0</v>
      </c>
      <c r="I557" s="262">
        <f>Alukset_Käynnit!I564</f>
        <v>0</v>
      </c>
      <c r="J557" s="262">
        <f>Alukset_Käynnit!J564</f>
        <v>0</v>
      </c>
      <c r="K557" s="262">
        <f>Alukset_Käynnit!K564</f>
        <v>0</v>
      </c>
      <c r="L557" s="205">
        <f>Alukset_Käynnit!L564</f>
        <v>0</v>
      </c>
      <c r="N557" s="273">
        <f t="shared" si="111"/>
        <v>0</v>
      </c>
      <c r="O557" s="274">
        <f t="shared" si="112"/>
        <v>0</v>
      </c>
      <c r="Q557" s="204">
        <f t="shared" si="101"/>
        <v>0</v>
      </c>
      <c r="R557" s="202">
        <f>IF(Q557="Other dry cargo",L557*Alukset_fx!$B$71,IF(OR(Q557="Dry bulk",Q557="Bulk carrier"),L557*Alukset_fx!$B$69,IF(Q557="Tugboat",L557*Alukset_fx!$B$76,IF(OR(Q557="Tanker",Q557="Gas tanker",Q557="Chemical tanker",Q557="Oil tanker"),L557*Alukset_fx!$B$68,IF(OR(Q557="RoRo",Q557="Vehicle carrier"),L557*Alukset_fx!$B$72,IF(Q557="RoPax",L557*Alukset_fx!$B$73,IF(Q557="Container ship",L557*Alukset_fx!$B$70,IF(Q557="Barge",0,L557*Alukset_fx!$B$75))))))))</f>
        <v>0</v>
      </c>
      <c r="S557" s="210">
        <f>IF(L557=0,IF(Q557="Other dry cargo",Alukset_fx!$H$73*(Alukset_Käynnit_Lask!K557^Alukset_fx!$I$73),IF(OR(Q557="Dry Bulk",Q557="Bulk carrier"),Alukset_fx!$H$71*(Alukset_Käynnit_Lask!K557^Alukset_fx!$I$71),IF(Q557="Tugboat",Alukset_fx!$H$78*(Alukset_Käynnit_Lask!K557^Alukset_fx!$I$78),IF(OR(Q557="Tanker",Q557="Gas tanker",Q557="Chemical tanker",Q557="Oil tanker"),Alukset_fx!$H$70*(Alukset_Käynnit_Lask!K557^Alukset_fx!$I$70),IF(Q557="Container ship",Alukset_fx!$H$72*(Alukset_Käynnit_Lask!K557^Alukset_fx!$I$72),IF(Q557="Barge",0,IF(Q557="RoPax",Alukset_fx!$H$75*(Alukset_Käynnit_Lask!K557^Alukset_fx!$I$75),IF(OR(Q557="RoRo",Q557="Vehicle carrier"),Alukset_fx!$H$74*(Alukset_Käynnit_Lask!K557^Alukset_fx!$I$74),Alukset_fx!$H$77*(Alukset_Käynnit_Lask!K557^Alukset_fx!$I$77))))))))),"-")</f>
        <v>0</v>
      </c>
      <c r="T557" s="208">
        <f>IF(R557=0,IF(Q557="Other dry cargo",S557*Alukset_fx!$B$71,IF(OR(Q557="Dry bulk",Q557="Bulk carrier"),S557*Alukset_fx!$B$69,IF(Q557="Tugboat",S557*Alukset_fx!$B$76,IF(OR(Q557="Tanker",Q557="Gas tanker",Q557="Chemical tanker",Q557="Oil tanker"),S557*Alukset_fx!$B$68,IF(OR(Q557="RoRo",Q557="Vehicle carrier"),S557*Alukset_fx!$B$72,IF(Q557="RoPax",S557*Alukset_fx!$B$73,IF(Q557="Container ship",S557*Alukset_fx!$B$70,S557*Alukset_fx!$B$75))))))),"-")</f>
        <v>0</v>
      </c>
      <c r="U557" s="208">
        <f t="shared" si="102"/>
        <v>0</v>
      </c>
      <c r="V557" s="208">
        <f t="shared" si="103"/>
        <v>0</v>
      </c>
      <c r="W557" s="202">
        <f>Alukset_Käynnit!N564</f>
        <v>0</v>
      </c>
      <c r="X557" s="211">
        <f>IF(Q557="Other dry cargo", Alukset_fx!$C$52, IF(OR(Q557="Dry bulk",Q557="Bulk carrier"),Alukset_fx!$C$35,IF(OR(Q557="Tanker",Q557="Gas tanker",Q557="Oil tanker"),Alukset_fx!$C$57,IF(Q557="Chemical tanker",Alukset_fx!$C$56,IF(OR(Q557="Tugboat",Q557="Barge"),0,IF(Q557="Other vessel",Alukset_fx!$C$54,IF(Q557="Container ship",Alukset_fx!$C$37,IF(OR(Q557="RoPax",Q557="RoRo",Q557="Vehicle carrier"),Alukset_fx!$C$55,0))))))))</f>
        <v>0</v>
      </c>
      <c r="Y557" s="211">
        <f>IF(Q557="Other dry cargo", Alukset_fx!$Q$52, IF(OR(Q557="Dry bulk",Q557="Bulk carrier"),Alukset_fx!$Q$35,IF(OR(Q557="Tanker",Q557="Gas tanker",Q557="Oil tanker"),Alukset_fx!$Q$57,IF(Q557="Chemical tanker",Alukset_fx!$Q$56,IF(OR(Q557="Tugboat",Q557="Barge"),0,IF(Q557="Other vessel",Alukset_fx!$Q$54,IF(Q557="Container ship",Alukset_fx!$Q$37,IF(OR(Q557="RoPax",Q557="RoRo",Q557="Vehicle carrier"),Alukset_fx!$Q$55,0))))))))</f>
        <v>0</v>
      </c>
      <c r="Z557" t="str">
        <f t="shared" si="104"/>
        <v>MDO/MGO</v>
      </c>
      <c r="AA557" t="str">
        <f t="shared" si="105"/>
        <v>MSD</v>
      </c>
      <c r="AB557" t="str">
        <f t="shared" si="106"/>
        <v>MDO/MGO</v>
      </c>
      <c r="AC557" t="str">
        <f t="shared" si="107"/>
        <v>MSD</v>
      </c>
      <c r="AD557" t="str">
        <f t="shared" si="108"/>
        <v>MDO/MGO</v>
      </c>
      <c r="AE557" t="str">
        <f t="shared" si="109"/>
        <v>ST</v>
      </c>
      <c r="AG557">
        <f>Alukset_Käynnit!O564</f>
        <v>0</v>
      </c>
      <c r="AH557" s="207">
        <f>IF(AA557="SSD",((U557*Alukset_fx!$B$24)*Alukset_Käynnit_Lask!W557*(Alukset_fx!$K$49)/1000),IF(AA557="MSD",((U557*Alukset_fx!$B$24)*Alukset_Käynnit_Lask!W557*(Alukset_fx!$K$52)/1000),IF(AA557="HSD",((U557*Alukset_fx!$B$24)*Alukset_Käynnit_Lask!W557*(Alukset_fx!$K$55)/1000),0)))</f>
        <v>0</v>
      </c>
      <c r="AI557" s="207">
        <f>IF(AC557="MSD",((V557*Alukset_fx!$B$25)*Alukset_Käynnit_Lask!W557*(Alukset_fx!$L$52)/1000),IF(AC557="HSD",((V557*Alukset_fx!$B$25)*Alukset_Käynnit_Lask!W557*(Alukset_fx!$L$55)/1000),0))</f>
        <v>0</v>
      </c>
      <c r="AJ557" s="207">
        <f>X557*W557*Alukset_fx!$K$61/1000</f>
        <v>0</v>
      </c>
      <c r="AK557">
        <v>0</v>
      </c>
      <c r="AL557" s="207">
        <f>IF(AG557="Käytetty",0,IF(AC557="MSD",((V557*Alukset_fx!$O$25)*Alukset_Käynnit_Lask!O557*(Alukset_fx!$L$52)/1000),IF(AC557="HSD",((V557*Alukset_fx!$O$25)*Alukset_Käynnit_Lask!O557*(Alukset_fx!$L$55)/1000),0)))</f>
        <v>0</v>
      </c>
      <c r="AM557" s="207">
        <f>IF(AG557="Käytetty",0,Y557*O557*Alukset_fx!$K$61/1000)</f>
        <v>0</v>
      </c>
      <c r="AN557" s="213">
        <f t="shared" si="110"/>
        <v>0</v>
      </c>
    </row>
    <row r="558" spans="1:40" x14ac:dyDescent="0.25">
      <c r="A558" s="203">
        <f>Alukset_Käynnit!A565</f>
        <v>0</v>
      </c>
      <c r="B558" s="203">
        <f>Alukset_Käynnit!B565</f>
        <v>0</v>
      </c>
      <c r="C558" s="262">
        <f>Alukset_Käynnit!C565</f>
        <v>0</v>
      </c>
      <c r="D558" s="266">
        <f>Alukset_Käynnit!D565</f>
        <v>0</v>
      </c>
      <c r="E558" s="262">
        <f>Alukset_Käynnit!E565</f>
        <v>0</v>
      </c>
      <c r="F558" s="262">
        <f>Alukset_Käynnit!F565</f>
        <v>0</v>
      </c>
      <c r="G558" s="262">
        <f>Alukset_Käynnit!G565</f>
        <v>0</v>
      </c>
      <c r="H558" s="262">
        <f>Alukset_Käynnit!H565</f>
        <v>0</v>
      </c>
      <c r="I558" s="262">
        <f>Alukset_Käynnit!I565</f>
        <v>0</v>
      </c>
      <c r="J558" s="262">
        <f>Alukset_Käynnit!J565</f>
        <v>0</v>
      </c>
      <c r="K558" s="262">
        <f>Alukset_Käynnit!K565</f>
        <v>0</v>
      </c>
      <c r="L558" s="205">
        <f>Alukset_Käynnit!L565</f>
        <v>0</v>
      </c>
      <c r="N558" s="273">
        <f t="shared" si="111"/>
        <v>0</v>
      </c>
      <c r="O558" s="274">
        <f t="shared" si="112"/>
        <v>0</v>
      </c>
      <c r="Q558" s="204">
        <f t="shared" si="101"/>
        <v>0</v>
      </c>
      <c r="R558" s="202">
        <f>IF(Q558="Other dry cargo",L558*Alukset_fx!$B$71,IF(OR(Q558="Dry bulk",Q558="Bulk carrier"),L558*Alukset_fx!$B$69,IF(Q558="Tugboat",L558*Alukset_fx!$B$76,IF(OR(Q558="Tanker",Q558="Gas tanker",Q558="Chemical tanker",Q558="Oil tanker"),L558*Alukset_fx!$B$68,IF(OR(Q558="RoRo",Q558="Vehicle carrier"),L558*Alukset_fx!$B$72,IF(Q558="RoPax",L558*Alukset_fx!$B$73,IF(Q558="Container ship",L558*Alukset_fx!$B$70,IF(Q558="Barge",0,L558*Alukset_fx!$B$75))))))))</f>
        <v>0</v>
      </c>
      <c r="S558" s="210">
        <f>IF(L558=0,IF(Q558="Other dry cargo",Alukset_fx!$H$73*(Alukset_Käynnit_Lask!K558^Alukset_fx!$I$73),IF(OR(Q558="Dry Bulk",Q558="Bulk carrier"),Alukset_fx!$H$71*(Alukset_Käynnit_Lask!K558^Alukset_fx!$I$71),IF(Q558="Tugboat",Alukset_fx!$H$78*(Alukset_Käynnit_Lask!K558^Alukset_fx!$I$78),IF(OR(Q558="Tanker",Q558="Gas tanker",Q558="Chemical tanker",Q558="Oil tanker"),Alukset_fx!$H$70*(Alukset_Käynnit_Lask!K558^Alukset_fx!$I$70),IF(Q558="Container ship",Alukset_fx!$H$72*(Alukset_Käynnit_Lask!K558^Alukset_fx!$I$72),IF(Q558="Barge",0,IF(Q558="RoPax",Alukset_fx!$H$75*(Alukset_Käynnit_Lask!K558^Alukset_fx!$I$75),IF(OR(Q558="RoRo",Q558="Vehicle carrier"),Alukset_fx!$H$74*(Alukset_Käynnit_Lask!K558^Alukset_fx!$I$74),Alukset_fx!$H$77*(Alukset_Käynnit_Lask!K558^Alukset_fx!$I$77))))))))),"-")</f>
        <v>0</v>
      </c>
      <c r="T558" s="208">
        <f>IF(R558=0,IF(Q558="Other dry cargo",S558*Alukset_fx!$B$71,IF(OR(Q558="Dry bulk",Q558="Bulk carrier"),S558*Alukset_fx!$B$69,IF(Q558="Tugboat",S558*Alukset_fx!$B$76,IF(OR(Q558="Tanker",Q558="Gas tanker",Q558="Chemical tanker",Q558="Oil tanker"),S558*Alukset_fx!$B$68,IF(OR(Q558="RoRo",Q558="Vehicle carrier"),S558*Alukset_fx!$B$72,IF(Q558="RoPax",S558*Alukset_fx!$B$73,IF(Q558="Container ship",S558*Alukset_fx!$B$70,S558*Alukset_fx!$B$75))))))),"-")</f>
        <v>0</v>
      </c>
      <c r="U558" s="208">
        <f t="shared" si="102"/>
        <v>0</v>
      </c>
      <c r="V558" s="208">
        <f t="shared" si="103"/>
        <v>0</v>
      </c>
      <c r="W558" s="202">
        <f>Alukset_Käynnit!N565</f>
        <v>0</v>
      </c>
      <c r="X558" s="211">
        <f>IF(Q558="Other dry cargo", Alukset_fx!$C$52, IF(OR(Q558="Dry bulk",Q558="Bulk carrier"),Alukset_fx!$C$35,IF(OR(Q558="Tanker",Q558="Gas tanker",Q558="Oil tanker"),Alukset_fx!$C$57,IF(Q558="Chemical tanker",Alukset_fx!$C$56,IF(OR(Q558="Tugboat",Q558="Barge"),0,IF(Q558="Other vessel",Alukset_fx!$C$54,IF(Q558="Container ship",Alukset_fx!$C$37,IF(OR(Q558="RoPax",Q558="RoRo",Q558="Vehicle carrier"),Alukset_fx!$C$55,0))))))))</f>
        <v>0</v>
      </c>
      <c r="Y558" s="211">
        <f>IF(Q558="Other dry cargo", Alukset_fx!$Q$52, IF(OR(Q558="Dry bulk",Q558="Bulk carrier"),Alukset_fx!$Q$35,IF(OR(Q558="Tanker",Q558="Gas tanker",Q558="Oil tanker"),Alukset_fx!$Q$57,IF(Q558="Chemical tanker",Alukset_fx!$Q$56,IF(OR(Q558="Tugboat",Q558="Barge"),0,IF(Q558="Other vessel",Alukset_fx!$Q$54,IF(Q558="Container ship",Alukset_fx!$Q$37,IF(OR(Q558="RoPax",Q558="RoRo",Q558="Vehicle carrier"),Alukset_fx!$Q$55,0))))))))</f>
        <v>0</v>
      </c>
      <c r="Z558" t="str">
        <f t="shared" si="104"/>
        <v>MDO/MGO</v>
      </c>
      <c r="AA558" t="str">
        <f t="shared" si="105"/>
        <v>MSD</v>
      </c>
      <c r="AB558" t="str">
        <f t="shared" si="106"/>
        <v>MDO/MGO</v>
      </c>
      <c r="AC558" t="str">
        <f t="shared" si="107"/>
        <v>MSD</v>
      </c>
      <c r="AD558" t="str">
        <f t="shared" si="108"/>
        <v>MDO/MGO</v>
      </c>
      <c r="AE558" t="str">
        <f t="shared" si="109"/>
        <v>ST</v>
      </c>
      <c r="AG558">
        <f>Alukset_Käynnit!O565</f>
        <v>0</v>
      </c>
      <c r="AH558" s="207">
        <f>IF(AA558="SSD",((U558*Alukset_fx!$B$24)*Alukset_Käynnit_Lask!W558*(Alukset_fx!$K$49)/1000),IF(AA558="MSD",((U558*Alukset_fx!$B$24)*Alukset_Käynnit_Lask!W558*(Alukset_fx!$K$52)/1000),IF(AA558="HSD",((U558*Alukset_fx!$B$24)*Alukset_Käynnit_Lask!W558*(Alukset_fx!$K$55)/1000),0)))</f>
        <v>0</v>
      </c>
      <c r="AI558" s="207">
        <f>IF(AC558="MSD",((V558*Alukset_fx!$B$25)*Alukset_Käynnit_Lask!W558*(Alukset_fx!$L$52)/1000),IF(AC558="HSD",((V558*Alukset_fx!$B$25)*Alukset_Käynnit_Lask!W558*(Alukset_fx!$L$55)/1000),0))</f>
        <v>0</v>
      </c>
      <c r="AJ558" s="207">
        <f>X558*W558*Alukset_fx!$K$61/1000</f>
        <v>0</v>
      </c>
      <c r="AK558">
        <v>0</v>
      </c>
      <c r="AL558" s="207">
        <f>IF(AG558="Käytetty",0,IF(AC558="MSD",((V558*Alukset_fx!$O$25)*Alukset_Käynnit_Lask!O558*(Alukset_fx!$L$52)/1000),IF(AC558="HSD",((V558*Alukset_fx!$O$25)*Alukset_Käynnit_Lask!O558*(Alukset_fx!$L$55)/1000),0)))</f>
        <v>0</v>
      </c>
      <c r="AM558" s="207">
        <f>IF(AG558="Käytetty",0,Y558*O558*Alukset_fx!$K$61/1000)</f>
        <v>0</v>
      </c>
      <c r="AN558" s="213">
        <f t="shared" si="110"/>
        <v>0</v>
      </c>
    </row>
    <row r="559" spans="1:40" x14ac:dyDescent="0.25">
      <c r="A559" s="203">
        <f>Alukset_Käynnit!A566</f>
        <v>0</v>
      </c>
      <c r="B559" s="203">
        <f>Alukset_Käynnit!B566</f>
        <v>0</v>
      </c>
      <c r="C559" s="262">
        <f>Alukset_Käynnit!C566</f>
        <v>0</v>
      </c>
      <c r="D559" s="266">
        <f>Alukset_Käynnit!D566</f>
        <v>0</v>
      </c>
      <c r="E559" s="262">
        <f>Alukset_Käynnit!E566</f>
        <v>0</v>
      </c>
      <c r="F559" s="262">
        <f>Alukset_Käynnit!F566</f>
        <v>0</v>
      </c>
      <c r="G559" s="262">
        <f>Alukset_Käynnit!G566</f>
        <v>0</v>
      </c>
      <c r="H559" s="262">
        <f>Alukset_Käynnit!H566</f>
        <v>0</v>
      </c>
      <c r="I559" s="262">
        <f>Alukset_Käynnit!I566</f>
        <v>0</v>
      </c>
      <c r="J559" s="262">
        <f>Alukset_Käynnit!J566</f>
        <v>0</v>
      </c>
      <c r="K559" s="262">
        <f>Alukset_Käynnit!K566</f>
        <v>0</v>
      </c>
      <c r="L559" s="205">
        <f>Alukset_Käynnit!L566</f>
        <v>0</v>
      </c>
      <c r="N559" s="273">
        <f t="shared" si="111"/>
        <v>0</v>
      </c>
      <c r="O559" s="274">
        <f t="shared" si="112"/>
        <v>0</v>
      </c>
      <c r="Q559" s="204">
        <f t="shared" si="101"/>
        <v>0</v>
      </c>
      <c r="R559" s="202">
        <f>IF(Q559="Other dry cargo",L559*Alukset_fx!$B$71,IF(OR(Q559="Dry bulk",Q559="Bulk carrier"),L559*Alukset_fx!$B$69,IF(Q559="Tugboat",L559*Alukset_fx!$B$76,IF(OR(Q559="Tanker",Q559="Gas tanker",Q559="Chemical tanker",Q559="Oil tanker"),L559*Alukset_fx!$B$68,IF(OR(Q559="RoRo",Q559="Vehicle carrier"),L559*Alukset_fx!$B$72,IF(Q559="RoPax",L559*Alukset_fx!$B$73,IF(Q559="Container ship",L559*Alukset_fx!$B$70,IF(Q559="Barge",0,L559*Alukset_fx!$B$75))))))))</f>
        <v>0</v>
      </c>
      <c r="S559" s="210">
        <f>IF(L559=0,IF(Q559="Other dry cargo",Alukset_fx!$H$73*(Alukset_Käynnit_Lask!K559^Alukset_fx!$I$73),IF(OR(Q559="Dry Bulk",Q559="Bulk carrier"),Alukset_fx!$H$71*(Alukset_Käynnit_Lask!K559^Alukset_fx!$I$71),IF(Q559="Tugboat",Alukset_fx!$H$78*(Alukset_Käynnit_Lask!K559^Alukset_fx!$I$78),IF(OR(Q559="Tanker",Q559="Gas tanker",Q559="Chemical tanker",Q559="Oil tanker"),Alukset_fx!$H$70*(Alukset_Käynnit_Lask!K559^Alukset_fx!$I$70),IF(Q559="Container ship",Alukset_fx!$H$72*(Alukset_Käynnit_Lask!K559^Alukset_fx!$I$72),IF(Q559="Barge",0,IF(Q559="RoPax",Alukset_fx!$H$75*(Alukset_Käynnit_Lask!K559^Alukset_fx!$I$75),IF(OR(Q559="RoRo",Q559="Vehicle carrier"),Alukset_fx!$H$74*(Alukset_Käynnit_Lask!K559^Alukset_fx!$I$74),Alukset_fx!$H$77*(Alukset_Käynnit_Lask!K559^Alukset_fx!$I$77))))))))),"-")</f>
        <v>0</v>
      </c>
      <c r="T559" s="208">
        <f>IF(R559=0,IF(Q559="Other dry cargo",S559*Alukset_fx!$B$71,IF(OR(Q559="Dry bulk",Q559="Bulk carrier"),S559*Alukset_fx!$B$69,IF(Q559="Tugboat",S559*Alukset_fx!$B$76,IF(OR(Q559="Tanker",Q559="Gas tanker",Q559="Chemical tanker",Q559="Oil tanker"),S559*Alukset_fx!$B$68,IF(OR(Q559="RoRo",Q559="Vehicle carrier"),S559*Alukset_fx!$B$72,IF(Q559="RoPax",S559*Alukset_fx!$B$73,IF(Q559="Container ship",S559*Alukset_fx!$B$70,S559*Alukset_fx!$B$75))))))),"-")</f>
        <v>0</v>
      </c>
      <c r="U559" s="208">
        <f t="shared" si="102"/>
        <v>0</v>
      </c>
      <c r="V559" s="208">
        <f t="shared" si="103"/>
        <v>0</v>
      </c>
      <c r="W559" s="202">
        <f>Alukset_Käynnit!N566</f>
        <v>0</v>
      </c>
      <c r="X559" s="211">
        <f>IF(Q559="Other dry cargo", Alukset_fx!$C$52, IF(OR(Q559="Dry bulk",Q559="Bulk carrier"),Alukset_fx!$C$35,IF(OR(Q559="Tanker",Q559="Gas tanker",Q559="Oil tanker"),Alukset_fx!$C$57,IF(Q559="Chemical tanker",Alukset_fx!$C$56,IF(OR(Q559="Tugboat",Q559="Barge"),0,IF(Q559="Other vessel",Alukset_fx!$C$54,IF(Q559="Container ship",Alukset_fx!$C$37,IF(OR(Q559="RoPax",Q559="RoRo",Q559="Vehicle carrier"),Alukset_fx!$C$55,0))))))))</f>
        <v>0</v>
      </c>
      <c r="Y559" s="211">
        <f>IF(Q559="Other dry cargo", Alukset_fx!$Q$52, IF(OR(Q559="Dry bulk",Q559="Bulk carrier"),Alukset_fx!$Q$35,IF(OR(Q559="Tanker",Q559="Gas tanker",Q559="Oil tanker"),Alukset_fx!$Q$57,IF(Q559="Chemical tanker",Alukset_fx!$Q$56,IF(OR(Q559="Tugboat",Q559="Barge"),0,IF(Q559="Other vessel",Alukset_fx!$Q$54,IF(Q559="Container ship",Alukset_fx!$Q$37,IF(OR(Q559="RoPax",Q559="RoRo",Q559="Vehicle carrier"),Alukset_fx!$Q$55,0))))))))</f>
        <v>0</v>
      </c>
      <c r="Z559" t="str">
        <f t="shared" si="104"/>
        <v>MDO/MGO</v>
      </c>
      <c r="AA559" t="str">
        <f t="shared" si="105"/>
        <v>MSD</v>
      </c>
      <c r="AB559" t="str">
        <f t="shared" si="106"/>
        <v>MDO/MGO</v>
      </c>
      <c r="AC559" t="str">
        <f t="shared" si="107"/>
        <v>MSD</v>
      </c>
      <c r="AD559" t="str">
        <f t="shared" si="108"/>
        <v>MDO/MGO</v>
      </c>
      <c r="AE559" t="str">
        <f t="shared" si="109"/>
        <v>ST</v>
      </c>
      <c r="AG559">
        <f>Alukset_Käynnit!O566</f>
        <v>0</v>
      </c>
      <c r="AH559" s="207">
        <f>IF(AA559="SSD",((U559*Alukset_fx!$B$24)*Alukset_Käynnit_Lask!W559*(Alukset_fx!$K$49)/1000),IF(AA559="MSD",((U559*Alukset_fx!$B$24)*Alukset_Käynnit_Lask!W559*(Alukset_fx!$K$52)/1000),IF(AA559="HSD",((U559*Alukset_fx!$B$24)*Alukset_Käynnit_Lask!W559*(Alukset_fx!$K$55)/1000),0)))</f>
        <v>0</v>
      </c>
      <c r="AI559" s="207">
        <f>IF(AC559="MSD",((V559*Alukset_fx!$B$25)*Alukset_Käynnit_Lask!W559*(Alukset_fx!$L$52)/1000),IF(AC559="HSD",((V559*Alukset_fx!$B$25)*Alukset_Käynnit_Lask!W559*(Alukset_fx!$L$55)/1000),0))</f>
        <v>0</v>
      </c>
      <c r="AJ559" s="207">
        <f>X559*W559*Alukset_fx!$K$61/1000</f>
        <v>0</v>
      </c>
      <c r="AK559">
        <v>0</v>
      </c>
      <c r="AL559" s="207">
        <f>IF(AG559="Käytetty",0,IF(AC559="MSD",((V559*Alukset_fx!$O$25)*Alukset_Käynnit_Lask!O559*(Alukset_fx!$L$52)/1000),IF(AC559="HSD",((V559*Alukset_fx!$O$25)*Alukset_Käynnit_Lask!O559*(Alukset_fx!$L$55)/1000),0)))</f>
        <v>0</v>
      </c>
      <c r="AM559" s="207">
        <f>IF(AG559="Käytetty",0,Y559*O559*Alukset_fx!$K$61/1000)</f>
        <v>0</v>
      </c>
      <c r="AN559" s="213">
        <f t="shared" si="110"/>
        <v>0</v>
      </c>
    </row>
    <row r="560" spans="1:40" x14ac:dyDescent="0.25">
      <c r="A560" s="203">
        <f>Alukset_Käynnit!A567</f>
        <v>0</v>
      </c>
      <c r="B560" s="203">
        <f>Alukset_Käynnit!B567</f>
        <v>0</v>
      </c>
      <c r="C560" s="262">
        <f>Alukset_Käynnit!C567</f>
        <v>0</v>
      </c>
      <c r="D560" s="266">
        <f>Alukset_Käynnit!D567</f>
        <v>0</v>
      </c>
      <c r="E560" s="262">
        <f>Alukset_Käynnit!E567</f>
        <v>0</v>
      </c>
      <c r="F560" s="262">
        <f>Alukset_Käynnit!F567</f>
        <v>0</v>
      </c>
      <c r="G560" s="262">
        <f>Alukset_Käynnit!G567</f>
        <v>0</v>
      </c>
      <c r="H560" s="262">
        <f>Alukset_Käynnit!H567</f>
        <v>0</v>
      </c>
      <c r="I560" s="262">
        <f>Alukset_Käynnit!I567</f>
        <v>0</v>
      </c>
      <c r="J560" s="262">
        <f>Alukset_Käynnit!J567</f>
        <v>0</v>
      </c>
      <c r="K560" s="262">
        <f>Alukset_Käynnit!K567</f>
        <v>0</v>
      </c>
      <c r="L560" s="205">
        <f>Alukset_Käynnit!L567</f>
        <v>0</v>
      </c>
      <c r="N560" s="273">
        <f t="shared" si="111"/>
        <v>0</v>
      </c>
      <c r="O560" s="274">
        <f t="shared" si="112"/>
        <v>0</v>
      </c>
      <c r="Q560" s="204">
        <f t="shared" si="101"/>
        <v>0</v>
      </c>
      <c r="R560" s="202">
        <f>IF(Q560="Other dry cargo",L560*Alukset_fx!$B$71,IF(OR(Q560="Dry bulk",Q560="Bulk carrier"),L560*Alukset_fx!$B$69,IF(Q560="Tugboat",L560*Alukset_fx!$B$76,IF(OR(Q560="Tanker",Q560="Gas tanker",Q560="Chemical tanker",Q560="Oil tanker"),L560*Alukset_fx!$B$68,IF(OR(Q560="RoRo",Q560="Vehicle carrier"),L560*Alukset_fx!$B$72,IF(Q560="RoPax",L560*Alukset_fx!$B$73,IF(Q560="Container ship",L560*Alukset_fx!$B$70,IF(Q560="Barge",0,L560*Alukset_fx!$B$75))))))))</f>
        <v>0</v>
      </c>
      <c r="S560" s="210">
        <f>IF(L560=0,IF(Q560="Other dry cargo",Alukset_fx!$H$73*(Alukset_Käynnit_Lask!K560^Alukset_fx!$I$73),IF(OR(Q560="Dry Bulk",Q560="Bulk carrier"),Alukset_fx!$H$71*(Alukset_Käynnit_Lask!K560^Alukset_fx!$I$71),IF(Q560="Tugboat",Alukset_fx!$H$78*(Alukset_Käynnit_Lask!K560^Alukset_fx!$I$78),IF(OR(Q560="Tanker",Q560="Gas tanker",Q560="Chemical tanker",Q560="Oil tanker"),Alukset_fx!$H$70*(Alukset_Käynnit_Lask!K560^Alukset_fx!$I$70),IF(Q560="Container ship",Alukset_fx!$H$72*(Alukset_Käynnit_Lask!K560^Alukset_fx!$I$72),IF(Q560="Barge",0,IF(Q560="RoPax",Alukset_fx!$H$75*(Alukset_Käynnit_Lask!K560^Alukset_fx!$I$75),IF(OR(Q560="RoRo",Q560="Vehicle carrier"),Alukset_fx!$H$74*(Alukset_Käynnit_Lask!K560^Alukset_fx!$I$74),Alukset_fx!$H$77*(Alukset_Käynnit_Lask!K560^Alukset_fx!$I$77))))))))),"-")</f>
        <v>0</v>
      </c>
      <c r="T560" s="208">
        <f>IF(R560=0,IF(Q560="Other dry cargo",S560*Alukset_fx!$B$71,IF(OR(Q560="Dry bulk",Q560="Bulk carrier"),S560*Alukset_fx!$B$69,IF(Q560="Tugboat",S560*Alukset_fx!$B$76,IF(OR(Q560="Tanker",Q560="Gas tanker",Q560="Chemical tanker",Q560="Oil tanker"),S560*Alukset_fx!$B$68,IF(OR(Q560="RoRo",Q560="Vehicle carrier"),S560*Alukset_fx!$B$72,IF(Q560="RoPax",S560*Alukset_fx!$B$73,IF(Q560="Container ship",S560*Alukset_fx!$B$70,S560*Alukset_fx!$B$75))))))),"-")</f>
        <v>0</v>
      </c>
      <c r="U560" s="208">
        <f t="shared" si="102"/>
        <v>0</v>
      </c>
      <c r="V560" s="208">
        <f t="shared" si="103"/>
        <v>0</v>
      </c>
      <c r="W560" s="202">
        <f>Alukset_Käynnit!N567</f>
        <v>0</v>
      </c>
      <c r="X560" s="211">
        <f>IF(Q560="Other dry cargo", Alukset_fx!$C$52, IF(OR(Q560="Dry bulk",Q560="Bulk carrier"),Alukset_fx!$C$35,IF(OR(Q560="Tanker",Q560="Gas tanker",Q560="Oil tanker"),Alukset_fx!$C$57,IF(Q560="Chemical tanker",Alukset_fx!$C$56,IF(OR(Q560="Tugboat",Q560="Barge"),0,IF(Q560="Other vessel",Alukset_fx!$C$54,IF(Q560="Container ship",Alukset_fx!$C$37,IF(OR(Q560="RoPax",Q560="RoRo",Q560="Vehicle carrier"),Alukset_fx!$C$55,0))))))))</f>
        <v>0</v>
      </c>
      <c r="Y560" s="211">
        <f>IF(Q560="Other dry cargo", Alukset_fx!$Q$52, IF(OR(Q560="Dry bulk",Q560="Bulk carrier"),Alukset_fx!$Q$35,IF(OR(Q560="Tanker",Q560="Gas tanker",Q560="Oil tanker"),Alukset_fx!$Q$57,IF(Q560="Chemical tanker",Alukset_fx!$Q$56,IF(OR(Q560="Tugboat",Q560="Barge"),0,IF(Q560="Other vessel",Alukset_fx!$Q$54,IF(Q560="Container ship",Alukset_fx!$Q$37,IF(OR(Q560="RoPax",Q560="RoRo",Q560="Vehicle carrier"),Alukset_fx!$Q$55,0))))))))</f>
        <v>0</v>
      </c>
      <c r="Z560" t="str">
        <f t="shared" si="104"/>
        <v>MDO/MGO</v>
      </c>
      <c r="AA560" t="str">
        <f t="shared" si="105"/>
        <v>MSD</v>
      </c>
      <c r="AB560" t="str">
        <f t="shared" si="106"/>
        <v>MDO/MGO</v>
      </c>
      <c r="AC560" t="str">
        <f t="shared" si="107"/>
        <v>MSD</v>
      </c>
      <c r="AD560" t="str">
        <f t="shared" si="108"/>
        <v>MDO/MGO</v>
      </c>
      <c r="AE560" t="str">
        <f t="shared" si="109"/>
        <v>ST</v>
      </c>
      <c r="AG560">
        <f>Alukset_Käynnit!O567</f>
        <v>0</v>
      </c>
      <c r="AH560" s="207">
        <f>IF(AA560="SSD",((U560*Alukset_fx!$B$24)*Alukset_Käynnit_Lask!W560*(Alukset_fx!$K$49)/1000),IF(AA560="MSD",((U560*Alukset_fx!$B$24)*Alukset_Käynnit_Lask!W560*(Alukset_fx!$K$52)/1000),IF(AA560="HSD",((U560*Alukset_fx!$B$24)*Alukset_Käynnit_Lask!W560*(Alukset_fx!$K$55)/1000),0)))</f>
        <v>0</v>
      </c>
      <c r="AI560" s="207">
        <f>IF(AC560="MSD",((V560*Alukset_fx!$B$25)*Alukset_Käynnit_Lask!W560*(Alukset_fx!$L$52)/1000),IF(AC560="HSD",((V560*Alukset_fx!$B$25)*Alukset_Käynnit_Lask!W560*(Alukset_fx!$L$55)/1000),0))</f>
        <v>0</v>
      </c>
      <c r="AJ560" s="207">
        <f>X560*W560*Alukset_fx!$K$61/1000</f>
        <v>0</v>
      </c>
      <c r="AK560">
        <v>0</v>
      </c>
      <c r="AL560" s="207">
        <f>IF(AG560="Käytetty",0,IF(AC560="MSD",((V560*Alukset_fx!$O$25)*Alukset_Käynnit_Lask!O560*(Alukset_fx!$L$52)/1000),IF(AC560="HSD",((V560*Alukset_fx!$O$25)*Alukset_Käynnit_Lask!O560*(Alukset_fx!$L$55)/1000),0)))</f>
        <v>0</v>
      </c>
      <c r="AM560" s="207">
        <f>IF(AG560="Käytetty",0,Y560*O560*Alukset_fx!$K$61/1000)</f>
        <v>0</v>
      </c>
      <c r="AN560" s="213">
        <f t="shared" si="110"/>
        <v>0</v>
      </c>
    </row>
    <row r="561" spans="1:40" x14ac:dyDescent="0.25">
      <c r="A561" s="203">
        <f>Alukset_Käynnit!A568</f>
        <v>0</v>
      </c>
      <c r="B561" s="203">
        <f>Alukset_Käynnit!B568</f>
        <v>0</v>
      </c>
      <c r="C561" s="262">
        <f>Alukset_Käynnit!C568</f>
        <v>0</v>
      </c>
      <c r="D561" s="266">
        <f>Alukset_Käynnit!D568</f>
        <v>0</v>
      </c>
      <c r="E561" s="262">
        <f>Alukset_Käynnit!E568</f>
        <v>0</v>
      </c>
      <c r="F561" s="262">
        <f>Alukset_Käynnit!F568</f>
        <v>0</v>
      </c>
      <c r="G561" s="262">
        <f>Alukset_Käynnit!G568</f>
        <v>0</v>
      </c>
      <c r="H561" s="262">
        <f>Alukset_Käynnit!H568</f>
        <v>0</v>
      </c>
      <c r="I561" s="262">
        <f>Alukset_Käynnit!I568</f>
        <v>0</v>
      </c>
      <c r="J561" s="262">
        <f>Alukset_Käynnit!J568</f>
        <v>0</v>
      </c>
      <c r="K561" s="262">
        <f>Alukset_Käynnit!K568</f>
        <v>0</v>
      </c>
      <c r="L561" s="205">
        <f>Alukset_Käynnit!L568</f>
        <v>0</v>
      </c>
      <c r="N561" s="273">
        <f t="shared" si="111"/>
        <v>0</v>
      </c>
      <c r="O561" s="274">
        <f t="shared" si="112"/>
        <v>0</v>
      </c>
      <c r="Q561" s="204">
        <f t="shared" si="101"/>
        <v>0</v>
      </c>
      <c r="R561" s="202">
        <f>IF(Q561="Other dry cargo",L561*Alukset_fx!$B$71,IF(OR(Q561="Dry bulk",Q561="Bulk carrier"),L561*Alukset_fx!$B$69,IF(Q561="Tugboat",L561*Alukset_fx!$B$76,IF(OR(Q561="Tanker",Q561="Gas tanker",Q561="Chemical tanker",Q561="Oil tanker"),L561*Alukset_fx!$B$68,IF(OR(Q561="RoRo",Q561="Vehicle carrier"),L561*Alukset_fx!$B$72,IF(Q561="RoPax",L561*Alukset_fx!$B$73,IF(Q561="Container ship",L561*Alukset_fx!$B$70,IF(Q561="Barge",0,L561*Alukset_fx!$B$75))))))))</f>
        <v>0</v>
      </c>
      <c r="S561" s="210">
        <f>IF(L561=0,IF(Q561="Other dry cargo",Alukset_fx!$H$73*(Alukset_Käynnit_Lask!K561^Alukset_fx!$I$73),IF(OR(Q561="Dry Bulk",Q561="Bulk carrier"),Alukset_fx!$H$71*(Alukset_Käynnit_Lask!K561^Alukset_fx!$I$71),IF(Q561="Tugboat",Alukset_fx!$H$78*(Alukset_Käynnit_Lask!K561^Alukset_fx!$I$78),IF(OR(Q561="Tanker",Q561="Gas tanker",Q561="Chemical tanker",Q561="Oil tanker"),Alukset_fx!$H$70*(Alukset_Käynnit_Lask!K561^Alukset_fx!$I$70),IF(Q561="Container ship",Alukset_fx!$H$72*(Alukset_Käynnit_Lask!K561^Alukset_fx!$I$72),IF(Q561="Barge",0,IF(Q561="RoPax",Alukset_fx!$H$75*(Alukset_Käynnit_Lask!K561^Alukset_fx!$I$75),IF(OR(Q561="RoRo",Q561="Vehicle carrier"),Alukset_fx!$H$74*(Alukset_Käynnit_Lask!K561^Alukset_fx!$I$74),Alukset_fx!$H$77*(Alukset_Käynnit_Lask!K561^Alukset_fx!$I$77))))))))),"-")</f>
        <v>0</v>
      </c>
      <c r="T561" s="208">
        <f>IF(R561=0,IF(Q561="Other dry cargo",S561*Alukset_fx!$B$71,IF(OR(Q561="Dry bulk",Q561="Bulk carrier"),S561*Alukset_fx!$B$69,IF(Q561="Tugboat",S561*Alukset_fx!$B$76,IF(OR(Q561="Tanker",Q561="Gas tanker",Q561="Chemical tanker",Q561="Oil tanker"),S561*Alukset_fx!$B$68,IF(OR(Q561="RoRo",Q561="Vehicle carrier"),S561*Alukset_fx!$B$72,IF(Q561="RoPax",S561*Alukset_fx!$B$73,IF(Q561="Container ship",S561*Alukset_fx!$B$70,S561*Alukset_fx!$B$75))))))),"-")</f>
        <v>0</v>
      </c>
      <c r="U561" s="208">
        <f t="shared" si="102"/>
        <v>0</v>
      </c>
      <c r="V561" s="208">
        <f t="shared" si="103"/>
        <v>0</v>
      </c>
      <c r="W561" s="202">
        <f>Alukset_Käynnit!N568</f>
        <v>0</v>
      </c>
      <c r="X561" s="211">
        <f>IF(Q561="Other dry cargo", Alukset_fx!$C$52, IF(OR(Q561="Dry bulk",Q561="Bulk carrier"),Alukset_fx!$C$35,IF(OR(Q561="Tanker",Q561="Gas tanker",Q561="Oil tanker"),Alukset_fx!$C$57,IF(Q561="Chemical tanker",Alukset_fx!$C$56,IF(OR(Q561="Tugboat",Q561="Barge"),0,IF(Q561="Other vessel",Alukset_fx!$C$54,IF(Q561="Container ship",Alukset_fx!$C$37,IF(OR(Q561="RoPax",Q561="RoRo",Q561="Vehicle carrier"),Alukset_fx!$C$55,0))))))))</f>
        <v>0</v>
      </c>
      <c r="Y561" s="211">
        <f>IF(Q561="Other dry cargo", Alukset_fx!$Q$52, IF(OR(Q561="Dry bulk",Q561="Bulk carrier"),Alukset_fx!$Q$35,IF(OR(Q561="Tanker",Q561="Gas tanker",Q561="Oil tanker"),Alukset_fx!$Q$57,IF(Q561="Chemical tanker",Alukset_fx!$Q$56,IF(OR(Q561="Tugboat",Q561="Barge"),0,IF(Q561="Other vessel",Alukset_fx!$Q$54,IF(Q561="Container ship",Alukset_fx!$Q$37,IF(OR(Q561="RoPax",Q561="RoRo",Q561="Vehicle carrier"),Alukset_fx!$Q$55,0))))))))</f>
        <v>0</v>
      </c>
      <c r="Z561" t="str">
        <f t="shared" si="104"/>
        <v>MDO/MGO</v>
      </c>
      <c r="AA561" t="str">
        <f t="shared" si="105"/>
        <v>MSD</v>
      </c>
      <c r="AB561" t="str">
        <f t="shared" si="106"/>
        <v>MDO/MGO</v>
      </c>
      <c r="AC561" t="str">
        <f t="shared" si="107"/>
        <v>MSD</v>
      </c>
      <c r="AD561" t="str">
        <f t="shared" si="108"/>
        <v>MDO/MGO</v>
      </c>
      <c r="AE561" t="str">
        <f t="shared" si="109"/>
        <v>ST</v>
      </c>
      <c r="AG561">
        <f>Alukset_Käynnit!O568</f>
        <v>0</v>
      </c>
      <c r="AH561" s="207">
        <f>IF(AA561="SSD",((U561*Alukset_fx!$B$24)*Alukset_Käynnit_Lask!W561*(Alukset_fx!$K$49)/1000),IF(AA561="MSD",((U561*Alukset_fx!$B$24)*Alukset_Käynnit_Lask!W561*(Alukset_fx!$K$52)/1000),IF(AA561="HSD",((U561*Alukset_fx!$B$24)*Alukset_Käynnit_Lask!W561*(Alukset_fx!$K$55)/1000),0)))</f>
        <v>0</v>
      </c>
      <c r="AI561" s="207">
        <f>IF(AC561="MSD",((V561*Alukset_fx!$B$25)*Alukset_Käynnit_Lask!W561*(Alukset_fx!$L$52)/1000),IF(AC561="HSD",((V561*Alukset_fx!$B$25)*Alukset_Käynnit_Lask!W561*(Alukset_fx!$L$55)/1000),0))</f>
        <v>0</v>
      </c>
      <c r="AJ561" s="207">
        <f>X561*W561*Alukset_fx!$K$61/1000</f>
        <v>0</v>
      </c>
      <c r="AK561">
        <v>0</v>
      </c>
      <c r="AL561" s="207">
        <f>IF(AG561="Käytetty",0,IF(AC561="MSD",((V561*Alukset_fx!$O$25)*Alukset_Käynnit_Lask!O561*(Alukset_fx!$L$52)/1000),IF(AC561="HSD",((V561*Alukset_fx!$O$25)*Alukset_Käynnit_Lask!O561*(Alukset_fx!$L$55)/1000),0)))</f>
        <v>0</v>
      </c>
      <c r="AM561" s="207">
        <f>IF(AG561="Käytetty",0,Y561*O561*Alukset_fx!$K$61/1000)</f>
        <v>0</v>
      </c>
      <c r="AN561" s="213">
        <f t="shared" si="110"/>
        <v>0</v>
      </c>
    </row>
    <row r="562" spans="1:40" x14ac:dyDescent="0.25">
      <c r="A562" s="203">
        <f>Alukset_Käynnit!A569</f>
        <v>0</v>
      </c>
      <c r="B562" s="203">
        <f>Alukset_Käynnit!B569</f>
        <v>0</v>
      </c>
      <c r="C562" s="262">
        <f>Alukset_Käynnit!C569</f>
        <v>0</v>
      </c>
      <c r="D562" s="266">
        <f>Alukset_Käynnit!D569</f>
        <v>0</v>
      </c>
      <c r="E562" s="262">
        <f>Alukset_Käynnit!E569</f>
        <v>0</v>
      </c>
      <c r="F562" s="262">
        <f>Alukset_Käynnit!F569</f>
        <v>0</v>
      </c>
      <c r="G562" s="262">
        <f>Alukset_Käynnit!G569</f>
        <v>0</v>
      </c>
      <c r="H562" s="262">
        <f>Alukset_Käynnit!H569</f>
        <v>0</v>
      </c>
      <c r="I562" s="262">
        <f>Alukset_Käynnit!I569</f>
        <v>0</v>
      </c>
      <c r="J562" s="262">
        <f>Alukset_Käynnit!J569</f>
        <v>0</v>
      </c>
      <c r="K562" s="262">
        <f>Alukset_Käynnit!K569</f>
        <v>0</v>
      </c>
      <c r="L562" s="205">
        <f>Alukset_Käynnit!L569</f>
        <v>0</v>
      </c>
      <c r="N562" s="273">
        <f t="shared" si="111"/>
        <v>0</v>
      </c>
      <c r="O562" s="274">
        <f t="shared" si="112"/>
        <v>0</v>
      </c>
      <c r="Q562" s="204">
        <f t="shared" si="101"/>
        <v>0</v>
      </c>
      <c r="R562" s="202">
        <f>IF(Q562="Other dry cargo",L562*Alukset_fx!$B$71,IF(OR(Q562="Dry bulk",Q562="Bulk carrier"),L562*Alukset_fx!$B$69,IF(Q562="Tugboat",L562*Alukset_fx!$B$76,IF(OR(Q562="Tanker",Q562="Gas tanker",Q562="Chemical tanker",Q562="Oil tanker"),L562*Alukset_fx!$B$68,IF(OR(Q562="RoRo",Q562="Vehicle carrier"),L562*Alukset_fx!$B$72,IF(Q562="RoPax",L562*Alukset_fx!$B$73,IF(Q562="Container ship",L562*Alukset_fx!$B$70,IF(Q562="Barge",0,L562*Alukset_fx!$B$75))))))))</f>
        <v>0</v>
      </c>
      <c r="S562" s="210">
        <f>IF(L562=0,IF(Q562="Other dry cargo",Alukset_fx!$H$73*(Alukset_Käynnit_Lask!K562^Alukset_fx!$I$73),IF(OR(Q562="Dry Bulk",Q562="Bulk carrier"),Alukset_fx!$H$71*(Alukset_Käynnit_Lask!K562^Alukset_fx!$I$71),IF(Q562="Tugboat",Alukset_fx!$H$78*(Alukset_Käynnit_Lask!K562^Alukset_fx!$I$78),IF(OR(Q562="Tanker",Q562="Gas tanker",Q562="Chemical tanker",Q562="Oil tanker"),Alukset_fx!$H$70*(Alukset_Käynnit_Lask!K562^Alukset_fx!$I$70),IF(Q562="Container ship",Alukset_fx!$H$72*(Alukset_Käynnit_Lask!K562^Alukset_fx!$I$72),IF(Q562="Barge",0,IF(Q562="RoPax",Alukset_fx!$H$75*(Alukset_Käynnit_Lask!K562^Alukset_fx!$I$75),IF(OR(Q562="RoRo",Q562="Vehicle carrier"),Alukset_fx!$H$74*(Alukset_Käynnit_Lask!K562^Alukset_fx!$I$74),Alukset_fx!$H$77*(Alukset_Käynnit_Lask!K562^Alukset_fx!$I$77))))))))),"-")</f>
        <v>0</v>
      </c>
      <c r="T562" s="208">
        <f>IF(R562=0,IF(Q562="Other dry cargo",S562*Alukset_fx!$B$71,IF(OR(Q562="Dry bulk",Q562="Bulk carrier"),S562*Alukset_fx!$B$69,IF(Q562="Tugboat",S562*Alukset_fx!$B$76,IF(OR(Q562="Tanker",Q562="Gas tanker",Q562="Chemical tanker",Q562="Oil tanker"),S562*Alukset_fx!$B$68,IF(OR(Q562="RoRo",Q562="Vehicle carrier"),S562*Alukset_fx!$B$72,IF(Q562="RoPax",S562*Alukset_fx!$B$73,IF(Q562="Container ship",S562*Alukset_fx!$B$70,S562*Alukset_fx!$B$75))))))),"-")</f>
        <v>0</v>
      </c>
      <c r="U562" s="208">
        <f t="shared" si="102"/>
        <v>0</v>
      </c>
      <c r="V562" s="208">
        <f t="shared" si="103"/>
        <v>0</v>
      </c>
      <c r="W562" s="202">
        <f>Alukset_Käynnit!N569</f>
        <v>0</v>
      </c>
      <c r="X562" s="211">
        <f>IF(Q562="Other dry cargo", Alukset_fx!$C$52, IF(OR(Q562="Dry bulk",Q562="Bulk carrier"),Alukset_fx!$C$35,IF(OR(Q562="Tanker",Q562="Gas tanker",Q562="Oil tanker"),Alukset_fx!$C$57,IF(Q562="Chemical tanker",Alukset_fx!$C$56,IF(OR(Q562="Tugboat",Q562="Barge"),0,IF(Q562="Other vessel",Alukset_fx!$C$54,IF(Q562="Container ship",Alukset_fx!$C$37,IF(OR(Q562="RoPax",Q562="RoRo",Q562="Vehicle carrier"),Alukset_fx!$C$55,0))))))))</f>
        <v>0</v>
      </c>
      <c r="Y562" s="211">
        <f>IF(Q562="Other dry cargo", Alukset_fx!$Q$52, IF(OR(Q562="Dry bulk",Q562="Bulk carrier"),Alukset_fx!$Q$35,IF(OR(Q562="Tanker",Q562="Gas tanker",Q562="Oil tanker"),Alukset_fx!$Q$57,IF(Q562="Chemical tanker",Alukset_fx!$Q$56,IF(OR(Q562="Tugboat",Q562="Barge"),0,IF(Q562="Other vessel",Alukset_fx!$Q$54,IF(Q562="Container ship",Alukset_fx!$Q$37,IF(OR(Q562="RoPax",Q562="RoRo",Q562="Vehicle carrier"),Alukset_fx!$Q$55,0))))))))</f>
        <v>0</v>
      </c>
      <c r="Z562" t="str">
        <f t="shared" si="104"/>
        <v>MDO/MGO</v>
      </c>
      <c r="AA562" t="str">
        <f t="shared" si="105"/>
        <v>MSD</v>
      </c>
      <c r="AB562" t="str">
        <f t="shared" si="106"/>
        <v>MDO/MGO</v>
      </c>
      <c r="AC562" t="str">
        <f t="shared" si="107"/>
        <v>MSD</v>
      </c>
      <c r="AD562" t="str">
        <f t="shared" si="108"/>
        <v>MDO/MGO</v>
      </c>
      <c r="AE562" t="str">
        <f t="shared" si="109"/>
        <v>ST</v>
      </c>
      <c r="AG562">
        <f>Alukset_Käynnit!O569</f>
        <v>0</v>
      </c>
      <c r="AH562" s="207">
        <f>IF(AA562="SSD",((U562*Alukset_fx!$B$24)*Alukset_Käynnit_Lask!W562*(Alukset_fx!$K$49)/1000),IF(AA562="MSD",((U562*Alukset_fx!$B$24)*Alukset_Käynnit_Lask!W562*(Alukset_fx!$K$52)/1000),IF(AA562="HSD",((U562*Alukset_fx!$B$24)*Alukset_Käynnit_Lask!W562*(Alukset_fx!$K$55)/1000),0)))</f>
        <v>0</v>
      </c>
      <c r="AI562" s="207">
        <f>IF(AC562="MSD",((V562*Alukset_fx!$B$25)*Alukset_Käynnit_Lask!W562*(Alukset_fx!$L$52)/1000),IF(AC562="HSD",((V562*Alukset_fx!$B$25)*Alukset_Käynnit_Lask!W562*(Alukset_fx!$L$55)/1000),0))</f>
        <v>0</v>
      </c>
      <c r="AJ562" s="207">
        <f>X562*W562*Alukset_fx!$K$61/1000</f>
        <v>0</v>
      </c>
      <c r="AK562">
        <v>0</v>
      </c>
      <c r="AL562" s="207">
        <f>IF(AG562="Käytetty",0,IF(AC562="MSD",((V562*Alukset_fx!$O$25)*Alukset_Käynnit_Lask!O562*(Alukset_fx!$L$52)/1000),IF(AC562="HSD",((V562*Alukset_fx!$O$25)*Alukset_Käynnit_Lask!O562*(Alukset_fx!$L$55)/1000),0)))</f>
        <v>0</v>
      </c>
      <c r="AM562" s="207">
        <f>IF(AG562="Käytetty",0,Y562*O562*Alukset_fx!$K$61/1000)</f>
        <v>0</v>
      </c>
      <c r="AN562" s="213">
        <f t="shared" si="110"/>
        <v>0</v>
      </c>
    </row>
    <row r="563" spans="1:40" x14ac:dyDescent="0.25">
      <c r="A563" s="203">
        <f>Alukset_Käynnit!A570</f>
        <v>0</v>
      </c>
      <c r="B563" s="203">
        <f>Alukset_Käynnit!B570</f>
        <v>0</v>
      </c>
      <c r="C563" s="262">
        <f>Alukset_Käynnit!C570</f>
        <v>0</v>
      </c>
      <c r="D563" s="266">
        <f>Alukset_Käynnit!D570</f>
        <v>0</v>
      </c>
      <c r="E563" s="262">
        <f>Alukset_Käynnit!E570</f>
        <v>0</v>
      </c>
      <c r="F563" s="262">
        <f>Alukset_Käynnit!F570</f>
        <v>0</v>
      </c>
      <c r="G563" s="262">
        <f>Alukset_Käynnit!G570</f>
        <v>0</v>
      </c>
      <c r="H563" s="262">
        <f>Alukset_Käynnit!H570</f>
        <v>0</v>
      </c>
      <c r="I563" s="262">
        <f>Alukset_Käynnit!I570</f>
        <v>0</v>
      </c>
      <c r="J563" s="262">
        <f>Alukset_Käynnit!J570</f>
        <v>0</v>
      </c>
      <c r="K563" s="262">
        <f>Alukset_Käynnit!K570</f>
        <v>0</v>
      </c>
      <c r="L563" s="205">
        <f>Alukset_Käynnit!L570</f>
        <v>0</v>
      </c>
      <c r="N563" s="273">
        <f t="shared" si="111"/>
        <v>0</v>
      </c>
      <c r="O563" s="274">
        <f t="shared" si="112"/>
        <v>0</v>
      </c>
      <c r="Q563" s="204">
        <f t="shared" si="101"/>
        <v>0</v>
      </c>
      <c r="R563" s="202">
        <f>IF(Q563="Other dry cargo",L563*Alukset_fx!$B$71,IF(OR(Q563="Dry bulk",Q563="Bulk carrier"),L563*Alukset_fx!$B$69,IF(Q563="Tugboat",L563*Alukset_fx!$B$76,IF(OR(Q563="Tanker",Q563="Gas tanker",Q563="Chemical tanker",Q563="Oil tanker"),L563*Alukset_fx!$B$68,IF(OR(Q563="RoRo",Q563="Vehicle carrier"),L563*Alukset_fx!$B$72,IF(Q563="RoPax",L563*Alukset_fx!$B$73,IF(Q563="Container ship",L563*Alukset_fx!$B$70,IF(Q563="Barge",0,L563*Alukset_fx!$B$75))))))))</f>
        <v>0</v>
      </c>
      <c r="S563" s="210">
        <f>IF(L563=0,IF(Q563="Other dry cargo",Alukset_fx!$H$73*(Alukset_Käynnit_Lask!K563^Alukset_fx!$I$73),IF(OR(Q563="Dry Bulk",Q563="Bulk carrier"),Alukset_fx!$H$71*(Alukset_Käynnit_Lask!K563^Alukset_fx!$I$71),IF(Q563="Tugboat",Alukset_fx!$H$78*(Alukset_Käynnit_Lask!K563^Alukset_fx!$I$78),IF(OR(Q563="Tanker",Q563="Gas tanker",Q563="Chemical tanker",Q563="Oil tanker"),Alukset_fx!$H$70*(Alukset_Käynnit_Lask!K563^Alukset_fx!$I$70),IF(Q563="Container ship",Alukset_fx!$H$72*(Alukset_Käynnit_Lask!K563^Alukset_fx!$I$72),IF(Q563="Barge",0,IF(Q563="RoPax",Alukset_fx!$H$75*(Alukset_Käynnit_Lask!K563^Alukset_fx!$I$75),IF(OR(Q563="RoRo",Q563="Vehicle carrier"),Alukset_fx!$H$74*(Alukset_Käynnit_Lask!K563^Alukset_fx!$I$74),Alukset_fx!$H$77*(Alukset_Käynnit_Lask!K563^Alukset_fx!$I$77))))))))),"-")</f>
        <v>0</v>
      </c>
      <c r="T563" s="208">
        <f>IF(R563=0,IF(Q563="Other dry cargo",S563*Alukset_fx!$B$71,IF(OR(Q563="Dry bulk",Q563="Bulk carrier"),S563*Alukset_fx!$B$69,IF(Q563="Tugboat",S563*Alukset_fx!$B$76,IF(OR(Q563="Tanker",Q563="Gas tanker",Q563="Chemical tanker",Q563="Oil tanker"),S563*Alukset_fx!$B$68,IF(OR(Q563="RoRo",Q563="Vehicle carrier"),S563*Alukset_fx!$B$72,IF(Q563="RoPax",S563*Alukset_fx!$B$73,IF(Q563="Container ship",S563*Alukset_fx!$B$70,S563*Alukset_fx!$B$75))))))),"-")</f>
        <v>0</v>
      </c>
      <c r="U563" s="208">
        <f t="shared" si="102"/>
        <v>0</v>
      </c>
      <c r="V563" s="208">
        <f t="shared" si="103"/>
        <v>0</v>
      </c>
      <c r="W563" s="202">
        <f>Alukset_Käynnit!N570</f>
        <v>0</v>
      </c>
      <c r="X563" s="211">
        <f>IF(Q563="Other dry cargo", Alukset_fx!$C$52, IF(OR(Q563="Dry bulk",Q563="Bulk carrier"),Alukset_fx!$C$35,IF(OR(Q563="Tanker",Q563="Gas tanker",Q563="Oil tanker"),Alukset_fx!$C$57,IF(Q563="Chemical tanker",Alukset_fx!$C$56,IF(OR(Q563="Tugboat",Q563="Barge"),0,IF(Q563="Other vessel",Alukset_fx!$C$54,IF(Q563="Container ship",Alukset_fx!$C$37,IF(OR(Q563="RoPax",Q563="RoRo",Q563="Vehicle carrier"),Alukset_fx!$C$55,0))))))))</f>
        <v>0</v>
      </c>
      <c r="Y563" s="211">
        <f>IF(Q563="Other dry cargo", Alukset_fx!$Q$52, IF(OR(Q563="Dry bulk",Q563="Bulk carrier"),Alukset_fx!$Q$35,IF(OR(Q563="Tanker",Q563="Gas tanker",Q563="Oil tanker"),Alukset_fx!$Q$57,IF(Q563="Chemical tanker",Alukset_fx!$Q$56,IF(OR(Q563="Tugboat",Q563="Barge"),0,IF(Q563="Other vessel",Alukset_fx!$Q$54,IF(Q563="Container ship",Alukset_fx!$Q$37,IF(OR(Q563="RoPax",Q563="RoRo",Q563="Vehicle carrier"),Alukset_fx!$Q$55,0))))))))</f>
        <v>0</v>
      </c>
      <c r="Z563" t="str">
        <f t="shared" si="104"/>
        <v>MDO/MGO</v>
      </c>
      <c r="AA563" t="str">
        <f t="shared" si="105"/>
        <v>MSD</v>
      </c>
      <c r="AB563" t="str">
        <f t="shared" si="106"/>
        <v>MDO/MGO</v>
      </c>
      <c r="AC563" t="str">
        <f t="shared" si="107"/>
        <v>MSD</v>
      </c>
      <c r="AD563" t="str">
        <f t="shared" si="108"/>
        <v>MDO/MGO</v>
      </c>
      <c r="AE563" t="str">
        <f t="shared" si="109"/>
        <v>ST</v>
      </c>
      <c r="AG563">
        <f>Alukset_Käynnit!O570</f>
        <v>0</v>
      </c>
      <c r="AH563" s="207">
        <f>IF(AA563="SSD",((U563*Alukset_fx!$B$24)*Alukset_Käynnit_Lask!W563*(Alukset_fx!$K$49)/1000),IF(AA563="MSD",((U563*Alukset_fx!$B$24)*Alukset_Käynnit_Lask!W563*(Alukset_fx!$K$52)/1000),IF(AA563="HSD",((U563*Alukset_fx!$B$24)*Alukset_Käynnit_Lask!W563*(Alukset_fx!$K$55)/1000),0)))</f>
        <v>0</v>
      </c>
      <c r="AI563" s="207">
        <f>IF(AC563="MSD",((V563*Alukset_fx!$B$25)*Alukset_Käynnit_Lask!W563*(Alukset_fx!$L$52)/1000),IF(AC563="HSD",((V563*Alukset_fx!$B$25)*Alukset_Käynnit_Lask!W563*(Alukset_fx!$L$55)/1000),0))</f>
        <v>0</v>
      </c>
      <c r="AJ563" s="207">
        <f>X563*W563*Alukset_fx!$K$61/1000</f>
        <v>0</v>
      </c>
      <c r="AK563">
        <v>0</v>
      </c>
      <c r="AL563" s="207">
        <f>IF(AG563="Käytetty",0,IF(AC563="MSD",((V563*Alukset_fx!$O$25)*Alukset_Käynnit_Lask!O563*(Alukset_fx!$L$52)/1000),IF(AC563="HSD",((V563*Alukset_fx!$O$25)*Alukset_Käynnit_Lask!O563*(Alukset_fx!$L$55)/1000),0)))</f>
        <v>0</v>
      </c>
      <c r="AM563" s="207">
        <f>IF(AG563="Käytetty",0,Y563*O563*Alukset_fx!$K$61/1000)</f>
        <v>0</v>
      </c>
      <c r="AN563" s="213">
        <f t="shared" si="110"/>
        <v>0</v>
      </c>
    </row>
    <row r="564" spans="1:40" x14ac:dyDescent="0.25">
      <c r="A564" s="203">
        <f>Alukset_Käynnit!A571</f>
        <v>0</v>
      </c>
      <c r="B564" s="203">
        <f>Alukset_Käynnit!B571</f>
        <v>0</v>
      </c>
      <c r="C564" s="262">
        <f>Alukset_Käynnit!C571</f>
        <v>0</v>
      </c>
      <c r="D564" s="266">
        <f>Alukset_Käynnit!D571</f>
        <v>0</v>
      </c>
      <c r="E564" s="262">
        <f>Alukset_Käynnit!E571</f>
        <v>0</v>
      </c>
      <c r="F564" s="262">
        <f>Alukset_Käynnit!F571</f>
        <v>0</v>
      </c>
      <c r="G564" s="262">
        <f>Alukset_Käynnit!G571</f>
        <v>0</v>
      </c>
      <c r="H564" s="262">
        <f>Alukset_Käynnit!H571</f>
        <v>0</v>
      </c>
      <c r="I564" s="262">
        <f>Alukset_Käynnit!I571</f>
        <v>0</v>
      </c>
      <c r="J564" s="262">
        <f>Alukset_Käynnit!J571</f>
        <v>0</v>
      </c>
      <c r="K564" s="262">
        <f>Alukset_Käynnit!K571</f>
        <v>0</v>
      </c>
      <c r="L564" s="205">
        <f>Alukset_Käynnit!L571</f>
        <v>0</v>
      </c>
      <c r="N564" s="273">
        <f t="shared" si="111"/>
        <v>0</v>
      </c>
      <c r="O564" s="274">
        <f t="shared" si="112"/>
        <v>0</v>
      </c>
      <c r="Q564" s="204">
        <f t="shared" si="101"/>
        <v>0</v>
      </c>
      <c r="R564" s="202">
        <f>IF(Q564="Other dry cargo",L564*Alukset_fx!$B$71,IF(OR(Q564="Dry bulk",Q564="Bulk carrier"),L564*Alukset_fx!$B$69,IF(Q564="Tugboat",L564*Alukset_fx!$B$76,IF(OR(Q564="Tanker",Q564="Gas tanker",Q564="Chemical tanker",Q564="Oil tanker"),L564*Alukset_fx!$B$68,IF(OR(Q564="RoRo",Q564="Vehicle carrier"),L564*Alukset_fx!$B$72,IF(Q564="RoPax",L564*Alukset_fx!$B$73,IF(Q564="Container ship",L564*Alukset_fx!$B$70,IF(Q564="Barge",0,L564*Alukset_fx!$B$75))))))))</f>
        <v>0</v>
      </c>
      <c r="S564" s="210">
        <f>IF(L564=0,IF(Q564="Other dry cargo",Alukset_fx!$H$73*(Alukset_Käynnit_Lask!K564^Alukset_fx!$I$73),IF(OR(Q564="Dry Bulk",Q564="Bulk carrier"),Alukset_fx!$H$71*(Alukset_Käynnit_Lask!K564^Alukset_fx!$I$71),IF(Q564="Tugboat",Alukset_fx!$H$78*(Alukset_Käynnit_Lask!K564^Alukset_fx!$I$78),IF(OR(Q564="Tanker",Q564="Gas tanker",Q564="Chemical tanker",Q564="Oil tanker"),Alukset_fx!$H$70*(Alukset_Käynnit_Lask!K564^Alukset_fx!$I$70),IF(Q564="Container ship",Alukset_fx!$H$72*(Alukset_Käynnit_Lask!K564^Alukset_fx!$I$72),IF(Q564="Barge",0,IF(Q564="RoPax",Alukset_fx!$H$75*(Alukset_Käynnit_Lask!K564^Alukset_fx!$I$75),IF(OR(Q564="RoRo",Q564="Vehicle carrier"),Alukset_fx!$H$74*(Alukset_Käynnit_Lask!K564^Alukset_fx!$I$74),Alukset_fx!$H$77*(Alukset_Käynnit_Lask!K564^Alukset_fx!$I$77))))))))),"-")</f>
        <v>0</v>
      </c>
      <c r="T564" s="208">
        <f>IF(R564=0,IF(Q564="Other dry cargo",S564*Alukset_fx!$B$71,IF(OR(Q564="Dry bulk",Q564="Bulk carrier"),S564*Alukset_fx!$B$69,IF(Q564="Tugboat",S564*Alukset_fx!$B$76,IF(OR(Q564="Tanker",Q564="Gas tanker",Q564="Chemical tanker",Q564="Oil tanker"),S564*Alukset_fx!$B$68,IF(OR(Q564="RoRo",Q564="Vehicle carrier"),S564*Alukset_fx!$B$72,IF(Q564="RoPax",S564*Alukset_fx!$B$73,IF(Q564="Container ship",S564*Alukset_fx!$B$70,S564*Alukset_fx!$B$75))))))),"-")</f>
        <v>0</v>
      </c>
      <c r="U564" s="208">
        <f t="shared" si="102"/>
        <v>0</v>
      </c>
      <c r="V564" s="208">
        <f t="shared" si="103"/>
        <v>0</v>
      </c>
      <c r="W564" s="202">
        <f>Alukset_Käynnit!N571</f>
        <v>0</v>
      </c>
      <c r="X564" s="211">
        <f>IF(Q564="Other dry cargo", Alukset_fx!$C$52, IF(OR(Q564="Dry bulk",Q564="Bulk carrier"),Alukset_fx!$C$35,IF(OR(Q564="Tanker",Q564="Gas tanker",Q564="Oil tanker"),Alukset_fx!$C$57,IF(Q564="Chemical tanker",Alukset_fx!$C$56,IF(OR(Q564="Tugboat",Q564="Barge"),0,IF(Q564="Other vessel",Alukset_fx!$C$54,IF(Q564="Container ship",Alukset_fx!$C$37,IF(OR(Q564="RoPax",Q564="RoRo",Q564="Vehicle carrier"),Alukset_fx!$C$55,0))))))))</f>
        <v>0</v>
      </c>
      <c r="Y564" s="211">
        <f>IF(Q564="Other dry cargo", Alukset_fx!$Q$52, IF(OR(Q564="Dry bulk",Q564="Bulk carrier"),Alukset_fx!$Q$35,IF(OR(Q564="Tanker",Q564="Gas tanker",Q564="Oil tanker"),Alukset_fx!$Q$57,IF(Q564="Chemical tanker",Alukset_fx!$Q$56,IF(OR(Q564="Tugboat",Q564="Barge"),0,IF(Q564="Other vessel",Alukset_fx!$Q$54,IF(Q564="Container ship",Alukset_fx!$Q$37,IF(OR(Q564="RoPax",Q564="RoRo",Q564="Vehicle carrier"),Alukset_fx!$Q$55,0))))))))</f>
        <v>0</v>
      </c>
      <c r="Z564" t="str">
        <f t="shared" si="104"/>
        <v>MDO/MGO</v>
      </c>
      <c r="AA564" t="str">
        <f t="shared" si="105"/>
        <v>MSD</v>
      </c>
      <c r="AB564" t="str">
        <f t="shared" si="106"/>
        <v>MDO/MGO</v>
      </c>
      <c r="AC564" t="str">
        <f t="shared" si="107"/>
        <v>MSD</v>
      </c>
      <c r="AD564" t="str">
        <f t="shared" si="108"/>
        <v>MDO/MGO</v>
      </c>
      <c r="AE564" t="str">
        <f t="shared" si="109"/>
        <v>ST</v>
      </c>
      <c r="AG564">
        <f>Alukset_Käynnit!O571</f>
        <v>0</v>
      </c>
      <c r="AH564" s="207">
        <f>IF(AA564="SSD",((U564*Alukset_fx!$B$24)*Alukset_Käynnit_Lask!W564*(Alukset_fx!$K$49)/1000),IF(AA564="MSD",((U564*Alukset_fx!$B$24)*Alukset_Käynnit_Lask!W564*(Alukset_fx!$K$52)/1000),IF(AA564="HSD",((U564*Alukset_fx!$B$24)*Alukset_Käynnit_Lask!W564*(Alukset_fx!$K$55)/1000),0)))</f>
        <v>0</v>
      </c>
      <c r="AI564" s="207">
        <f>IF(AC564="MSD",((V564*Alukset_fx!$B$25)*Alukset_Käynnit_Lask!W564*(Alukset_fx!$L$52)/1000),IF(AC564="HSD",((V564*Alukset_fx!$B$25)*Alukset_Käynnit_Lask!W564*(Alukset_fx!$L$55)/1000),0))</f>
        <v>0</v>
      </c>
      <c r="AJ564" s="207">
        <f>X564*W564*Alukset_fx!$K$61/1000</f>
        <v>0</v>
      </c>
      <c r="AK564">
        <v>0</v>
      </c>
      <c r="AL564" s="207">
        <f>IF(AG564="Käytetty",0,IF(AC564="MSD",((V564*Alukset_fx!$O$25)*Alukset_Käynnit_Lask!O564*(Alukset_fx!$L$52)/1000),IF(AC564="HSD",((V564*Alukset_fx!$O$25)*Alukset_Käynnit_Lask!O564*(Alukset_fx!$L$55)/1000),0)))</f>
        <v>0</v>
      </c>
      <c r="AM564" s="207">
        <f>IF(AG564="Käytetty",0,Y564*O564*Alukset_fx!$K$61/1000)</f>
        <v>0</v>
      </c>
      <c r="AN564" s="213">
        <f t="shared" si="110"/>
        <v>0</v>
      </c>
    </row>
    <row r="565" spans="1:40" x14ac:dyDescent="0.25">
      <c r="A565" s="203">
        <f>Alukset_Käynnit!A572</f>
        <v>0</v>
      </c>
      <c r="B565" s="203">
        <f>Alukset_Käynnit!B572</f>
        <v>0</v>
      </c>
      <c r="C565" s="262">
        <f>Alukset_Käynnit!C572</f>
        <v>0</v>
      </c>
      <c r="D565" s="266">
        <f>Alukset_Käynnit!D572</f>
        <v>0</v>
      </c>
      <c r="E565" s="262">
        <f>Alukset_Käynnit!E572</f>
        <v>0</v>
      </c>
      <c r="F565" s="262">
        <f>Alukset_Käynnit!F572</f>
        <v>0</v>
      </c>
      <c r="G565" s="262">
        <f>Alukset_Käynnit!G572</f>
        <v>0</v>
      </c>
      <c r="H565" s="262">
        <f>Alukset_Käynnit!H572</f>
        <v>0</v>
      </c>
      <c r="I565" s="262">
        <f>Alukset_Käynnit!I572</f>
        <v>0</v>
      </c>
      <c r="J565" s="262">
        <f>Alukset_Käynnit!J572</f>
        <v>0</v>
      </c>
      <c r="K565" s="262">
        <f>Alukset_Käynnit!K572</f>
        <v>0</v>
      </c>
      <c r="L565" s="205">
        <f>Alukset_Käynnit!L572</f>
        <v>0</v>
      </c>
      <c r="N565" s="273">
        <f t="shared" si="111"/>
        <v>0</v>
      </c>
      <c r="O565" s="274">
        <f t="shared" si="112"/>
        <v>0</v>
      </c>
      <c r="Q565" s="204">
        <f t="shared" si="101"/>
        <v>0</v>
      </c>
      <c r="R565" s="202">
        <f>IF(Q565="Other dry cargo",L565*Alukset_fx!$B$71,IF(OR(Q565="Dry bulk",Q565="Bulk carrier"),L565*Alukset_fx!$B$69,IF(Q565="Tugboat",L565*Alukset_fx!$B$76,IF(OR(Q565="Tanker",Q565="Gas tanker",Q565="Chemical tanker",Q565="Oil tanker"),L565*Alukset_fx!$B$68,IF(OR(Q565="RoRo",Q565="Vehicle carrier"),L565*Alukset_fx!$B$72,IF(Q565="RoPax",L565*Alukset_fx!$B$73,IF(Q565="Container ship",L565*Alukset_fx!$B$70,IF(Q565="Barge",0,L565*Alukset_fx!$B$75))))))))</f>
        <v>0</v>
      </c>
      <c r="S565" s="210">
        <f>IF(L565=0,IF(Q565="Other dry cargo",Alukset_fx!$H$73*(Alukset_Käynnit_Lask!K565^Alukset_fx!$I$73),IF(OR(Q565="Dry Bulk",Q565="Bulk carrier"),Alukset_fx!$H$71*(Alukset_Käynnit_Lask!K565^Alukset_fx!$I$71),IF(Q565="Tugboat",Alukset_fx!$H$78*(Alukset_Käynnit_Lask!K565^Alukset_fx!$I$78),IF(OR(Q565="Tanker",Q565="Gas tanker",Q565="Chemical tanker",Q565="Oil tanker"),Alukset_fx!$H$70*(Alukset_Käynnit_Lask!K565^Alukset_fx!$I$70),IF(Q565="Container ship",Alukset_fx!$H$72*(Alukset_Käynnit_Lask!K565^Alukset_fx!$I$72),IF(Q565="Barge",0,IF(Q565="RoPax",Alukset_fx!$H$75*(Alukset_Käynnit_Lask!K565^Alukset_fx!$I$75),IF(OR(Q565="RoRo",Q565="Vehicle carrier"),Alukset_fx!$H$74*(Alukset_Käynnit_Lask!K565^Alukset_fx!$I$74),Alukset_fx!$H$77*(Alukset_Käynnit_Lask!K565^Alukset_fx!$I$77))))))))),"-")</f>
        <v>0</v>
      </c>
      <c r="T565" s="208">
        <f>IF(R565=0,IF(Q565="Other dry cargo",S565*Alukset_fx!$B$71,IF(OR(Q565="Dry bulk",Q565="Bulk carrier"),S565*Alukset_fx!$B$69,IF(Q565="Tugboat",S565*Alukset_fx!$B$76,IF(OR(Q565="Tanker",Q565="Gas tanker",Q565="Chemical tanker",Q565="Oil tanker"),S565*Alukset_fx!$B$68,IF(OR(Q565="RoRo",Q565="Vehicle carrier"),S565*Alukset_fx!$B$72,IF(Q565="RoPax",S565*Alukset_fx!$B$73,IF(Q565="Container ship",S565*Alukset_fx!$B$70,S565*Alukset_fx!$B$75))))))),"-")</f>
        <v>0</v>
      </c>
      <c r="U565" s="208">
        <f t="shared" si="102"/>
        <v>0</v>
      </c>
      <c r="V565" s="208">
        <f t="shared" si="103"/>
        <v>0</v>
      </c>
      <c r="W565" s="202">
        <f>Alukset_Käynnit!N572</f>
        <v>0</v>
      </c>
      <c r="X565" s="211">
        <f>IF(Q565="Other dry cargo", Alukset_fx!$C$52, IF(OR(Q565="Dry bulk",Q565="Bulk carrier"),Alukset_fx!$C$35,IF(OR(Q565="Tanker",Q565="Gas tanker",Q565="Oil tanker"),Alukset_fx!$C$57,IF(Q565="Chemical tanker",Alukset_fx!$C$56,IF(OR(Q565="Tugboat",Q565="Barge"),0,IF(Q565="Other vessel",Alukset_fx!$C$54,IF(Q565="Container ship",Alukset_fx!$C$37,IF(OR(Q565="RoPax",Q565="RoRo",Q565="Vehicle carrier"),Alukset_fx!$C$55,0))))))))</f>
        <v>0</v>
      </c>
      <c r="Y565" s="211">
        <f>IF(Q565="Other dry cargo", Alukset_fx!$Q$52, IF(OR(Q565="Dry bulk",Q565="Bulk carrier"),Alukset_fx!$Q$35,IF(OR(Q565="Tanker",Q565="Gas tanker",Q565="Oil tanker"),Alukset_fx!$Q$57,IF(Q565="Chemical tanker",Alukset_fx!$Q$56,IF(OR(Q565="Tugboat",Q565="Barge"),0,IF(Q565="Other vessel",Alukset_fx!$Q$54,IF(Q565="Container ship",Alukset_fx!$Q$37,IF(OR(Q565="RoPax",Q565="RoRo",Q565="Vehicle carrier"),Alukset_fx!$Q$55,0))))))))</f>
        <v>0</v>
      </c>
      <c r="Z565" t="str">
        <f t="shared" si="104"/>
        <v>MDO/MGO</v>
      </c>
      <c r="AA565" t="str">
        <f t="shared" si="105"/>
        <v>MSD</v>
      </c>
      <c r="AB565" t="str">
        <f t="shared" si="106"/>
        <v>MDO/MGO</v>
      </c>
      <c r="AC565" t="str">
        <f t="shared" si="107"/>
        <v>MSD</v>
      </c>
      <c r="AD565" t="str">
        <f t="shared" si="108"/>
        <v>MDO/MGO</v>
      </c>
      <c r="AE565" t="str">
        <f t="shared" si="109"/>
        <v>ST</v>
      </c>
      <c r="AG565">
        <f>Alukset_Käynnit!O572</f>
        <v>0</v>
      </c>
      <c r="AH565" s="207">
        <f>IF(AA565="SSD",((U565*Alukset_fx!$B$24)*Alukset_Käynnit_Lask!W565*(Alukset_fx!$K$49)/1000),IF(AA565="MSD",((U565*Alukset_fx!$B$24)*Alukset_Käynnit_Lask!W565*(Alukset_fx!$K$52)/1000),IF(AA565="HSD",((U565*Alukset_fx!$B$24)*Alukset_Käynnit_Lask!W565*(Alukset_fx!$K$55)/1000),0)))</f>
        <v>0</v>
      </c>
      <c r="AI565" s="207">
        <f>IF(AC565="MSD",((V565*Alukset_fx!$B$25)*Alukset_Käynnit_Lask!W565*(Alukset_fx!$L$52)/1000),IF(AC565="HSD",((V565*Alukset_fx!$B$25)*Alukset_Käynnit_Lask!W565*(Alukset_fx!$L$55)/1000),0))</f>
        <v>0</v>
      </c>
      <c r="AJ565" s="207">
        <f>X565*W565*Alukset_fx!$K$61/1000</f>
        <v>0</v>
      </c>
      <c r="AK565">
        <v>0</v>
      </c>
      <c r="AL565" s="207">
        <f>IF(AG565="Käytetty",0,IF(AC565="MSD",((V565*Alukset_fx!$O$25)*Alukset_Käynnit_Lask!O565*(Alukset_fx!$L$52)/1000),IF(AC565="HSD",((V565*Alukset_fx!$O$25)*Alukset_Käynnit_Lask!O565*(Alukset_fx!$L$55)/1000),0)))</f>
        <v>0</v>
      </c>
      <c r="AM565" s="207">
        <f>IF(AG565="Käytetty",0,Y565*O565*Alukset_fx!$K$61/1000)</f>
        <v>0</v>
      </c>
      <c r="AN565" s="213">
        <f t="shared" si="110"/>
        <v>0</v>
      </c>
    </row>
    <row r="566" spans="1:40" x14ac:dyDescent="0.25">
      <c r="A566" s="203">
        <f>Alukset_Käynnit!A573</f>
        <v>0</v>
      </c>
      <c r="B566" s="203">
        <f>Alukset_Käynnit!B573</f>
        <v>0</v>
      </c>
      <c r="C566" s="262">
        <f>Alukset_Käynnit!C573</f>
        <v>0</v>
      </c>
      <c r="D566" s="266">
        <f>Alukset_Käynnit!D573</f>
        <v>0</v>
      </c>
      <c r="E566" s="262">
        <f>Alukset_Käynnit!E573</f>
        <v>0</v>
      </c>
      <c r="F566" s="262">
        <f>Alukset_Käynnit!F573</f>
        <v>0</v>
      </c>
      <c r="G566" s="262">
        <f>Alukset_Käynnit!G573</f>
        <v>0</v>
      </c>
      <c r="H566" s="262">
        <f>Alukset_Käynnit!H573</f>
        <v>0</v>
      </c>
      <c r="I566" s="262">
        <f>Alukset_Käynnit!I573</f>
        <v>0</v>
      </c>
      <c r="J566" s="262">
        <f>Alukset_Käynnit!J573</f>
        <v>0</v>
      </c>
      <c r="K566" s="262">
        <f>Alukset_Käynnit!K573</f>
        <v>0</v>
      </c>
      <c r="L566" s="205">
        <f>Alukset_Käynnit!L573</f>
        <v>0</v>
      </c>
      <c r="N566" s="273">
        <f t="shared" si="111"/>
        <v>0</v>
      </c>
      <c r="O566" s="274">
        <f t="shared" si="112"/>
        <v>0</v>
      </c>
      <c r="Q566" s="204">
        <f t="shared" si="101"/>
        <v>0</v>
      </c>
      <c r="R566" s="202">
        <f>IF(Q566="Other dry cargo",L566*Alukset_fx!$B$71,IF(OR(Q566="Dry bulk",Q566="Bulk carrier"),L566*Alukset_fx!$B$69,IF(Q566="Tugboat",L566*Alukset_fx!$B$76,IF(OR(Q566="Tanker",Q566="Gas tanker",Q566="Chemical tanker",Q566="Oil tanker"),L566*Alukset_fx!$B$68,IF(OR(Q566="RoRo",Q566="Vehicle carrier"),L566*Alukset_fx!$B$72,IF(Q566="RoPax",L566*Alukset_fx!$B$73,IF(Q566="Container ship",L566*Alukset_fx!$B$70,IF(Q566="Barge",0,L566*Alukset_fx!$B$75))))))))</f>
        <v>0</v>
      </c>
      <c r="S566" s="210">
        <f>IF(L566=0,IF(Q566="Other dry cargo",Alukset_fx!$H$73*(Alukset_Käynnit_Lask!K566^Alukset_fx!$I$73),IF(OR(Q566="Dry Bulk",Q566="Bulk carrier"),Alukset_fx!$H$71*(Alukset_Käynnit_Lask!K566^Alukset_fx!$I$71),IF(Q566="Tugboat",Alukset_fx!$H$78*(Alukset_Käynnit_Lask!K566^Alukset_fx!$I$78),IF(OR(Q566="Tanker",Q566="Gas tanker",Q566="Chemical tanker",Q566="Oil tanker"),Alukset_fx!$H$70*(Alukset_Käynnit_Lask!K566^Alukset_fx!$I$70),IF(Q566="Container ship",Alukset_fx!$H$72*(Alukset_Käynnit_Lask!K566^Alukset_fx!$I$72),IF(Q566="Barge",0,IF(Q566="RoPax",Alukset_fx!$H$75*(Alukset_Käynnit_Lask!K566^Alukset_fx!$I$75),IF(OR(Q566="RoRo",Q566="Vehicle carrier"),Alukset_fx!$H$74*(Alukset_Käynnit_Lask!K566^Alukset_fx!$I$74),Alukset_fx!$H$77*(Alukset_Käynnit_Lask!K566^Alukset_fx!$I$77))))))))),"-")</f>
        <v>0</v>
      </c>
      <c r="T566" s="208">
        <f>IF(R566=0,IF(Q566="Other dry cargo",S566*Alukset_fx!$B$71,IF(OR(Q566="Dry bulk",Q566="Bulk carrier"),S566*Alukset_fx!$B$69,IF(Q566="Tugboat",S566*Alukset_fx!$B$76,IF(OR(Q566="Tanker",Q566="Gas tanker",Q566="Chemical tanker",Q566="Oil tanker"),S566*Alukset_fx!$B$68,IF(OR(Q566="RoRo",Q566="Vehicle carrier"),S566*Alukset_fx!$B$72,IF(Q566="RoPax",S566*Alukset_fx!$B$73,IF(Q566="Container ship",S566*Alukset_fx!$B$70,S566*Alukset_fx!$B$75))))))),"-")</f>
        <v>0</v>
      </c>
      <c r="U566" s="208">
        <f t="shared" si="102"/>
        <v>0</v>
      </c>
      <c r="V566" s="208">
        <f t="shared" si="103"/>
        <v>0</v>
      </c>
      <c r="W566" s="202">
        <f>Alukset_Käynnit!N573</f>
        <v>0</v>
      </c>
      <c r="X566" s="211">
        <f>IF(Q566="Other dry cargo", Alukset_fx!$C$52, IF(OR(Q566="Dry bulk",Q566="Bulk carrier"),Alukset_fx!$C$35,IF(OR(Q566="Tanker",Q566="Gas tanker",Q566="Oil tanker"),Alukset_fx!$C$57,IF(Q566="Chemical tanker",Alukset_fx!$C$56,IF(OR(Q566="Tugboat",Q566="Barge"),0,IF(Q566="Other vessel",Alukset_fx!$C$54,IF(Q566="Container ship",Alukset_fx!$C$37,IF(OR(Q566="RoPax",Q566="RoRo",Q566="Vehicle carrier"),Alukset_fx!$C$55,0))))))))</f>
        <v>0</v>
      </c>
      <c r="Y566" s="211">
        <f>IF(Q566="Other dry cargo", Alukset_fx!$Q$52, IF(OR(Q566="Dry bulk",Q566="Bulk carrier"),Alukset_fx!$Q$35,IF(OR(Q566="Tanker",Q566="Gas tanker",Q566="Oil tanker"),Alukset_fx!$Q$57,IF(Q566="Chemical tanker",Alukset_fx!$Q$56,IF(OR(Q566="Tugboat",Q566="Barge"),0,IF(Q566="Other vessel",Alukset_fx!$Q$54,IF(Q566="Container ship",Alukset_fx!$Q$37,IF(OR(Q566="RoPax",Q566="RoRo",Q566="Vehicle carrier"),Alukset_fx!$Q$55,0))))))))</f>
        <v>0</v>
      </c>
      <c r="Z566" t="str">
        <f t="shared" si="104"/>
        <v>MDO/MGO</v>
      </c>
      <c r="AA566" t="str">
        <f t="shared" si="105"/>
        <v>MSD</v>
      </c>
      <c r="AB566" t="str">
        <f t="shared" si="106"/>
        <v>MDO/MGO</v>
      </c>
      <c r="AC566" t="str">
        <f t="shared" si="107"/>
        <v>MSD</v>
      </c>
      <c r="AD566" t="str">
        <f t="shared" si="108"/>
        <v>MDO/MGO</v>
      </c>
      <c r="AE566" t="str">
        <f t="shared" si="109"/>
        <v>ST</v>
      </c>
      <c r="AG566">
        <f>Alukset_Käynnit!O573</f>
        <v>0</v>
      </c>
      <c r="AH566" s="207">
        <f>IF(AA566="SSD",((U566*Alukset_fx!$B$24)*Alukset_Käynnit_Lask!W566*(Alukset_fx!$K$49)/1000),IF(AA566="MSD",((U566*Alukset_fx!$B$24)*Alukset_Käynnit_Lask!W566*(Alukset_fx!$K$52)/1000),IF(AA566="HSD",((U566*Alukset_fx!$B$24)*Alukset_Käynnit_Lask!W566*(Alukset_fx!$K$55)/1000),0)))</f>
        <v>0</v>
      </c>
      <c r="AI566" s="207">
        <f>IF(AC566="MSD",((V566*Alukset_fx!$B$25)*Alukset_Käynnit_Lask!W566*(Alukset_fx!$L$52)/1000),IF(AC566="HSD",((V566*Alukset_fx!$B$25)*Alukset_Käynnit_Lask!W566*(Alukset_fx!$L$55)/1000),0))</f>
        <v>0</v>
      </c>
      <c r="AJ566" s="207">
        <f>X566*W566*Alukset_fx!$K$61/1000</f>
        <v>0</v>
      </c>
      <c r="AK566">
        <v>0</v>
      </c>
      <c r="AL566" s="207">
        <f>IF(AG566="Käytetty",0,IF(AC566="MSD",((V566*Alukset_fx!$O$25)*Alukset_Käynnit_Lask!O566*(Alukset_fx!$L$52)/1000),IF(AC566="HSD",((V566*Alukset_fx!$O$25)*Alukset_Käynnit_Lask!O566*(Alukset_fx!$L$55)/1000),0)))</f>
        <v>0</v>
      </c>
      <c r="AM566" s="207">
        <f>IF(AG566="Käytetty",0,Y566*O566*Alukset_fx!$K$61/1000)</f>
        <v>0</v>
      </c>
      <c r="AN566" s="213">
        <f t="shared" si="110"/>
        <v>0</v>
      </c>
    </row>
    <row r="567" spans="1:40" x14ac:dyDescent="0.25">
      <c r="A567" s="203">
        <f>Alukset_Käynnit!A574</f>
        <v>0</v>
      </c>
      <c r="B567" s="203">
        <f>Alukset_Käynnit!B574</f>
        <v>0</v>
      </c>
      <c r="C567" s="262">
        <f>Alukset_Käynnit!C574</f>
        <v>0</v>
      </c>
      <c r="D567" s="266">
        <f>Alukset_Käynnit!D574</f>
        <v>0</v>
      </c>
      <c r="E567" s="262">
        <f>Alukset_Käynnit!E574</f>
        <v>0</v>
      </c>
      <c r="F567" s="262">
        <f>Alukset_Käynnit!F574</f>
        <v>0</v>
      </c>
      <c r="G567" s="262">
        <f>Alukset_Käynnit!G574</f>
        <v>0</v>
      </c>
      <c r="H567" s="262">
        <f>Alukset_Käynnit!H574</f>
        <v>0</v>
      </c>
      <c r="I567" s="262">
        <f>Alukset_Käynnit!I574</f>
        <v>0</v>
      </c>
      <c r="J567" s="262">
        <f>Alukset_Käynnit!J574</f>
        <v>0</v>
      </c>
      <c r="K567" s="262">
        <f>Alukset_Käynnit!K574</f>
        <v>0</v>
      </c>
      <c r="L567" s="205">
        <f>Alukset_Käynnit!L574</f>
        <v>0</v>
      </c>
      <c r="N567" s="273">
        <f t="shared" si="111"/>
        <v>0</v>
      </c>
      <c r="O567" s="274">
        <f t="shared" si="112"/>
        <v>0</v>
      </c>
      <c r="Q567" s="204">
        <f t="shared" si="101"/>
        <v>0</v>
      </c>
      <c r="R567" s="202">
        <f>IF(Q567="Other dry cargo",L567*Alukset_fx!$B$71,IF(OR(Q567="Dry bulk",Q567="Bulk carrier"),L567*Alukset_fx!$B$69,IF(Q567="Tugboat",L567*Alukset_fx!$B$76,IF(OR(Q567="Tanker",Q567="Gas tanker",Q567="Chemical tanker",Q567="Oil tanker"),L567*Alukset_fx!$B$68,IF(OR(Q567="RoRo",Q567="Vehicle carrier"),L567*Alukset_fx!$B$72,IF(Q567="RoPax",L567*Alukset_fx!$B$73,IF(Q567="Container ship",L567*Alukset_fx!$B$70,IF(Q567="Barge",0,L567*Alukset_fx!$B$75))))))))</f>
        <v>0</v>
      </c>
      <c r="S567" s="210">
        <f>IF(L567=0,IF(Q567="Other dry cargo",Alukset_fx!$H$73*(Alukset_Käynnit_Lask!K567^Alukset_fx!$I$73),IF(OR(Q567="Dry Bulk",Q567="Bulk carrier"),Alukset_fx!$H$71*(Alukset_Käynnit_Lask!K567^Alukset_fx!$I$71),IF(Q567="Tugboat",Alukset_fx!$H$78*(Alukset_Käynnit_Lask!K567^Alukset_fx!$I$78),IF(OR(Q567="Tanker",Q567="Gas tanker",Q567="Chemical tanker",Q567="Oil tanker"),Alukset_fx!$H$70*(Alukset_Käynnit_Lask!K567^Alukset_fx!$I$70),IF(Q567="Container ship",Alukset_fx!$H$72*(Alukset_Käynnit_Lask!K567^Alukset_fx!$I$72),IF(Q567="Barge",0,IF(Q567="RoPax",Alukset_fx!$H$75*(Alukset_Käynnit_Lask!K567^Alukset_fx!$I$75),IF(OR(Q567="RoRo",Q567="Vehicle carrier"),Alukset_fx!$H$74*(Alukset_Käynnit_Lask!K567^Alukset_fx!$I$74),Alukset_fx!$H$77*(Alukset_Käynnit_Lask!K567^Alukset_fx!$I$77))))))))),"-")</f>
        <v>0</v>
      </c>
      <c r="T567" s="208">
        <f>IF(R567=0,IF(Q567="Other dry cargo",S567*Alukset_fx!$B$71,IF(OR(Q567="Dry bulk",Q567="Bulk carrier"),S567*Alukset_fx!$B$69,IF(Q567="Tugboat",S567*Alukset_fx!$B$76,IF(OR(Q567="Tanker",Q567="Gas tanker",Q567="Chemical tanker",Q567="Oil tanker"),S567*Alukset_fx!$B$68,IF(OR(Q567="RoRo",Q567="Vehicle carrier"),S567*Alukset_fx!$B$72,IF(Q567="RoPax",S567*Alukset_fx!$B$73,IF(Q567="Container ship",S567*Alukset_fx!$B$70,S567*Alukset_fx!$B$75))))))),"-")</f>
        <v>0</v>
      </c>
      <c r="U567" s="208">
        <f t="shared" si="102"/>
        <v>0</v>
      </c>
      <c r="V567" s="208">
        <f t="shared" si="103"/>
        <v>0</v>
      </c>
      <c r="W567" s="202">
        <f>Alukset_Käynnit!N574</f>
        <v>0</v>
      </c>
      <c r="X567" s="211">
        <f>IF(Q567="Other dry cargo", Alukset_fx!$C$52, IF(OR(Q567="Dry bulk",Q567="Bulk carrier"),Alukset_fx!$C$35,IF(OR(Q567="Tanker",Q567="Gas tanker",Q567="Oil tanker"),Alukset_fx!$C$57,IF(Q567="Chemical tanker",Alukset_fx!$C$56,IF(OR(Q567="Tugboat",Q567="Barge"),0,IF(Q567="Other vessel",Alukset_fx!$C$54,IF(Q567="Container ship",Alukset_fx!$C$37,IF(OR(Q567="RoPax",Q567="RoRo",Q567="Vehicle carrier"),Alukset_fx!$C$55,0))))))))</f>
        <v>0</v>
      </c>
      <c r="Y567" s="211">
        <f>IF(Q567="Other dry cargo", Alukset_fx!$Q$52, IF(OR(Q567="Dry bulk",Q567="Bulk carrier"),Alukset_fx!$Q$35,IF(OR(Q567="Tanker",Q567="Gas tanker",Q567="Oil tanker"),Alukset_fx!$Q$57,IF(Q567="Chemical tanker",Alukset_fx!$Q$56,IF(OR(Q567="Tugboat",Q567="Barge"),0,IF(Q567="Other vessel",Alukset_fx!$Q$54,IF(Q567="Container ship",Alukset_fx!$Q$37,IF(OR(Q567="RoPax",Q567="RoRo",Q567="Vehicle carrier"),Alukset_fx!$Q$55,0))))))))</f>
        <v>0</v>
      </c>
      <c r="Z567" t="str">
        <f t="shared" si="104"/>
        <v>MDO/MGO</v>
      </c>
      <c r="AA567" t="str">
        <f t="shared" si="105"/>
        <v>MSD</v>
      </c>
      <c r="AB567" t="str">
        <f t="shared" si="106"/>
        <v>MDO/MGO</v>
      </c>
      <c r="AC567" t="str">
        <f t="shared" si="107"/>
        <v>MSD</v>
      </c>
      <c r="AD567" t="str">
        <f t="shared" si="108"/>
        <v>MDO/MGO</v>
      </c>
      <c r="AE567" t="str">
        <f t="shared" si="109"/>
        <v>ST</v>
      </c>
      <c r="AG567">
        <f>Alukset_Käynnit!O574</f>
        <v>0</v>
      </c>
      <c r="AH567" s="207">
        <f>IF(AA567="SSD",((U567*Alukset_fx!$B$24)*Alukset_Käynnit_Lask!W567*(Alukset_fx!$K$49)/1000),IF(AA567="MSD",((U567*Alukset_fx!$B$24)*Alukset_Käynnit_Lask!W567*(Alukset_fx!$K$52)/1000),IF(AA567="HSD",((U567*Alukset_fx!$B$24)*Alukset_Käynnit_Lask!W567*(Alukset_fx!$K$55)/1000),0)))</f>
        <v>0</v>
      </c>
      <c r="AI567" s="207">
        <f>IF(AC567="MSD",((V567*Alukset_fx!$B$25)*Alukset_Käynnit_Lask!W567*(Alukset_fx!$L$52)/1000),IF(AC567="HSD",((V567*Alukset_fx!$B$25)*Alukset_Käynnit_Lask!W567*(Alukset_fx!$L$55)/1000),0))</f>
        <v>0</v>
      </c>
      <c r="AJ567" s="207">
        <f>X567*W567*Alukset_fx!$K$61/1000</f>
        <v>0</v>
      </c>
      <c r="AK567">
        <v>0</v>
      </c>
      <c r="AL567" s="207">
        <f>IF(AG567="Käytetty",0,IF(AC567="MSD",((V567*Alukset_fx!$O$25)*Alukset_Käynnit_Lask!O567*(Alukset_fx!$L$52)/1000),IF(AC567="HSD",((V567*Alukset_fx!$O$25)*Alukset_Käynnit_Lask!O567*(Alukset_fx!$L$55)/1000),0)))</f>
        <v>0</v>
      </c>
      <c r="AM567" s="207">
        <f>IF(AG567="Käytetty",0,Y567*O567*Alukset_fx!$K$61/1000)</f>
        <v>0</v>
      </c>
      <c r="AN567" s="213">
        <f t="shared" si="110"/>
        <v>0</v>
      </c>
    </row>
    <row r="568" spans="1:40" x14ac:dyDescent="0.25">
      <c r="A568" s="203">
        <f>Alukset_Käynnit!A575</f>
        <v>0</v>
      </c>
      <c r="B568" s="203">
        <f>Alukset_Käynnit!B575</f>
        <v>0</v>
      </c>
      <c r="C568" s="262">
        <f>Alukset_Käynnit!C575</f>
        <v>0</v>
      </c>
      <c r="D568" s="266">
        <f>Alukset_Käynnit!D575</f>
        <v>0</v>
      </c>
      <c r="E568" s="262">
        <f>Alukset_Käynnit!E575</f>
        <v>0</v>
      </c>
      <c r="F568" s="262">
        <f>Alukset_Käynnit!F575</f>
        <v>0</v>
      </c>
      <c r="G568" s="262">
        <f>Alukset_Käynnit!G575</f>
        <v>0</v>
      </c>
      <c r="H568" s="262">
        <f>Alukset_Käynnit!H575</f>
        <v>0</v>
      </c>
      <c r="I568" s="262">
        <f>Alukset_Käynnit!I575</f>
        <v>0</v>
      </c>
      <c r="J568" s="262">
        <f>Alukset_Käynnit!J575</f>
        <v>0</v>
      </c>
      <c r="K568" s="262">
        <f>Alukset_Käynnit!K575</f>
        <v>0</v>
      </c>
      <c r="L568" s="205">
        <f>Alukset_Käynnit!L575</f>
        <v>0</v>
      </c>
      <c r="N568" s="273">
        <f t="shared" si="111"/>
        <v>0</v>
      </c>
      <c r="O568" s="274">
        <f t="shared" si="112"/>
        <v>0</v>
      </c>
      <c r="Q568" s="204">
        <f t="shared" si="101"/>
        <v>0</v>
      </c>
      <c r="R568" s="202">
        <f>IF(Q568="Other dry cargo",L568*Alukset_fx!$B$71,IF(OR(Q568="Dry bulk",Q568="Bulk carrier"),L568*Alukset_fx!$B$69,IF(Q568="Tugboat",L568*Alukset_fx!$B$76,IF(OR(Q568="Tanker",Q568="Gas tanker",Q568="Chemical tanker",Q568="Oil tanker"),L568*Alukset_fx!$B$68,IF(OR(Q568="RoRo",Q568="Vehicle carrier"),L568*Alukset_fx!$B$72,IF(Q568="RoPax",L568*Alukset_fx!$B$73,IF(Q568="Container ship",L568*Alukset_fx!$B$70,IF(Q568="Barge",0,L568*Alukset_fx!$B$75))))))))</f>
        <v>0</v>
      </c>
      <c r="S568" s="210">
        <f>IF(L568=0,IF(Q568="Other dry cargo",Alukset_fx!$H$73*(Alukset_Käynnit_Lask!K568^Alukset_fx!$I$73),IF(OR(Q568="Dry Bulk",Q568="Bulk carrier"),Alukset_fx!$H$71*(Alukset_Käynnit_Lask!K568^Alukset_fx!$I$71),IF(Q568="Tugboat",Alukset_fx!$H$78*(Alukset_Käynnit_Lask!K568^Alukset_fx!$I$78),IF(OR(Q568="Tanker",Q568="Gas tanker",Q568="Chemical tanker",Q568="Oil tanker"),Alukset_fx!$H$70*(Alukset_Käynnit_Lask!K568^Alukset_fx!$I$70),IF(Q568="Container ship",Alukset_fx!$H$72*(Alukset_Käynnit_Lask!K568^Alukset_fx!$I$72),IF(Q568="Barge",0,IF(Q568="RoPax",Alukset_fx!$H$75*(Alukset_Käynnit_Lask!K568^Alukset_fx!$I$75),IF(OR(Q568="RoRo",Q568="Vehicle carrier"),Alukset_fx!$H$74*(Alukset_Käynnit_Lask!K568^Alukset_fx!$I$74),Alukset_fx!$H$77*(Alukset_Käynnit_Lask!K568^Alukset_fx!$I$77))))))))),"-")</f>
        <v>0</v>
      </c>
      <c r="T568" s="208">
        <f>IF(R568=0,IF(Q568="Other dry cargo",S568*Alukset_fx!$B$71,IF(OR(Q568="Dry bulk",Q568="Bulk carrier"),S568*Alukset_fx!$B$69,IF(Q568="Tugboat",S568*Alukset_fx!$B$76,IF(OR(Q568="Tanker",Q568="Gas tanker",Q568="Chemical tanker",Q568="Oil tanker"),S568*Alukset_fx!$B$68,IF(OR(Q568="RoRo",Q568="Vehicle carrier"),S568*Alukset_fx!$B$72,IF(Q568="RoPax",S568*Alukset_fx!$B$73,IF(Q568="Container ship",S568*Alukset_fx!$B$70,S568*Alukset_fx!$B$75))))))),"-")</f>
        <v>0</v>
      </c>
      <c r="U568" s="208">
        <f t="shared" si="102"/>
        <v>0</v>
      </c>
      <c r="V568" s="208">
        <f t="shared" si="103"/>
        <v>0</v>
      </c>
      <c r="W568" s="202">
        <f>Alukset_Käynnit!N575</f>
        <v>0</v>
      </c>
      <c r="X568" s="211">
        <f>IF(Q568="Other dry cargo", Alukset_fx!$C$52, IF(OR(Q568="Dry bulk",Q568="Bulk carrier"),Alukset_fx!$C$35,IF(OR(Q568="Tanker",Q568="Gas tanker",Q568="Oil tanker"),Alukset_fx!$C$57,IF(Q568="Chemical tanker",Alukset_fx!$C$56,IF(OR(Q568="Tugboat",Q568="Barge"),0,IF(Q568="Other vessel",Alukset_fx!$C$54,IF(Q568="Container ship",Alukset_fx!$C$37,IF(OR(Q568="RoPax",Q568="RoRo",Q568="Vehicle carrier"),Alukset_fx!$C$55,0))))))))</f>
        <v>0</v>
      </c>
      <c r="Y568" s="211">
        <f>IF(Q568="Other dry cargo", Alukset_fx!$Q$52, IF(OR(Q568="Dry bulk",Q568="Bulk carrier"),Alukset_fx!$Q$35,IF(OR(Q568="Tanker",Q568="Gas tanker",Q568="Oil tanker"),Alukset_fx!$Q$57,IF(Q568="Chemical tanker",Alukset_fx!$Q$56,IF(OR(Q568="Tugboat",Q568="Barge"),0,IF(Q568="Other vessel",Alukset_fx!$Q$54,IF(Q568="Container ship",Alukset_fx!$Q$37,IF(OR(Q568="RoPax",Q568="RoRo",Q568="Vehicle carrier"),Alukset_fx!$Q$55,0))))))))</f>
        <v>0</v>
      </c>
      <c r="Z568" t="str">
        <f t="shared" si="104"/>
        <v>MDO/MGO</v>
      </c>
      <c r="AA568" t="str">
        <f t="shared" si="105"/>
        <v>MSD</v>
      </c>
      <c r="AB568" t="str">
        <f t="shared" si="106"/>
        <v>MDO/MGO</v>
      </c>
      <c r="AC568" t="str">
        <f t="shared" si="107"/>
        <v>MSD</v>
      </c>
      <c r="AD568" t="str">
        <f t="shared" si="108"/>
        <v>MDO/MGO</v>
      </c>
      <c r="AE568" t="str">
        <f t="shared" si="109"/>
        <v>ST</v>
      </c>
      <c r="AG568">
        <f>Alukset_Käynnit!O575</f>
        <v>0</v>
      </c>
      <c r="AH568" s="207">
        <f>IF(AA568="SSD",((U568*Alukset_fx!$B$24)*Alukset_Käynnit_Lask!W568*(Alukset_fx!$K$49)/1000),IF(AA568="MSD",((U568*Alukset_fx!$B$24)*Alukset_Käynnit_Lask!W568*(Alukset_fx!$K$52)/1000),IF(AA568="HSD",((U568*Alukset_fx!$B$24)*Alukset_Käynnit_Lask!W568*(Alukset_fx!$K$55)/1000),0)))</f>
        <v>0</v>
      </c>
      <c r="AI568" s="207">
        <f>IF(AC568="MSD",((V568*Alukset_fx!$B$25)*Alukset_Käynnit_Lask!W568*(Alukset_fx!$L$52)/1000),IF(AC568="HSD",((V568*Alukset_fx!$B$25)*Alukset_Käynnit_Lask!W568*(Alukset_fx!$L$55)/1000),0))</f>
        <v>0</v>
      </c>
      <c r="AJ568" s="207">
        <f>X568*W568*Alukset_fx!$K$61/1000</f>
        <v>0</v>
      </c>
      <c r="AK568">
        <v>0</v>
      </c>
      <c r="AL568" s="207">
        <f>IF(AG568="Käytetty",0,IF(AC568="MSD",((V568*Alukset_fx!$O$25)*Alukset_Käynnit_Lask!O568*(Alukset_fx!$L$52)/1000),IF(AC568="HSD",((V568*Alukset_fx!$O$25)*Alukset_Käynnit_Lask!O568*(Alukset_fx!$L$55)/1000),0)))</f>
        <v>0</v>
      </c>
      <c r="AM568" s="207">
        <f>IF(AG568="Käytetty",0,Y568*O568*Alukset_fx!$K$61/1000)</f>
        <v>0</v>
      </c>
      <c r="AN568" s="213">
        <f t="shared" si="110"/>
        <v>0</v>
      </c>
    </row>
    <row r="569" spans="1:40" x14ac:dyDescent="0.25">
      <c r="A569" s="203">
        <f>Alukset_Käynnit!A576</f>
        <v>0</v>
      </c>
      <c r="B569" s="203">
        <f>Alukset_Käynnit!B576</f>
        <v>0</v>
      </c>
      <c r="C569" s="262">
        <f>Alukset_Käynnit!C576</f>
        <v>0</v>
      </c>
      <c r="D569" s="266">
        <f>Alukset_Käynnit!D576</f>
        <v>0</v>
      </c>
      <c r="E569" s="262">
        <f>Alukset_Käynnit!E576</f>
        <v>0</v>
      </c>
      <c r="F569" s="262">
        <f>Alukset_Käynnit!F576</f>
        <v>0</v>
      </c>
      <c r="G569" s="262">
        <f>Alukset_Käynnit!G576</f>
        <v>0</v>
      </c>
      <c r="H569" s="262">
        <f>Alukset_Käynnit!H576</f>
        <v>0</v>
      </c>
      <c r="I569" s="262">
        <f>Alukset_Käynnit!I576</f>
        <v>0</v>
      </c>
      <c r="J569" s="262">
        <f>Alukset_Käynnit!J576</f>
        <v>0</v>
      </c>
      <c r="K569" s="262">
        <f>Alukset_Käynnit!K576</f>
        <v>0</v>
      </c>
      <c r="L569" s="205">
        <f>Alukset_Käynnit!L576</f>
        <v>0</v>
      </c>
      <c r="N569" s="273">
        <f t="shared" si="111"/>
        <v>0</v>
      </c>
      <c r="O569" s="274">
        <f t="shared" si="112"/>
        <v>0</v>
      </c>
      <c r="Q569" s="204">
        <f t="shared" si="101"/>
        <v>0</v>
      </c>
      <c r="R569" s="202">
        <f>IF(Q569="Other dry cargo",L569*Alukset_fx!$B$71,IF(OR(Q569="Dry bulk",Q569="Bulk carrier"),L569*Alukset_fx!$B$69,IF(Q569="Tugboat",L569*Alukset_fx!$B$76,IF(OR(Q569="Tanker",Q569="Gas tanker",Q569="Chemical tanker",Q569="Oil tanker"),L569*Alukset_fx!$B$68,IF(OR(Q569="RoRo",Q569="Vehicle carrier"),L569*Alukset_fx!$B$72,IF(Q569="RoPax",L569*Alukset_fx!$B$73,IF(Q569="Container ship",L569*Alukset_fx!$B$70,IF(Q569="Barge",0,L569*Alukset_fx!$B$75))))))))</f>
        <v>0</v>
      </c>
      <c r="S569" s="210">
        <f>IF(L569=0,IF(Q569="Other dry cargo",Alukset_fx!$H$73*(Alukset_Käynnit_Lask!K569^Alukset_fx!$I$73),IF(OR(Q569="Dry Bulk",Q569="Bulk carrier"),Alukset_fx!$H$71*(Alukset_Käynnit_Lask!K569^Alukset_fx!$I$71),IF(Q569="Tugboat",Alukset_fx!$H$78*(Alukset_Käynnit_Lask!K569^Alukset_fx!$I$78),IF(OR(Q569="Tanker",Q569="Gas tanker",Q569="Chemical tanker",Q569="Oil tanker"),Alukset_fx!$H$70*(Alukset_Käynnit_Lask!K569^Alukset_fx!$I$70),IF(Q569="Container ship",Alukset_fx!$H$72*(Alukset_Käynnit_Lask!K569^Alukset_fx!$I$72),IF(Q569="Barge",0,IF(Q569="RoPax",Alukset_fx!$H$75*(Alukset_Käynnit_Lask!K569^Alukset_fx!$I$75),IF(OR(Q569="RoRo",Q569="Vehicle carrier"),Alukset_fx!$H$74*(Alukset_Käynnit_Lask!K569^Alukset_fx!$I$74),Alukset_fx!$H$77*(Alukset_Käynnit_Lask!K569^Alukset_fx!$I$77))))))))),"-")</f>
        <v>0</v>
      </c>
      <c r="T569" s="208">
        <f>IF(R569=0,IF(Q569="Other dry cargo",S569*Alukset_fx!$B$71,IF(OR(Q569="Dry bulk",Q569="Bulk carrier"),S569*Alukset_fx!$B$69,IF(Q569="Tugboat",S569*Alukset_fx!$B$76,IF(OR(Q569="Tanker",Q569="Gas tanker",Q569="Chemical tanker",Q569="Oil tanker"),S569*Alukset_fx!$B$68,IF(OR(Q569="RoRo",Q569="Vehicle carrier"),S569*Alukset_fx!$B$72,IF(Q569="RoPax",S569*Alukset_fx!$B$73,IF(Q569="Container ship",S569*Alukset_fx!$B$70,S569*Alukset_fx!$B$75))))))),"-")</f>
        <v>0</v>
      </c>
      <c r="U569" s="208">
        <f t="shared" si="102"/>
        <v>0</v>
      </c>
      <c r="V569" s="208">
        <f t="shared" si="103"/>
        <v>0</v>
      </c>
      <c r="W569" s="202">
        <f>Alukset_Käynnit!N576</f>
        <v>0</v>
      </c>
      <c r="X569" s="211">
        <f>IF(Q569="Other dry cargo", Alukset_fx!$C$52, IF(OR(Q569="Dry bulk",Q569="Bulk carrier"),Alukset_fx!$C$35,IF(OR(Q569="Tanker",Q569="Gas tanker",Q569="Oil tanker"),Alukset_fx!$C$57,IF(Q569="Chemical tanker",Alukset_fx!$C$56,IF(OR(Q569="Tugboat",Q569="Barge"),0,IF(Q569="Other vessel",Alukset_fx!$C$54,IF(Q569="Container ship",Alukset_fx!$C$37,IF(OR(Q569="RoPax",Q569="RoRo",Q569="Vehicle carrier"),Alukset_fx!$C$55,0))))))))</f>
        <v>0</v>
      </c>
      <c r="Y569" s="211">
        <f>IF(Q569="Other dry cargo", Alukset_fx!$Q$52, IF(OR(Q569="Dry bulk",Q569="Bulk carrier"),Alukset_fx!$Q$35,IF(OR(Q569="Tanker",Q569="Gas tanker",Q569="Oil tanker"),Alukset_fx!$Q$57,IF(Q569="Chemical tanker",Alukset_fx!$Q$56,IF(OR(Q569="Tugboat",Q569="Barge"),0,IF(Q569="Other vessel",Alukset_fx!$Q$54,IF(Q569="Container ship",Alukset_fx!$Q$37,IF(OR(Q569="RoPax",Q569="RoRo",Q569="Vehicle carrier"),Alukset_fx!$Q$55,0))))))))</f>
        <v>0</v>
      </c>
      <c r="Z569" t="str">
        <f t="shared" si="104"/>
        <v>MDO/MGO</v>
      </c>
      <c r="AA569" t="str">
        <f t="shared" si="105"/>
        <v>MSD</v>
      </c>
      <c r="AB569" t="str">
        <f t="shared" si="106"/>
        <v>MDO/MGO</v>
      </c>
      <c r="AC569" t="str">
        <f t="shared" si="107"/>
        <v>MSD</v>
      </c>
      <c r="AD569" t="str">
        <f t="shared" si="108"/>
        <v>MDO/MGO</v>
      </c>
      <c r="AE569" t="str">
        <f t="shared" si="109"/>
        <v>ST</v>
      </c>
      <c r="AG569">
        <f>Alukset_Käynnit!O576</f>
        <v>0</v>
      </c>
      <c r="AH569" s="207">
        <f>IF(AA569="SSD",((U569*Alukset_fx!$B$24)*Alukset_Käynnit_Lask!W569*(Alukset_fx!$K$49)/1000),IF(AA569="MSD",((U569*Alukset_fx!$B$24)*Alukset_Käynnit_Lask!W569*(Alukset_fx!$K$52)/1000),IF(AA569="HSD",((U569*Alukset_fx!$B$24)*Alukset_Käynnit_Lask!W569*(Alukset_fx!$K$55)/1000),0)))</f>
        <v>0</v>
      </c>
      <c r="AI569" s="207">
        <f>IF(AC569="MSD",((V569*Alukset_fx!$B$25)*Alukset_Käynnit_Lask!W569*(Alukset_fx!$L$52)/1000),IF(AC569="HSD",((V569*Alukset_fx!$B$25)*Alukset_Käynnit_Lask!W569*(Alukset_fx!$L$55)/1000),0))</f>
        <v>0</v>
      </c>
      <c r="AJ569" s="207">
        <f>X569*W569*Alukset_fx!$K$61/1000</f>
        <v>0</v>
      </c>
      <c r="AK569">
        <v>0</v>
      </c>
      <c r="AL569" s="207">
        <f>IF(AG569="Käytetty",0,IF(AC569="MSD",((V569*Alukset_fx!$O$25)*Alukset_Käynnit_Lask!O569*(Alukset_fx!$L$52)/1000),IF(AC569="HSD",((V569*Alukset_fx!$O$25)*Alukset_Käynnit_Lask!O569*(Alukset_fx!$L$55)/1000),0)))</f>
        <v>0</v>
      </c>
      <c r="AM569" s="207">
        <f>IF(AG569="Käytetty",0,Y569*O569*Alukset_fx!$K$61/1000)</f>
        <v>0</v>
      </c>
      <c r="AN569" s="213">
        <f t="shared" si="110"/>
        <v>0</v>
      </c>
    </row>
    <row r="570" spans="1:40" x14ac:dyDescent="0.25">
      <c r="A570" s="203">
        <f>Alukset_Käynnit!A577</f>
        <v>0</v>
      </c>
      <c r="B570" s="203">
        <f>Alukset_Käynnit!B577</f>
        <v>0</v>
      </c>
      <c r="C570" s="262">
        <f>Alukset_Käynnit!C577</f>
        <v>0</v>
      </c>
      <c r="D570" s="266">
        <f>Alukset_Käynnit!D577</f>
        <v>0</v>
      </c>
      <c r="E570" s="262">
        <f>Alukset_Käynnit!E577</f>
        <v>0</v>
      </c>
      <c r="F570" s="262">
        <f>Alukset_Käynnit!F577</f>
        <v>0</v>
      </c>
      <c r="G570" s="262">
        <f>Alukset_Käynnit!G577</f>
        <v>0</v>
      </c>
      <c r="H570" s="262">
        <f>Alukset_Käynnit!H577</f>
        <v>0</v>
      </c>
      <c r="I570" s="262">
        <f>Alukset_Käynnit!I577</f>
        <v>0</v>
      </c>
      <c r="J570" s="262">
        <f>Alukset_Käynnit!J577</f>
        <v>0</v>
      </c>
      <c r="K570" s="262">
        <f>Alukset_Käynnit!K577</f>
        <v>0</v>
      </c>
      <c r="L570" s="205">
        <f>Alukset_Käynnit!L577</f>
        <v>0</v>
      </c>
      <c r="N570" s="273">
        <f t="shared" si="111"/>
        <v>0</v>
      </c>
      <c r="O570" s="274">
        <f t="shared" si="112"/>
        <v>0</v>
      </c>
      <c r="Q570" s="204">
        <f t="shared" si="101"/>
        <v>0</v>
      </c>
      <c r="R570" s="202">
        <f>IF(Q570="Other dry cargo",L570*Alukset_fx!$B$71,IF(OR(Q570="Dry bulk",Q570="Bulk carrier"),L570*Alukset_fx!$B$69,IF(Q570="Tugboat",L570*Alukset_fx!$B$76,IF(OR(Q570="Tanker",Q570="Gas tanker",Q570="Chemical tanker",Q570="Oil tanker"),L570*Alukset_fx!$B$68,IF(OR(Q570="RoRo",Q570="Vehicle carrier"),L570*Alukset_fx!$B$72,IF(Q570="RoPax",L570*Alukset_fx!$B$73,IF(Q570="Container ship",L570*Alukset_fx!$B$70,IF(Q570="Barge",0,L570*Alukset_fx!$B$75))))))))</f>
        <v>0</v>
      </c>
      <c r="S570" s="210">
        <f>IF(L570=0,IF(Q570="Other dry cargo",Alukset_fx!$H$73*(Alukset_Käynnit_Lask!K570^Alukset_fx!$I$73),IF(OR(Q570="Dry Bulk",Q570="Bulk carrier"),Alukset_fx!$H$71*(Alukset_Käynnit_Lask!K570^Alukset_fx!$I$71),IF(Q570="Tugboat",Alukset_fx!$H$78*(Alukset_Käynnit_Lask!K570^Alukset_fx!$I$78),IF(OR(Q570="Tanker",Q570="Gas tanker",Q570="Chemical tanker",Q570="Oil tanker"),Alukset_fx!$H$70*(Alukset_Käynnit_Lask!K570^Alukset_fx!$I$70),IF(Q570="Container ship",Alukset_fx!$H$72*(Alukset_Käynnit_Lask!K570^Alukset_fx!$I$72),IF(Q570="Barge",0,IF(Q570="RoPax",Alukset_fx!$H$75*(Alukset_Käynnit_Lask!K570^Alukset_fx!$I$75),IF(OR(Q570="RoRo",Q570="Vehicle carrier"),Alukset_fx!$H$74*(Alukset_Käynnit_Lask!K570^Alukset_fx!$I$74),Alukset_fx!$H$77*(Alukset_Käynnit_Lask!K570^Alukset_fx!$I$77))))))))),"-")</f>
        <v>0</v>
      </c>
      <c r="T570" s="208">
        <f>IF(R570=0,IF(Q570="Other dry cargo",S570*Alukset_fx!$B$71,IF(OR(Q570="Dry bulk",Q570="Bulk carrier"),S570*Alukset_fx!$B$69,IF(Q570="Tugboat",S570*Alukset_fx!$B$76,IF(OR(Q570="Tanker",Q570="Gas tanker",Q570="Chemical tanker",Q570="Oil tanker"),S570*Alukset_fx!$B$68,IF(OR(Q570="RoRo",Q570="Vehicle carrier"),S570*Alukset_fx!$B$72,IF(Q570="RoPax",S570*Alukset_fx!$B$73,IF(Q570="Container ship",S570*Alukset_fx!$B$70,S570*Alukset_fx!$B$75))))))),"-")</f>
        <v>0</v>
      </c>
      <c r="U570" s="208">
        <f t="shared" si="102"/>
        <v>0</v>
      </c>
      <c r="V570" s="208">
        <f t="shared" si="103"/>
        <v>0</v>
      </c>
      <c r="W570" s="202">
        <f>Alukset_Käynnit!N577</f>
        <v>0</v>
      </c>
      <c r="X570" s="211">
        <f>IF(Q570="Other dry cargo", Alukset_fx!$C$52, IF(OR(Q570="Dry bulk",Q570="Bulk carrier"),Alukset_fx!$C$35,IF(OR(Q570="Tanker",Q570="Gas tanker",Q570="Oil tanker"),Alukset_fx!$C$57,IF(Q570="Chemical tanker",Alukset_fx!$C$56,IF(OR(Q570="Tugboat",Q570="Barge"),0,IF(Q570="Other vessel",Alukset_fx!$C$54,IF(Q570="Container ship",Alukset_fx!$C$37,IF(OR(Q570="RoPax",Q570="RoRo",Q570="Vehicle carrier"),Alukset_fx!$C$55,0))))))))</f>
        <v>0</v>
      </c>
      <c r="Y570" s="211">
        <f>IF(Q570="Other dry cargo", Alukset_fx!$Q$52, IF(OR(Q570="Dry bulk",Q570="Bulk carrier"),Alukset_fx!$Q$35,IF(OR(Q570="Tanker",Q570="Gas tanker",Q570="Oil tanker"),Alukset_fx!$Q$57,IF(Q570="Chemical tanker",Alukset_fx!$Q$56,IF(OR(Q570="Tugboat",Q570="Barge"),0,IF(Q570="Other vessel",Alukset_fx!$Q$54,IF(Q570="Container ship",Alukset_fx!$Q$37,IF(OR(Q570="RoPax",Q570="RoRo",Q570="Vehicle carrier"),Alukset_fx!$Q$55,0))))))))</f>
        <v>0</v>
      </c>
      <c r="Z570" t="str">
        <f t="shared" si="104"/>
        <v>MDO/MGO</v>
      </c>
      <c r="AA570" t="str">
        <f t="shared" si="105"/>
        <v>MSD</v>
      </c>
      <c r="AB570" t="str">
        <f t="shared" si="106"/>
        <v>MDO/MGO</v>
      </c>
      <c r="AC570" t="str">
        <f t="shared" si="107"/>
        <v>MSD</v>
      </c>
      <c r="AD570" t="str">
        <f t="shared" si="108"/>
        <v>MDO/MGO</v>
      </c>
      <c r="AE570" t="str">
        <f t="shared" si="109"/>
        <v>ST</v>
      </c>
      <c r="AG570">
        <f>Alukset_Käynnit!O577</f>
        <v>0</v>
      </c>
      <c r="AH570" s="207">
        <f>IF(AA570="SSD",((U570*Alukset_fx!$B$24)*Alukset_Käynnit_Lask!W570*(Alukset_fx!$K$49)/1000),IF(AA570="MSD",((U570*Alukset_fx!$B$24)*Alukset_Käynnit_Lask!W570*(Alukset_fx!$K$52)/1000),IF(AA570="HSD",((U570*Alukset_fx!$B$24)*Alukset_Käynnit_Lask!W570*(Alukset_fx!$K$55)/1000),0)))</f>
        <v>0</v>
      </c>
      <c r="AI570" s="207">
        <f>IF(AC570="MSD",((V570*Alukset_fx!$B$25)*Alukset_Käynnit_Lask!W570*(Alukset_fx!$L$52)/1000),IF(AC570="HSD",((V570*Alukset_fx!$B$25)*Alukset_Käynnit_Lask!W570*(Alukset_fx!$L$55)/1000),0))</f>
        <v>0</v>
      </c>
      <c r="AJ570" s="207">
        <f>X570*W570*Alukset_fx!$K$61/1000</f>
        <v>0</v>
      </c>
      <c r="AK570">
        <v>0</v>
      </c>
      <c r="AL570" s="207">
        <f>IF(AG570="Käytetty",0,IF(AC570="MSD",((V570*Alukset_fx!$O$25)*Alukset_Käynnit_Lask!O570*(Alukset_fx!$L$52)/1000),IF(AC570="HSD",((V570*Alukset_fx!$O$25)*Alukset_Käynnit_Lask!O570*(Alukset_fx!$L$55)/1000),0)))</f>
        <v>0</v>
      </c>
      <c r="AM570" s="207">
        <f>IF(AG570="Käytetty",0,Y570*O570*Alukset_fx!$K$61/1000)</f>
        <v>0</v>
      </c>
      <c r="AN570" s="213">
        <f t="shared" si="110"/>
        <v>0</v>
      </c>
    </row>
    <row r="571" spans="1:40" x14ac:dyDescent="0.25">
      <c r="A571" s="203">
        <f>Alukset_Käynnit!A578</f>
        <v>0</v>
      </c>
      <c r="B571" s="203">
        <f>Alukset_Käynnit!B578</f>
        <v>0</v>
      </c>
      <c r="C571" s="262">
        <f>Alukset_Käynnit!C578</f>
        <v>0</v>
      </c>
      <c r="D571" s="266">
        <f>Alukset_Käynnit!D578</f>
        <v>0</v>
      </c>
      <c r="E571" s="262">
        <f>Alukset_Käynnit!E578</f>
        <v>0</v>
      </c>
      <c r="F571" s="262">
        <f>Alukset_Käynnit!F578</f>
        <v>0</v>
      </c>
      <c r="G571" s="262">
        <f>Alukset_Käynnit!G578</f>
        <v>0</v>
      </c>
      <c r="H571" s="262">
        <f>Alukset_Käynnit!H578</f>
        <v>0</v>
      </c>
      <c r="I571" s="262">
        <f>Alukset_Käynnit!I578</f>
        <v>0</v>
      </c>
      <c r="J571" s="262">
        <f>Alukset_Käynnit!J578</f>
        <v>0</v>
      </c>
      <c r="K571" s="262">
        <f>Alukset_Käynnit!K578</f>
        <v>0</v>
      </c>
      <c r="L571" s="205">
        <f>Alukset_Käynnit!L578</f>
        <v>0</v>
      </c>
      <c r="N571" s="273">
        <f t="shared" si="111"/>
        <v>0</v>
      </c>
      <c r="O571" s="274">
        <f t="shared" si="112"/>
        <v>0</v>
      </c>
      <c r="Q571" s="204">
        <f t="shared" si="101"/>
        <v>0</v>
      </c>
      <c r="R571" s="202">
        <f>IF(Q571="Other dry cargo",L571*Alukset_fx!$B$71,IF(OR(Q571="Dry bulk",Q571="Bulk carrier"),L571*Alukset_fx!$B$69,IF(Q571="Tugboat",L571*Alukset_fx!$B$76,IF(OR(Q571="Tanker",Q571="Gas tanker",Q571="Chemical tanker",Q571="Oil tanker"),L571*Alukset_fx!$B$68,IF(OR(Q571="RoRo",Q571="Vehicle carrier"),L571*Alukset_fx!$B$72,IF(Q571="RoPax",L571*Alukset_fx!$B$73,IF(Q571="Container ship",L571*Alukset_fx!$B$70,IF(Q571="Barge",0,L571*Alukset_fx!$B$75))))))))</f>
        <v>0</v>
      </c>
      <c r="S571" s="210">
        <f>IF(L571=0,IF(Q571="Other dry cargo",Alukset_fx!$H$73*(Alukset_Käynnit_Lask!K571^Alukset_fx!$I$73),IF(OR(Q571="Dry Bulk",Q571="Bulk carrier"),Alukset_fx!$H$71*(Alukset_Käynnit_Lask!K571^Alukset_fx!$I$71),IF(Q571="Tugboat",Alukset_fx!$H$78*(Alukset_Käynnit_Lask!K571^Alukset_fx!$I$78),IF(OR(Q571="Tanker",Q571="Gas tanker",Q571="Chemical tanker",Q571="Oil tanker"),Alukset_fx!$H$70*(Alukset_Käynnit_Lask!K571^Alukset_fx!$I$70),IF(Q571="Container ship",Alukset_fx!$H$72*(Alukset_Käynnit_Lask!K571^Alukset_fx!$I$72),IF(Q571="Barge",0,IF(Q571="RoPax",Alukset_fx!$H$75*(Alukset_Käynnit_Lask!K571^Alukset_fx!$I$75),IF(OR(Q571="RoRo",Q571="Vehicle carrier"),Alukset_fx!$H$74*(Alukset_Käynnit_Lask!K571^Alukset_fx!$I$74),Alukset_fx!$H$77*(Alukset_Käynnit_Lask!K571^Alukset_fx!$I$77))))))))),"-")</f>
        <v>0</v>
      </c>
      <c r="T571" s="208">
        <f>IF(R571=0,IF(Q571="Other dry cargo",S571*Alukset_fx!$B$71,IF(OR(Q571="Dry bulk",Q571="Bulk carrier"),S571*Alukset_fx!$B$69,IF(Q571="Tugboat",S571*Alukset_fx!$B$76,IF(OR(Q571="Tanker",Q571="Gas tanker",Q571="Chemical tanker",Q571="Oil tanker"),S571*Alukset_fx!$B$68,IF(OR(Q571="RoRo",Q571="Vehicle carrier"),S571*Alukset_fx!$B$72,IF(Q571="RoPax",S571*Alukset_fx!$B$73,IF(Q571="Container ship",S571*Alukset_fx!$B$70,S571*Alukset_fx!$B$75))))))),"-")</f>
        <v>0</v>
      </c>
      <c r="U571" s="208">
        <f t="shared" si="102"/>
        <v>0</v>
      </c>
      <c r="V571" s="208">
        <f t="shared" si="103"/>
        <v>0</v>
      </c>
      <c r="W571" s="202">
        <f>Alukset_Käynnit!N578</f>
        <v>0</v>
      </c>
      <c r="X571" s="211">
        <f>IF(Q571="Other dry cargo", Alukset_fx!$C$52, IF(OR(Q571="Dry bulk",Q571="Bulk carrier"),Alukset_fx!$C$35,IF(OR(Q571="Tanker",Q571="Gas tanker",Q571="Oil tanker"),Alukset_fx!$C$57,IF(Q571="Chemical tanker",Alukset_fx!$C$56,IF(OR(Q571="Tugboat",Q571="Barge"),0,IF(Q571="Other vessel",Alukset_fx!$C$54,IF(Q571="Container ship",Alukset_fx!$C$37,IF(OR(Q571="RoPax",Q571="RoRo",Q571="Vehicle carrier"),Alukset_fx!$C$55,0))))))))</f>
        <v>0</v>
      </c>
      <c r="Y571" s="211">
        <f>IF(Q571="Other dry cargo", Alukset_fx!$Q$52, IF(OR(Q571="Dry bulk",Q571="Bulk carrier"),Alukset_fx!$Q$35,IF(OR(Q571="Tanker",Q571="Gas tanker",Q571="Oil tanker"),Alukset_fx!$Q$57,IF(Q571="Chemical tanker",Alukset_fx!$Q$56,IF(OR(Q571="Tugboat",Q571="Barge"),0,IF(Q571="Other vessel",Alukset_fx!$Q$54,IF(Q571="Container ship",Alukset_fx!$Q$37,IF(OR(Q571="RoPax",Q571="RoRo",Q571="Vehicle carrier"),Alukset_fx!$Q$55,0))))))))</f>
        <v>0</v>
      </c>
      <c r="Z571" t="str">
        <f t="shared" si="104"/>
        <v>MDO/MGO</v>
      </c>
      <c r="AA571" t="str">
        <f t="shared" si="105"/>
        <v>MSD</v>
      </c>
      <c r="AB571" t="str">
        <f t="shared" si="106"/>
        <v>MDO/MGO</v>
      </c>
      <c r="AC571" t="str">
        <f t="shared" si="107"/>
        <v>MSD</v>
      </c>
      <c r="AD571" t="str">
        <f t="shared" si="108"/>
        <v>MDO/MGO</v>
      </c>
      <c r="AE571" t="str">
        <f t="shared" si="109"/>
        <v>ST</v>
      </c>
      <c r="AG571">
        <f>Alukset_Käynnit!O578</f>
        <v>0</v>
      </c>
      <c r="AH571" s="207">
        <f>IF(AA571="SSD",((U571*Alukset_fx!$B$24)*Alukset_Käynnit_Lask!W571*(Alukset_fx!$K$49)/1000),IF(AA571="MSD",((U571*Alukset_fx!$B$24)*Alukset_Käynnit_Lask!W571*(Alukset_fx!$K$52)/1000),IF(AA571="HSD",((U571*Alukset_fx!$B$24)*Alukset_Käynnit_Lask!W571*(Alukset_fx!$K$55)/1000),0)))</f>
        <v>0</v>
      </c>
      <c r="AI571" s="207">
        <f>IF(AC571="MSD",((V571*Alukset_fx!$B$25)*Alukset_Käynnit_Lask!W571*(Alukset_fx!$L$52)/1000),IF(AC571="HSD",((V571*Alukset_fx!$B$25)*Alukset_Käynnit_Lask!W571*(Alukset_fx!$L$55)/1000),0))</f>
        <v>0</v>
      </c>
      <c r="AJ571" s="207">
        <f>X571*W571*Alukset_fx!$K$61/1000</f>
        <v>0</v>
      </c>
      <c r="AK571">
        <v>0</v>
      </c>
      <c r="AL571" s="207">
        <f>IF(AG571="Käytetty",0,IF(AC571="MSD",((V571*Alukset_fx!$O$25)*Alukset_Käynnit_Lask!O571*(Alukset_fx!$L$52)/1000),IF(AC571="HSD",((V571*Alukset_fx!$O$25)*Alukset_Käynnit_Lask!O571*(Alukset_fx!$L$55)/1000),0)))</f>
        <v>0</v>
      </c>
      <c r="AM571" s="207">
        <f>IF(AG571="Käytetty",0,Y571*O571*Alukset_fx!$K$61/1000)</f>
        <v>0</v>
      </c>
      <c r="AN571" s="213">
        <f t="shared" si="110"/>
        <v>0</v>
      </c>
    </row>
    <row r="572" spans="1:40" x14ac:dyDescent="0.25">
      <c r="A572" s="203">
        <f>Alukset_Käynnit!A579</f>
        <v>0</v>
      </c>
      <c r="B572" s="203">
        <f>Alukset_Käynnit!B579</f>
        <v>0</v>
      </c>
      <c r="C572" s="262">
        <f>Alukset_Käynnit!C579</f>
        <v>0</v>
      </c>
      <c r="D572" s="266">
        <f>Alukset_Käynnit!D579</f>
        <v>0</v>
      </c>
      <c r="E572" s="262">
        <f>Alukset_Käynnit!E579</f>
        <v>0</v>
      </c>
      <c r="F572" s="262">
        <f>Alukset_Käynnit!F579</f>
        <v>0</v>
      </c>
      <c r="G572" s="262">
        <f>Alukset_Käynnit!G579</f>
        <v>0</v>
      </c>
      <c r="H572" s="262">
        <f>Alukset_Käynnit!H579</f>
        <v>0</v>
      </c>
      <c r="I572" s="262">
        <f>Alukset_Käynnit!I579</f>
        <v>0</v>
      </c>
      <c r="J572" s="262">
        <f>Alukset_Käynnit!J579</f>
        <v>0</v>
      </c>
      <c r="K572" s="262">
        <f>Alukset_Käynnit!K579</f>
        <v>0</v>
      </c>
      <c r="L572" s="205">
        <f>Alukset_Käynnit!L579</f>
        <v>0</v>
      </c>
      <c r="N572" s="273">
        <f t="shared" si="111"/>
        <v>0</v>
      </c>
      <c r="O572" s="274">
        <f t="shared" si="112"/>
        <v>0</v>
      </c>
      <c r="Q572" s="204">
        <f t="shared" si="101"/>
        <v>0</v>
      </c>
      <c r="R572" s="202">
        <f>IF(Q572="Other dry cargo",L572*Alukset_fx!$B$71,IF(OR(Q572="Dry bulk",Q572="Bulk carrier"),L572*Alukset_fx!$B$69,IF(Q572="Tugboat",L572*Alukset_fx!$B$76,IF(OR(Q572="Tanker",Q572="Gas tanker",Q572="Chemical tanker",Q572="Oil tanker"),L572*Alukset_fx!$B$68,IF(OR(Q572="RoRo",Q572="Vehicle carrier"),L572*Alukset_fx!$B$72,IF(Q572="RoPax",L572*Alukset_fx!$B$73,IF(Q572="Container ship",L572*Alukset_fx!$B$70,IF(Q572="Barge",0,L572*Alukset_fx!$B$75))))))))</f>
        <v>0</v>
      </c>
      <c r="S572" s="210">
        <f>IF(L572=0,IF(Q572="Other dry cargo",Alukset_fx!$H$73*(Alukset_Käynnit_Lask!K572^Alukset_fx!$I$73),IF(OR(Q572="Dry Bulk",Q572="Bulk carrier"),Alukset_fx!$H$71*(Alukset_Käynnit_Lask!K572^Alukset_fx!$I$71),IF(Q572="Tugboat",Alukset_fx!$H$78*(Alukset_Käynnit_Lask!K572^Alukset_fx!$I$78),IF(OR(Q572="Tanker",Q572="Gas tanker",Q572="Chemical tanker",Q572="Oil tanker"),Alukset_fx!$H$70*(Alukset_Käynnit_Lask!K572^Alukset_fx!$I$70),IF(Q572="Container ship",Alukset_fx!$H$72*(Alukset_Käynnit_Lask!K572^Alukset_fx!$I$72),IF(Q572="Barge",0,IF(Q572="RoPax",Alukset_fx!$H$75*(Alukset_Käynnit_Lask!K572^Alukset_fx!$I$75),IF(OR(Q572="RoRo",Q572="Vehicle carrier"),Alukset_fx!$H$74*(Alukset_Käynnit_Lask!K572^Alukset_fx!$I$74),Alukset_fx!$H$77*(Alukset_Käynnit_Lask!K572^Alukset_fx!$I$77))))))))),"-")</f>
        <v>0</v>
      </c>
      <c r="T572" s="208">
        <f>IF(R572=0,IF(Q572="Other dry cargo",S572*Alukset_fx!$B$71,IF(OR(Q572="Dry bulk",Q572="Bulk carrier"),S572*Alukset_fx!$B$69,IF(Q572="Tugboat",S572*Alukset_fx!$B$76,IF(OR(Q572="Tanker",Q572="Gas tanker",Q572="Chemical tanker",Q572="Oil tanker"),S572*Alukset_fx!$B$68,IF(OR(Q572="RoRo",Q572="Vehicle carrier"),S572*Alukset_fx!$B$72,IF(Q572="RoPax",S572*Alukset_fx!$B$73,IF(Q572="Container ship",S572*Alukset_fx!$B$70,S572*Alukset_fx!$B$75))))))),"-")</f>
        <v>0</v>
      </c>
      <c r="U572" s="208">
        <f t="shared" si="102"/>
        <v>0</v>
      </c>
      <c r="V572" s="208">
        <f t="shared" si="103"/>
        <v>0</v>
      </c>
      <c r="W572" s="202">
        <f>Alukset_Käynnit!N579</f>
        <v>0</v>
      </c>
      <c r="X572" s="211">
        <f>IF(Q572="Other dry cargo", Alukset_fx!$C$52, IF(OR(Q572="Dry bulk",Q572="Bulk carrier"),Alukset_fx!$C$35,IF(OR(Q572="Tanker",Q572="Gas tanker",Q572="Oil tanker"),Alukset_fx!$C$57,IF(Q572="Chemical tanker",Alukset_fx!$C$56,IF(OR(Q572="Tugboat",Q572="Barge"),0,IF(Q572="Other vessel",Alukset_fx!$C$54,IF(Q572="Container ship",Alukset_fx!$C$37,IF(OR(Q572="RoPax",Q572="RoRo",Q572="Vehicle carrier"),Alukset_fx!$C$55,0))))))))</f>
        <v>0</v>
      </c>
      <c r="Y572" s="211">
        <f>IF(Q572="Other dry cargo", Alukset_fx!$Q$52, IF(OR(Q572="Dry bulk",Q572="Bulk carrier"),Alukset_fx!$Q$35,IF(OR(Q572="Tanker",Q572="Gas tanker",Q572="Oil tanker"),Alukset_fx!$Q$57,IF(Q572="Chemical tanker",Alukset_fx!$Q$56,IF(OR(Q572="Tugboat",Q572="Barge"),0,IF(Q572="Other vessel",Alukset_fx!$Q$54,IF(Q572="Container ship",Alukset_fx!$Q$37,IF(OR(Q572="RoPax",Q572="RoRo",Q572="Vehicle carrier"),Alukset_fx!$Q$55,0))))))))</f>
        <v>0</v>
      </c>
      <c r="Z572" t="str">
        <f t="shared" si="104"/>
        <v>MDO/MGO</v>
      </c>
      <c r="AA572" t="str">
        <f t="shared" si="105"/>
        <v>MSD</v>
      </c>
      <c r="AB572" t="str">
        <f t="shared" si="106"/>
        <v>MDO/MGO</v>
      </c>
      <c r="AC572" t="str">
        <f t="shared" si="107"/>
        <v>MSD</v>
      </c>
      <c r="AD572" t="str">
        <f t="shared" si="108"/>
        <v>MDO/MGO</v>
      </c>
      <c r="AE572" t="str">
        <f t="shared" si="109"/>
        <v>ST</v>
      </c>
      <c r="AG572">
        <f>Alukset_Käynnit!O579</f>
        <v>0</v>
      </c>
      <c r="AH572" s="207">
        <f>IF(AA572="SSD",((U572*Alukset_fx!$B$24)*Alukset_Käynnit_Lask!W572*(Alukset_fx!$K$49)/1000),IF(AA572="MSD",((U572*Alukset_fx!$B$24)*Alukset_Käynnit_Lask!W572*(Alukset_fx!$K$52)/1000),IF(AA572="HSD",((U572*Alukset_fx!$B$24)*Alukset_Käynnit_Lask!W572*(Alukset_fx!$K$55)/1000),0)))</f>
        <v>0</v>
      </c>
      <c r="AI572" s="207">
        <f>IF(AC572="MSD",((V572*Alukset_fx!$B$25)*Alukset_Käynnit_Lask!W572*(Alukset_fx!$L$52)/1000),IF(AC572="HSD",((V572*Alukset_fx!$B$25)*Alukset_Käynnit_Lask!W572*(Alukset_fx!$L$55)/1000),0))</f>
        <v>0</v>
      </c>
      <c r="AJ572" s="207">
        <f>X572*W572*Alukset_fx!$K$61/1000</f>
        <v>0</v>
      </c>
      <c r="AK572">
        <v>0</v>
      </c>
      <c r="AL572" s="207">
        <f>IF(AG572="Käytetty",0,IF(AC572="MSD",((V572*Alukset_fx!$O$25)*Alukset_Käynnit_Lask!O572*(Alukset_fx!$L$52)/1000),IF(AC572="HSD",((V572*Alukset_fx!$O$25)*Alukset_Käynnit_Lask!O572*(Alukset_fx!$L$55)/1000),0)))</f>
        <v>0</v>
      </c>
      <c r="AM572" s="207">
        <f>IF(AG572="Käytetty",0,Y572*O572*Alukset_fx!$K$61/1000)</f>
        <v>0</v>
      </c>
      <c r="AN572" s="213">
        <f t="shared" si="110"/>
        <v>0</v>
      </c>
    </row>
    <row r="573" spans="1:40" x14ac:dyDescent="0.25">
      <c r="A573" s="203">
        <f>Alukset_Käynnit!A580</f>
        <v>0</v>
      </c>
      <c r="B573" s="203">
        <f>Alukset_Käynnit!B580</f>
        <v>0</v>
      </c>
      <c r="C573" s="262">
        <f>Alukset_Käynnit!C580</f>
        <v>0</v>
      </c>
      <c r="D573" s="266">
        <f>Alukset_Käynnit!D580</f>
        <v>0</v>
      </c>
      <c r="E573" s="262">
        <f>Alukset_Käynnit!E580</f>
        <v>0</v>
      </c>
      <c r="F573" s="262">
        <f>Alukset_Käynnit!F580</f>
        <v>0</v>
      </c>
      <c r="G573" s="262">
        <f>Alukset_Käynnit!G580</f>
        <v>0</v>
      </c>
      <c r="H573" s="262">
        <f>Alukset_Käynnit!H580</f>
        <v>0</v>
      </c>
      <c r="I573" s="262">
        <f>Alukset_Käynnit!I580</f>
        <v>0</v>
      </c>
      <c r="J573" s="262">
        <f>Alukset_Käynnit!J580</f>
        <v>0</v>
      </c>
      <c r="K573" s="262">
        <f>Alukset_Käynnit!K580</f>
        <v>0</v>
      </c>
      <c r="L573" s="205">
        <f>Alukset_Käynnit!L580</f>
        <v>0</v>
      </c>
      <c r="N573" s="273">
        <f t="shared" si="111"/>
        <v>0</v>
      </c>
      <c r="O573" s="274">
        <f t="shared" si="112"/>
        <v>0</v>
      </c>
      <c r="Q573" s="204">
        <f t="shared" si="101"/>
        <v>0</v>
      </c>
      <c r="R573" s="202">
        <f>IF(Q573="Other dry cargo",L573*Alukset_fx!$B$71,IF(OR(Q573="Dry bulk",Q573="Bulk carrier"),L573*Alukset_fx!$B$69,IF(Q573="Tugboat",L573*Alukset_fx!$B$76,IF(OR(Q573="Tanker",Q573="Gas tanker",Q573="Chemical tanker",Q573="Oil tanker"),L573*Alukset_fx!$B$68,IF(OR(Q573="RoRo",Q573="Vehicle carrier"),L573*Alukset_fx!$B$72,IF(Q573="RoPax",L573*Alukset_fx!$B$73,IF(Q573="Container ship",L573*Alukset_fx!$B$70,IF(Q573="Barge",0,L573*Alukset_fx!$B$75))))))))</f>
        <v>0</v>
      </c>
      <c r="S573" s="210">
        <f>IF(L573=0,IF(Q573="Other dry cargo",Alukset_fx!$H$73*(Alukset_Käynnit_Lask!K573^Alukset_fx!$I$73),IF(OR(Q573="Dry Bulk",Q573="Bulk carrier"),Alukset_fx!$H$71*(Alukset_Käynnit_Lask!K573^Alukset_fx!$I$71),IF(Q573="Tugboat",Alukset_fx!$H$78*(Alukset_Käynnit_Lask!K573^Alukset_fx!$I$78),IF(OR(Q573="Tanker",Q573="Gas tanker",Q573="Chemical tanker",Q573="Oil tanker"),Alukset_fx!$H$70*(Alukset_Käynnit_Lask!K573^Alukset_fx!$I$70),IF(Q573="Container ship",Alukset_fx!$H$72*(Alukset_Käynnit_Lask!K573^Alukset_fx!$I$72),IF(Q573="Barge",0,IF(Q573="RoPax",Alukset_fx!$H$75*(Alukset_Käynnit_Lask!K573^Alukset_fx!$I$75),IF(OR(Q573="RoRo",Q573="Vehicle carrier"),Alukset_fx!$H$74*(Alukset_Käynnit_Lask!K573^Alukset_fx!$I$74),Alukset_fx!$H$77*(Alukset_Käynnit_Lask!K573^Alukset_fx!$I$77))))))))),"-")</f>
        <v>0</v>
      </c>
      <c r="T573" s="208">
        <f>IF(R573=0,IF(Q573="Other dry cargo",S573*Alukset_fx!$B$71,IF(OR(Q573="Dry bulk",Q573="Bulk carrier"),S573*Alukset_fx!$B$69,IF(Q573="Tugboat",S573*Alukset_fx!$B$76,IF(OR(Q573="Tanker",Q573="Gas tanker",Q573="Chemical tanker",Q573="Oil tanker"),S573*Alukset_fx!$B$68,IF(OR(Q573="RoRo",Q573="Vehicle carrier"),S573*Alukset_fx!$B$72,IF(Q573="RoPax",S573*Alukset_fx!$B$73,IF(Q573="Container ship",S573*Alukset_fx!$B$70,S573*Alukset_fx!$B$75))))))),"-")</f>
        <v>0</v>
      </c>
      <c r="U573" s="208">
        <f t="shared" si="102"/>
        <v>0</v>
      </c>
      <c r="V573" s="208">
        <f t="shared" si="103"/>
        <v>0</v>
      </c>
      <c r="W573" s="202">
        <f>Alukset_Käynnit!N580</f>
        <v>0</v>
      </c>
      <c r="X573" s="211">
        <f>IF(Q573="Other dry cargo", Alukset_fx!$C$52, IF(OR(Q573="Dry bulk",Q573="Bulk carrier"),Alukset_fx!$C$35,IF(OR(Q573="Tanker",Q573="Gas tanker",Q573="Oil tanker"),Alukset_fx!$C$57,IF(Q573="Chemical tanker",Alukset_fx!$C$56,IF(OR(Q573="Tugboat",Q573="Barge"),0,IF(Q573="Other vessel",Alukset_fx!$C$54,IF(Q573="Container ship",Alukset_fx!$C$37,IF(OR(Q573="RoPax",Q573="RoRo",Q573="Vehicle carrier"),Alukset_fx!$C$55,0))))))))</f>
        <v>0</v>
      </c>
      <c r="Y573" s="211">
        <f>IF(Q573="Other dry cargo", Alukset_fx!$Q$52, IF(OR(Q573="Dry bulk",Q573="Bulk carrier"),Alukset_fx!$Q$35,IF(OR(Q573="Tanker",Q573="Gas tanker",Q573="Oil tanker"),Alukset_fx!$Q$57,IF(Q573="Chemical tanker",Alukset_fx!$Q$56,IF(OR(Q573="Tugboat",Q573="Barge"),0,IF(Q573="Other vessel",Alukset_fx!$Q$54,IF(Q573="Container ship",Alukset_fx!$Q$37,IF(OR(Q573="RoPax",Q573="RoRo",Q573="Vehicle carrier"),Alukset_fx!$Q$55,0))))))))</f>
        <v>0</v>
      </c>
      <c r="Z573" t="str">
        <f t="shared" si="104"/>
        <v>MDO/MGO</v>
      </c>
      <c r="AA573" t="str">
        <f t="shared" si="105"/>
        <v>MSD</v>
      </c>
      <c r="AB573" t="str">
        <f t="shared" si="106"/>
        <v>MDO/MGO</v>
      </c>
      <c r="AC573" t="str">
        <f t="shared" si="107"/>
        <v>MSD</v>
      </c>
      <c r="AD573" t="str">
        <f t="shared" si="108"/>
        <v>MDO/MGO</v>
      </c>
      <c r="AE573" t="str">
        <f t="shared" si="109"/>
        <v>ST</v>
      </c>
      <c r="AG573">
        <f>Alukset_Käynnit!O580</f>
        <v>0</v>
      </c>
      <c r="AH573" s="207">
        <f>IF(AA573="SSD",((U573*Alukset_fx!$B$24)*Alukset_Käynnit_Lask!W573*(Alukset_fx!$K$49)/1000),IF(AA573="MSD",((U573*Alukset_fx!$B$24)*Alukset_Käynnit_Lask!W573*(Alukset_fx!$K$52)/1000),IF(AA573="HSD",((U573*Alukset_fx!$B$24)*Alukset_Käynnit_Lask!W573*(Alukset_fx!$K$55)/1000),0)))</f>
        <v>0</v>
      </c>
      <c r="AI573" s="207">
        <f>IF(AC573="MSD",((V573*Alukset_fx!$B$25)*Alukset_Käynnit_Lask!W573*(Alukset_fx!$L$52)/1000),IF(AC573="HSD",((V573*Alukset_fx!$B$25)*Alukset_Käynnit_Lask!W573*(Alukset_fx!$L$55)/1000),0))</f>
        <v>0</v>
      </c>
      <c r="AJ573" s="207">
        <f>X573*W573*Alukset_fx!$K$61/1000</f>
        <v>0</v>
      </c>
      <c r="AK573">
        <v>0</v>
      </c>
      <c r="AL573" s="207">
        <f>IF(AG573="Käytetty",0,IF(AC573="MSD",((V573*Alukset_fx!$O$25)*Alukset_Käynnit_Lask!O573*(Alukset_fx!$L$52)/1000),IF(AC573="HSD",((V573*Alukset_fx!$O$25)*Alukset_Käynnit_Lask!O573*(Alukset_fx!$L$55)/1000),0)))</f>
        <v>0</v>
      </c>
      <c r="AM573" s="207">
        <f>IF(AG573="Käytetty",0,Y573*O573*Alukset_fx!$K$61/1000)</f>
        <v>0</v>
      </c>
      <c r="AN573" s="213">
        <f t="shared" si="110"/>
        <v>0</v>
      </c>
    </row>
    <row r="574" spans="1:40" x14ac:dyDescent="0.25">
      <c r="A574" s="203">
        <f>Alukset_Käynnit!A581</f>
        <v>0</v>
      </c>
      <c r="B574" s="203">
        <f>Alukset_Käynnit!B581</f>
        <v>0</v>
      </c>
      <c r="C574" s="262">
        <f>Alukset_Käynnit!C581</f>
        <v>0</v>
      </c>
      <c r="D574" s="266">
        <f>Alukset_Käynnit!D581</f>
        <v>0</v>
      </c>
      <c r="E574" s="262">
        <f>Alukset_Käynnit!E581</f>
        <v>0</v>
      </c>
      <c r="F574" s="262">
        <f>Alukset_Käynnit!F581</f>
        <v>0</v>
      </c>
      <c r="G574" s="262">
        <f>Alukset_Käynnit!G581</f>
        <v>0</v>
      </c>
      <c r="H574" s="262">
        <f>Alukset_Käynnit!H581</f>
        <v>0</v>
      </c>
      <c r="I574" s="262">
        <f>Alukset_Käynnit!I581</f>
        <v>0</v>
      </c>
      <c r="J574" s="262">
        <f>Alukset_Käynnit!J581</f>
        <v>0</v>
      </c>
      <c r="K574" s="262">
        <f>Alukset_Käynnit!K581</f>
        <v>0</v>
      </c>
      <c r="L574" s="205">
        <f>Alukset_Käynnit!L581</f>
        <v>0</v>
      </c>
      <c r="N574" s="273">
        <f t="shared" si="111"/>
        <v>0</v>
      </c>
      <c r="O574" s="274">
        <f t="shared" si="112"/>
        <v>0</v>
      </c>
      <c r="Q574" s="204">
        <f t="shared" si="101"/>
        <v>0</v>
      </c>
      <c r="R574" s="202">
        <f>IF(Q574="Other dry cargo",L574*Alukset_fx!$B$71,IF(OR(Q574="Dry bulk",Q574="Bulk carrier"),L574*Alukset_fx!$B$69,IF(Q574="Tugboat",L574*Alukset_fx!$B$76,IF(OR(Q574="Tanker",Q574="Gas tanker",Q574="Chemical tanker",Q574="Oil tanker"),L574*Alukset_fx!$B$68,IF(OR(Q574="RoRo",Q574="Vehicle carrier"),L574*Alukset_fx!$B$72,IF(Q574="RoPax",L574*Alukset_fx!$B$73,IF(Q574="Container ship",L574*Alukset_fx!$B$70,IF(Q574="Barge",0,L574*Alukset_fx!$B$75))))))))</f>
        <v>0</v>
      </c>
      <c r="S574" s="210">
        <f>IF(L574=0,IF(Q574="Other dry cargo",Alukset_fx!$H$73*(Alukset_Käynnit_Lask!K574^Alukset_fx!$I$73),IF(OR(Q574="Dry Bulk",Q574="Bulk carrier"),Alukset_fx!$H$71*(Alukset_Käynnit_Lask!K574^Alukset_fx!$I$71),IF(Q574="Tugboat",Alukset_fx!$H$78*(Alukset_Käynnit_Lask!K574^Alukset_fx!$I$78),IF(OR(Q574="Tanker",Q574="Gas tanker",Q574="Chemical tanker",Q574="Oil tanker"),Alukset_fx!$H$70*(Alukset_Käynnit_Lask!K574^Alukset_fx!$I$70),IF(Q574="Container ship",Alukset_fx!$H$72*(Alukset_Käynnit_Lask!K574^Alukset_fx!$I$72),IF(Q574="Barge",0,IF(Q574="RoPax",Alukset_fx!$H$75*(Alukset_Käynnit_Lask!K574^Alukset_fx!$I$75),IF(OR(Q574="RoRo",Q574="Vehicle carrier"),Alukset_fx!$H$74*(Alukset_Käynnit_Lask!K574^Alukset_fx!$I$74),Alukset_fx!$H$77*(Alukset_Käynnit_Lask!K574^Alukset_fx!$I$77))))))))),"-")</f>
        <v>0</v>
      </c>
      <c r="T574" s="208">
        <f>IF(R574=0,IF(Q574="Other dry cargo",S574*Alukset_fx!$B$71,IF(OR(Q574="Dry bulk",Q574="Bulk carrier"),S574*Alukset_fx!$B$69,IF(Q574="Tugboat",S574*Alukset_fx!$B$76,IF(OR(Q574="Tanker",Q574="Gas tanker",Q574="Chemical tanker",Q574="Oil tanker"),S574*Alukset_fx!$B$68,IF(OR(Q574="RoRo",Q574="Vehicle carrier"),S574*Alukset_fx!$B$72,IF(Q574="RoPax",S574*Alukset_fx!$B$73,IF(Q574="Container ship",S574*Alukset_fx!$B$70,S574*Alukset_fx!$B$75))))))),"-")</f>
        <v>0</v>
      </c>
      <c r="U574" s="208">
        <f t="shared" si="102"/>
        <v>0</v>
      </c>
      <c r="V574" s="208">
        <f t="shared" si="103"/>
        <v>0</v>
      </c>
      <c r="W574" s="202">
        <f>Alukset_Käynnit!N581</f>
        <v>0</v>
      </c>
      <c r="X574" s="211">
        <f>IF(Q574="Other dry cargo", Alukset_fx!$C$52, IF(OR(Q574="Dry bulk",Q574="Bulk carrier"),Alukset_fx!$C$35,IF(OR(Q574="Tanker",Q574="Gas tanker",Q574="Oil tanker"),Alukset_fx!$C$57,IF(Q574="Chemical tanker",Alukset_fx!$C$56,IF(OR(Q574="Tugboat",Q574="Barge"),0,IF(Q574="Other vessel",Alukset_fx!$C$54,IF(Q574="Container ship",Alukset_fx!$C$37,IF(OR(Q574="RoPax",Q574="RoRo",Q574="Vehicle carrier"),Alukset_fx!$C$55,0))))))))</f>
        <v>0</v>
      </c>
      <c r="Y574" s="211">
        <f>IF(Q574="Other dry cargo", Alukset_fx!$Q$52, IF(OR(Q574="Dry bulk",Q574="Bulk carrier"),Alukset_fx!$Q$35,IF(OR(Q574="Tanker",Q574="Gas tanker",Q574="Oil tanker"),Alukset_fx!$Q$57,IF(Q574="Chemical tanker",Alukset_fx!$Q$56,IF(OR(Q574="Tugboat",Q574="Barge"),0,IF(Q574="Other vessel",Alukset_fx!$Q$54,IF(Q574="Container ship",Alukset_fx!$Q$37,IF(OR(Q574="RoPax",Q574="RoRo",Q574="Vehicle carrier"),Alukset_fx!$Q$55,0))))))))</f>
        <v>0</v>
      </c>
      <c r="Z574" t="str">
        <f t="shared" si="104"/>
        <v>MDO/MGO</v>
      </c>
      <c r="AA574" t="str">
        <f t="shared" si="105"/>
        <v>MSD</v>
      </c>
      <c r="AB574" t="str">
        <f t="shared" si="106"/>
        <v>MDO/MGO</v>
      </c>
      <c r="AC574" t="str">
        <f t="shared" si="107"/>
        <v>MSD</v>
      </c>
      <c r="AD574" t="str">
        <f t="shared" si="108"/>
        <v>MDO/MGO</v>
      </c>
      <c r="AE574" t="str">
        <f t="shared" si="109"/>
        <v>ST</v>
      </c>
      <c r="AG574">
        <f>Alukset_Käynnit!O581</f>
        <v>0</v>
      </c>
      <c r="AH574" s="207">
        <f>IF(AA574="SSD",((U574*Alukset_fx!$B$24)*Alukset_Käynnit_Lask!W574*(Alukset_fx!$K$49)/1000),IF(AA574="MSD",((U574*Alukset_fx!$B$24)*Alukset_Käynnit_Lask!W574*(Alukset_fx!$K$52)/1000),IF(AA574="HSD",((U574*Alukset_fx!$B$24)*Alukset_Käynnit_Lask!W574*(Alukset_fx!$K$55)/1000),0)))</f>
        <v>0</v>
      </c>
      <c r="AI574" s="207">
        <f>IF(AC574="MSD",((V574*Alukset_fx!$B$25)*Alukset_Käynnit_Lask!W574*(Alukset_fx!$L$52)/1000),IF(AC574="HSD",((V574*Alukset_fx!$B$25)*Alukset_Käynnit_Lask!W574*(Alukset_fx!$L$55)/1000),0))</f>
        <v>0</v>
      </c>
      <c r="AJ574" s="207">
        <f>X574*W574*Alukset_fx!$K$61/1000</f>
        <v>0</v>
      </c>
      <c r="AK574">
        <v>0</v>
      </c>
      <c r="AL574" s="207">
        <f>IF(AG574="Käytetty",0,IF(AC574="MSD",((V574*Alukset_fx!$O$25)*Alukset_Käynnit_Lask!O574*(Alukset_fx!$L$52)/1000),IF(AC574="HSD",((V574*Alukset_fx!$O$25)*Alukset_Käynnit_Lask!O574*(Alukset_fx!$L$55)/1000),0)))</f>
        <v>0</v>
      </c>
      <c r="AM574" s="207">
        <f>IF(AG574="Käytetty",0,Y574*O574*Alukset_fx!$K$61/1000)</f>
        <v>0</v>
      </c>
      <c r="AN574" s="213">
        <f t="shared" si="110"/>
        <v>0</v>
      </c>
    </row>
    <row r="575" spans="1:40" x14ac:dyDescent="0.25">
      <c r="A575" s="203">
        <f>Alukset_Käynnit!A582</f>
        <v>0</v>
      </c>
      <c r="B575" s="203">
        <f>Alukset_Käynnit!B582</f>
        <v>0</v>
      </c>
      <c r="C575" s="262">
        <f>Alukset_Käynnit!C582</f>
        <v>0</v>
      </c>
      <c r="D575" s="266">
        <f>Alukset_Käynnit!D582</f>
        <v>0</v>
      </c>
      <c r="E575" s="262">
        <f>Alukset_Käynnit!E582</f>
        <v>0</v>
      </c>
      <c r="F575" s="262">
        <f>Alukset_Käynnit!F582</f>
        <v>0</v>
      </c>
      <c r="G575" s="262">
        <f>Alukset_Käynnit!G582</f>
        <v>0</v>
      </c>
      <c r="H575" s="262">
        <f>Alukset_Käynnit!H582</f>
        <v>0</v>
      </c>
      <c r="I575" s="262">
        <f>Alukset_Käynnit!I582</f>
        <v>0</v>
      </c>
      <c r="J575" s="262">
        <f>Alukset_Käynnit!J582</f>
        <v>0</v>
      </c>
      <c r="K575" s="262">
        <f>Alukset_Käynnit!K582</f>
        <v>0</v>
      </c>
      <c r="L575" s="205">
        <f>Alukset_Käynnit!L582</f>
        <v>0</v>
      </c>
      <c r="N575" s="273">
        <f t="shared" si="111"/>
        <v>0</v>
      </c>
      <c r="O575" s="274">
        <f t="shared" si="112"/>
        <v>0</v>
      </c>
      <c r="Q575" s="204">
        <f t="shared" si="101"/>
        <v>0</v>
      </c>
      <c r="R575" s="202">
        <f>IF(Q575="Other dry cargo",L575*Alukset_fx!$B$71,IF(OR(Q575="Dry bulk",Q575="Bulk carrier"),L575*Alukset_fx!$B$69,IF(Q575="Tugboat",L575*Alukset_fx!$B$76,IF(OR(Q575="Tanker",Q575="Gas tanker",Q575="Chemical tanker",Q575="Oil tanker"),L575*Alukset_fx!$B$68,IF(OR(Q575="RoRo",Q575="Vehicle carrier"),L575*Alukset_fx!$B$72,IF(Q575="RoPax",L575*Alukset_fx!$B$73,IF(Q575="Container ship",L575*Alukset_fx!$B$70,IF(Q575="Barge",0,L575*Alukset_fx!$B$75))))))))</f>
        <v>0</v>
      </c>
      <c r="S575" s="210">
        <f>IF(L575=0,IF(Q575="Other dry cargo",Alukset_fx!$H$73*(Alukset_Käynnit_Lask!K575^Alukset_fx!$I$73),IF(OR(Q575="Dry Bulk",Q575="Bulk carrier"),Alukset_fx!$H$71*(Alukset_Käynnit_Lask!K575^Alukset_fx!$I$71),IF(Q575="Tugboat",Alukset_fx!$H$78*(Alukset_Käynnit_Lask!K575^Alukset_fx!$I$78),IF(OR(Q575="Tanker",Q575="Gas tanker",Q575="Chemical tanker",Q575="Oil tanker"),Alukset_fx!$H$70*(Alukset_Käynnit_Lask!K575^Alukset_fx!$I$70),IF(Q575="Container ship",Alukset_fx!$H$72*(Alukset_Käynnit_Lask!K575^Alukset_fx!$I$72),IF(Q575="Barge",0,IF(Q575="RoPax",Alukset_fx!$H$75*(Alukset_Käynnit_Lask!K575^Alukset_fx!$I$75),IF(OR(Q575="RoRo",Q575="Vehicle carrier"),Alukset_fx!$H$74*(Alukset_Käynnit_Lask!K575^Alukset_fx!$I$74),Alukset_fx!$H$77*(Alukset_Käynnit_Lask!K575^Alukset_fx!$I$77))))))))),"-")</f>
        <v>0</v>
      </c>
      <c r="T575" s="208">
        <f>IF(R575=0,IF(Q575="Other dry cargo",S575*Alukset_fx!$B$71,IF(OR(Q575="Dry bulk",Q575="Bulk carrier"),S575*Alukset_fx!$B$69,IF(Q575="Tugboat",S575*Alukset_fx!$B$76,IF(OR(Q575="Tanker",Q575="Gas tanker",Q575="Chemical tanker",Q575="Oil tanker"),S575*Alukset_fx!$B$68,IF(OR(Q575="RoRo",Q575="Vehicle carrier"),S575*Alukset_fx!$B$72,IF(Q575="RoPax",S575*Alukset_fx!$B$73,IF(Q575="Container ship",S575*Alukset_fx!$B$70,S575*Alukset_fx!$B$75))))))),"-")</f>
        <v>0</v>
      </c>
      <c r="U575" s="208">
        <f t="shared" si="102"/>
        <v>0</v>
      </c>
      <c r="V575" s="208">
        <f t="shared" si="103"/>
        <v>0</v>
      </c>
      <c r="W575" s="202">
        <f>Alukset_Käynnit!N582</f>
        <v>0</v>
      </c>
      <c r="X575" s="211">
        <f>IF(Q575="Other dry cargo", Alukset_fx!$C$52, IF(OR(Q575="Dry bulk",Q575="Bulk carrier"),Alukset_fx!$C$35,IF(OR(Q575="Tanker",Q575="Gas tanker",Q575="Oil tanker"),Alukset_fx!$C$57,IF(Q575="Chemical tanker",Alukset_fx!$C$56,IF(OR(Q575="Tugboat",Q575="Barge"),0,IF(Q575="Other vessel",Alukset_fx!$C$54,IF(Q575="Container ship",Alukset_fx!$C$37,IF(OR(Q575="RoPax",Q575="RoRo",Q575="Vehicle carrier"),Alukset_fx!$C$55,0))))))))</f>
        <v>0</v>
      </c>
      <c r="Y575" s="211">
        <f>IF(Q575="Other dry cargo", Alukset_fx!$Q$52, IF(OR(Q575="Dry bulk",Q575="Bulk carrier"),Alukset_fx!$Q$35,IF(OR(Q575="Tanker",Q575="Gas tanker",Q575="Oil tanker"),Alukset_fx!$Q$57,IF(Q575="Chemical tanker",Alukset_fx!$Q$56,IF(OR(Q575="Tugboat",Q575="Barge"),0,IF(Q575="Other vessel",Alukset_fx!$Q$54,IF(Q575="Container ship",Alukset_fx!$Q$37,IF(OR(Q575="RoPax",Q575="RoRo",Q575="Vehicle carrier"),Alukset_fx!$Q$55,0))))))))</f>
        <v>0</v>
      </c>
      <c r="Z575" t="str">
        <f t="shared" si="104"/>
        <v>MDO/MGO</v>
      </c>
      <c r="AA575" t="str">
        <f t="shared" si="105"/>
        <v>MSD</v>
      </c>
      <c r="AB575" t="str">
        <f t="shared" si="106"/>
        <v>MDO/MGO</v>
      </c>
      <c r="AC575" t="str">
        <f t="shared" si="107"/>
        <v>MSD</v>
      </c>
      <c r="AD575" t="str">
        <f t="shared" si="108"/>
        <v>MDO/MGO</v>
      </c>
      <c r="AE575" t="str">
        <f t="shared" si="109"/>
        <v>ST</v>
      </c>
      <c r="AG575">
        <f>Alukset_Käynnit!O582</f>
        <v>0</v>
      </c>
      <c r="AH575" s="207">
        <f>IF(AA575="SSD",((U575*Alukset_fx!$B$24)*Alukset_Käynnit_Lask!W575*(Alukset_fx!$K$49)/1000),IF(AA575="MSD",((U575*Alukset_fx!$B$24)*Alukset_Käynnit_Lask!W575*(Alukset_fx!$K$52)/1000),IF(AA575="HSD",((U575*Alukset_fx!$B$24)*Alukset_Käynnit_Lask!W575*(Alukset_fx!$K$55)/1000),0)))</f>
        <v>0</v>
      </c>
      <c r="AI575" s="207">
        <f>IF(AC575="MSD",((V575*Alukset_fx!$B$25)*Alukset_Käynnit_Lask!W575*(Alukset_fx!$L$52)/1000),IF(AC575="HSD",((V575*Alukset_fx!$B$25)*Alukset_Käynnit_Lask!W575*(Alukset_fx!$L$55)/1000),0))</f>
        <v>0</v>
      </c>
      <c r="AJ575" s="207">
        <f>X575*W575*Alukset_fx!$K$61/1000</f>
        <v>0</v>
      </c>
      <c r="AK575">
        <v>0</v>
      </c>
      <c r="AL575" s="207">
        <f>IF(AG575="Käytetty",0,IF(AC575="MSD",((V575*Alukset_fx!$O$25)*Alukset_Käynnit_Lask!O575*(Alukset_fx!$L$52)/1000),IF(AC575="HSD",((V575*Alukset_fx!$O$25)*Alukset_Käynnit_Lask!O575*(Alukset_fx!$L$55)/1000),0)))</f>
        <v>0</v>
      </c>
      <c r="AM575" s="207">
        <f>IF(AG575="Käytetty",0,Y575*O575*Alukset_fx!$K$61/1000)</f>
        <v>0</v>
      </c>
      <c r="AN575" s="213">
        <f t="shared" si="110"/>
        <v>0</v>
      </c>
    </row>
    <row r="576" spans="1:40" x14ac:dyDescent="0.25">
      <c r="A576" s="203">
        <f>Alukset_Käynnit!A583</f>
        <v>0</v>
      </c>
      <c r="B576" s="203">
        <f>Alukset_Käynnit!B583</f>
        <v>0</v>
      </c>
      <c r="C576" s="262">
        <f>Alukset_Käynnit!C583</f>
        <v>0</v>
      </c>
      <c r="D576" s="266">
        <f>Alukset_Käynnit!D583</f>
        <v>0</v>
      </c>
      <c r="E576" s="262">
        <f>Alukset_Käynnit!E583</f>
        <v>0</v>
      </c>
      <c r="F576" s="262">
        <f>Alukset_Käynnit!F583</f>
        <v>0</v>
      </c>
      <c r="G576" s="262">
        <f>Alukset_Käynnit!G583</f>
        <v>0</v>
      </c>
      <c r="H576" s="262">
        <f>Alukset_Käynnit!H583</f>
        <v>0</v>
      </c>
      <c r="I576" s="262">
        <f>Alukset_Käynnit!I583</f>
        <v>0</v>
      </c>
      <c r="J576" s="262">
        <f>Alukset_Käynnit!J583</f>
        <v>0</v>
      </c>
      <c r="K576" s="262">
        <f>Alukset_Käynnit!K583</f>
        <v>0</v>
      </c>
      <c r="L576" s="205">
        <f>Alukset_Käynnit!L583</f>
        <v>0</v>
      </c>
      <c r="N576" s="273">
        <f t="shared" si="111"/>
        <v>0</v>
      </c>
      <c r="O576" s="274">
        <f t="shared" si="112"/>
        <v>0</v>
      </c>
      <c r="Q576" s="204">
        <f t="shared" si="101"/>
        <v>0</v>
      </c>
      <c r="R576" s="202">
        <f>IF(Q576="Other dry cargo",L576*Alukset_fx!$B$71,IF(OR(Q576="Dry bulk",Q576="Bulk carrier"),L576*Alukset_fx!$B$69,IF(Q576="Tugboat",L576*Alukset_fx!$B$76,IF(OR(Q576="Tanker",Q576="Gas tanker",Q576="Chemical tanker",Q576="Oil tanker"),L576*Alukset_fx!$B$68,IF(OR(Q576="RoRo",Q576="Vehicle carrier"),L576*Alukset_fx!$B$72,IF(Q576="RoPax",L576*Alukset_fx!$B$73,IF(Q576="Container ship",L576*Alukset_fx!$B$70,IF(Q576="Barge",0,L576*Alukset_fx!$B$75))))))))</f>
        <v>0</v>
      </c>
      <c r="S576" s="210">
        <f>IF(L576=0,IF(Q576="Other dry cargo",Alukset_fx!$H$73*(Alukset_Käynnit_Lask!K576^Alukset_fx!$I$73),IF(OR(Q576="Dry Bulk",Q576="Bulk carrier"),Alukset_fx!$H$71*(Alukset_Käynnit_Lask!K576^Alukset_fx!$I$71),IF(Q576="Tugboat",Alukset_fx!$H$78*(Alukset_Käynnit_Lask!K576^Alukset_fx!$I$78),IF(OR(Q576="Tanker",Q576="Gas tanker",Q576="Chemical tanker",Q576="Oil tanker"),Alukset_fx!$H$70*(Alukset_Käynnit_Lask!K576^Alukset_fx!$I$70),IF(Q576="Container ship",Alukset_fx!$H$72*(Alukset_Käynnit_Lask!K576^Alukset_fx!$I$72),IF(Q576="Barge",0,IF(Q576="RoPax",Alukset_fx!$H$75*(Alukset_Käynnit_Lask!K576^Alukset_fx!$I$75),IF(OR(Q576="RoRo",Q576="Vehicle carrier"),Alukset_fx!$H$74*(Alukset_Käynnit_Lask!K576^Alukset_fx!$I$74),Alukset_fx!$H$77*(Alukset_Käynnit_Lask!K576^Alukset_fx!$I$77))))))))),"-")</f>
        <v>0</v>
      </c>
      <c r="T576" s="208">
        <f>IF(R576=0,IF(Q576="Other dry cargo",S576*Alukset_fx!$B$71,IF(OR(Q576="Dry bulk",Q576="Bulk carrier"),S576*Alukset_fx!$B$69,IF(Q576="Tugboat",S576*Alukset_fx!$B$76,IF(OR(Q576="Tanker",Q576="Gas tanker",Q576="Chemical tanker",Q576="Oil tanker"),S576*Alukset_fx!$B$68,IF(OR(Q576="RoRo",Q576="Vehicle carrier"),S576*Alukset_fx!$B$72,IF(Q576="RoPax",S576*Alukset_fx!$B$73,IF(Q576="Container ship",S576*Alukset_fx!$B$70,S576*Alukset_fx!$B$75))))))),"-")</f>
        <v>0</v>
      </c>
      <c r="U576" s="208">
        <f t="shared" si="102"/>
        <v>0</v>
      </c>
      <c r="V576" s="208">
        <f t="shared" si="103"/>
        <v>0</v>
      </c>
      <c r="W576" s="202">
        <f>Alukset_Käynnit!N583</f>
        <v>0</v>
      </c>
      <c r="X576" s="211">
        <f>IF(Q576="Other dry cargo", Alukset_fx!$C$52, IF(OR(Q576="Dry bulk",Q576="Bulk carrier"),Alukset_fx!$C$35,IF(OR(Q576="Tanker",Q576="Gas tanker",Q576="Oil tanker"),Alukset_fx!$C$57,IF(Q576="Chemical tanker",Alukset_fx!$C$56,IF(OR(Q576="Tugboat",Q576="Barge"),0,IF(Q576="Other vessel",Alukset_fx!$C$54,IF(Q576="Container ship",Alukset_fx!$C$37,IF(OR(Q576="RoPax",Q576="RoRo",Q576="Vehicle carrier"),Alukset_fx!$C$55,0))))))))</f>
        <v>0</v>
      </c>
      <c r="Y576" s="211">
        <f>IF(Q576="Other dry cargo", Alukset_fx!$Q$52, IF(OR(Q576="Dry bulk",Q576="Bulk carrier"),Alukset_fx!$Q$35,IF(OR(Q576="Tanker",Q576="Gas tanker",Q576="Oil tanker"),Alukset_fx!$Q$57,IF(Q576="Chemical tanker",Alukset_fx!$Q$56,IF(OR(Q576="Tugboat",Q576="Barge"),0,IF(Q576="Other vessel",Alukset_fx!$Q$54,IF(Q576="Container ship",Alukset_fx!$Q$37,IF(OR(Q576="RoPax",Q576="RoRo",Q576="Vehicle carrier"),Alukset_fx!$Q$55,0))))))))</f>
        <v>0</v>
      </c>
      <c r="Z576" t="str">
        <f t="shared" si="104"/>
        <v>MDO/MGO</v>
      </c>
      <c r="AA576" t="str">
        <f t="shared" si="105"/>
        <v>MSD</v>
      </c>
      <c r="AB576" t="str">
        <f t="shared" si="106"/>
        <v>MDO/MGO</v>
      </c>
      <c r="AC576" t="str">
        <f t="shared" si="107"/>
        <v>MSD</v>
      </c>
      <c r="AD576" t="str">
        <f t="shared" si="108"/>
        <v>MDO/MGO</v>
      </c>
      <c r="AE576" t="str">
        <f t="shared" si="109"/>
        <v>ST</v>
      </c>
      <c r="AG576">
        <f>Alukset_Käynnit!O583</f>
        <v>0</v>
      </c>
      <c r="AH576" s="207">
        <f>IF(AA576="SSD",((U576*Alukset_fx!$B$24)*Alukset_Käynnit_Lask!W576*(Alukset_fx!$K$49)/1000),IF(AA576="MSD",((U576*Alukset_fx!$B$24)*Alukset_Käynnit_Lask!W576*(Alukset_fx!$K$52)/1000),IF(AA576="HSD",((U576*Alukset_fx!$B$24)*Alukset_Käynnit_Lask!W576*(Alukset_fx!$K$55)/1000),0)))</f>
        <v>0</v>
      </c>
      <c r="AI576" s="207">
        <f>IF(AC576="MSD",((V576*Alukset_fx!$B$25)*Alukset_Käynnit_Lask!W576*(Alukset_fx!$L$52)/1000),IF(AC576="HSD",((V576*Alukset_fx!$B$25)*Alukset_Käynnit_Lask!W576*(Alukset_fx!$L$55)/1000),0))</f>
        <v>0</v>
      </c>
      <c r="AJ576" s="207">
        <f>X576*W576*Alukset_fx!$K$61/1000</f>
        <v>0</v>
      </c>
      <c r="AK576">
        <v>0</v>
      </c>
      <c r="AL576" s="207">
        <f>IF(AG576="Käytetty",0,IF(AC576="MSD",((V576*Alukset_fx!$O$25)*Alukset_Käynnit_Lask!O576*(Alukset_fx!$L$52)/1000),IF(AC576="HSD",((V576*Alukset_fx!$O$25)*Alukset_Käynnit_Lask!O576*(Alukset_fx!$L$55)/1000),0)))</f>
        <v>0</v>
      </c>
      <c r="AM576" s="207">
        <f>IF(AG576="Käytetty",0,Y576*O576*Alukset_fx!$K$61/1000)</f>
        <v>0</v>
      </c>
      <c r="AN576" s="213">
        <f t="shared" si="110"/>
        <v>0</v>
      </c>
    </row>
    <row r="577" spans="1:40" x14ac:dyDescent="0.25">
      <c r="A577" s="203">
        <f>Alukset_Käynnit!A584</f>
        <v>0</v>
      </c>
      <c r="B577" s="203">
        <f>Alukset_Käynnit!B584</f>
        <v>0</v>
      </c>
      <c r="C577" s="262">
        <f>Alukset_Käynnit!C584</f>
        <v>0</v>
      </c>
      <c r="D577" s="266">
        <f>Alukset_Käynnit!D584</f>
        <v>0</v>
      </c>
      <c r="E577" s="262">
        <f>Alukset_Käynnit!E584</f>
        <v>0</v>
      </c>
      <c r="F577" s="262">
        <f>Alukset_Käynnit!F584</f>
        <v>0</v>
      </c>
      <c r="G577" s="262">
        <f>Alukset_Käynnit!G584</f>
        <v>0</v>
      </c>
      <c r="H577" s="262">
        <f>Alukset_Käynnit!H584</f>
        <v>0</v>
      </c>
      <c r="I577" s="262">
        <f>Alukset_Käynnit!I584</f>
        <v>0</v>
      </c>
      <c r="J577" s="262">
        <f>Alukset_Käynnit!J584</f>
        <v>0</v>
      </c>
      <c r="K577" s="262">
        <f>Alukset_Käynnit!K584</f>
        <v>0</v>
      </c>
      <c r="L577" s="205">
        <f>Alukset_Käynnit!L584</f>
        <v>0</v>
      </c>
      <c r="N577" s="273">
        <f t="shared" si="111"/>
        <v>0</v>
      </c>
      <c r="O577" s="274">
        <f t="shared" si="112"/>
        <v>0</v>
      </c>
      <c r="Q577" s="204">
        <f t="shared" si="101"/>
        <v>0</v>
      </c>
      <c r="R577" s="202">
        <f>IF(Q577="Other dry cargo",L577*Alukset_fx!$B$71,IF(OR(Q577="Dry bulk",Q577="Bulk carrier"),L577*Alukset_fx!$B$69,IF(Q577="Tugboat",L577*Alukset_fx!$B$76,IF(OR(Q577="Tanker",Q577="Gas tanker",Q577="Chemical tanker",Q577="Oil tanker"),L577*Alukset_fx!$B$68,IF(OR(Q577="RoRo",Q577="Vehicle carrier"),L577*Alukset_fx!$B$72,IF(Q577="RoPax",L577*Alukset_fx!$B$73,IF(Q577="Container ship",L577*Alukset_fx!$B$70,IF(Q577="Barge",0,L577*Alukset_fx!$B$75))))))))</f>
        <v>0</v>
      </c>
      <c r="S577" s="210">
        <f>IF(L577=0,IF(Q577="Other dry cargo",Alukset_fx!$H$73*(Alukset_Käynnit_Lask!K577^Alukset_fx!$I$73),IF(OR(Q577="Dry Bulk",Q577="Bulk carrier"),Alukset_fx!$H$71*(Alukset_Käynnit_Lask!K577^Alukset_fx!$I$71),IF(Q577="Tugboat",Alukset_fx!$H$78*(Alukset_Käynnit_Lask!K577^Alukset_fx!$I$78),IF(OR(Q577="Tanker",Q577="Gas tanker",Q577="Chemical tanker",Q577="Oil tanker"),Alukset_fx!$H$70*(Alukset_Käynnit_Lask!K577^Alukset_fx!$I$70),IF(Q577="Container ship",Alukset_fx!$H$72*(Alukset_Käynnit_Lask!K577^Alukset_fx!$I$72),IF(Q577="Barge",0,IF(Q577="RoPax",Alukset_fx!$H$75*(Alukset_Käynnit_Lask!K577^Alukset_fx!$I$75),IF(OR(Q577="RoRo",Q577="Vehicle carrier"),Alukset_fx!$H$74*(Alukset_Käynnit_Lask!K577^Alukset_fx!$I$74),Alukset_fx!$H$77*(Alukset_Käynnit_Lask!K577^Alukset_fx!$I$77))))))))),"-")</f>
        <v>0</v>
      </c>
      <c r="T577" s="208">
        <f>IF(R577=0,IF(Q577="Other dry cargo",S577*Alukset_fx!$B$71,IF(OR(Q577="Dry bulk",Q577="Bulk carrier"),S577*Alukset_fx!$B$69,IF(Q577="Tugboat",S577*Alukset_fx!$B$76,IF(OR(Q577="Tanker",Q577="Gas tanker",Q577="Chemical tanker",Q577="Oil tanker"),S577*Alukset_fx!$B$68,IF(OR(Q577="RoRo",Q577="Vehicle carrier"),S577*Alukset_fx!$B$72,IF(Q577="RoPax",S577*Alukset_fx!$B$73,IF(Q577="Container ship",S577*Alukset_fx!$B$70,S577*Alukset_fx!$B$75))))))),"-")</f>
        <v>0</v>
      </c>
      <c r="U577" s="208">
        <f t="shared" si="102"/>
        <v>0</v>
      </c>
      <c r="V577" s="208">
        <f t="shared" si="103"/>
        <v>0</v>
      </c>
      <c r="W577" s="202">
        <f>Alukset_Käynnit!N584</f>
        <v>0</v>
      </c>
      <c r="X577" s="211">
        <f>IF(Q577="Other dry cargo", Alukset_fx!$C$52, IF(OR(Q577="Dry bulk",Q577="Bulk carrier"),Alukset_fx!$C$35,IF(OR(Q577="Tanker",Q577="Gas tanker",Q577="Oil tanker"),Alukset_fx!$C$57,IF(Q577="Chemical tanker",Alukset_fx!$C$56,IF(OR(Q577="Tugboat",Q577="Barge"),0,IF(Q577="Other vessel",Alukset_fx!$C$54,IF(Q577="Container ship",Alukset_fx!$C$37,IF(OR(Q577="RoPax",Q577="RoRo",Q577="Vehicle carrier"),Alukset_fx!$C$55,0))))))))</f>
        <v>0</v>
      </c>
      <c r="Y577" s="211">
        <f>IF(Q577="Other dry cargo", Alukset_fx!$Q$52, IF(OR(Q577="Dry bulk",Q577="Bulk carrier"),Alukset_fx!$Q$35,IF(OR(Q577="Tanker",Q577="Gas tanker",Q577="Oil tanker"),Alukset_fx!$Q$57,IF(Q577="Chemical tanker",Alukset_fx!$Q$56,IF(OR(Q577="Tugboat",Q577="Barge"),0,IF(Q577="Other vessel",Alukset_fx!$Q$54,IF(Q577="Container ship",Alukset_fx!$Q$37,IF(OR(Q577="RoPax",Q577="RoRo",Q577="Vehicle carrier"),Alukset_fx!$Q$55,0))))))))</f>
        <v>0</v>
      </c>
      <c r="Z577" t="str">
        <f t="shared" si="104"/>
        <v>MDO/MGO</v>
      </c>
      <c r="AA577" t="str">
        <f t="shared" si="105"/>
        <v>MSD</v>
      </c>
      <c r="AB577" t="str">
        <f t="shared" si="106"/>
        <v>MDO/MGO</v>
      </c>
      <c r="AC577" t="str">
        <f t="shared" si="107"/>
        <v>MSD</v>
      </c>
      <c r="AD577" t="str">
        <f t="shared" si="108"/>
        <v>MDO/MGO</v>
      </c>
      <c r="AE577" t="str">
        <f t="shared" si="109"/>
        <v>ST</v>
      </c>
      <c r="AG577">
        <f>Alukset_Käynnit!O584</f>
        <v>0</v>
      </c>
      <c r="AH577" s="207">
        <f>IF(AA577="SSD",((U577*Alukset_fx!$B$24)*Alukset_Käynnit_Lask!W577*(Alukset_fx!$K$49)/1000),IF(AA577="MSD",((U577*Alukset_fx!$B$24)*Alukset_Käynnit_Lask!W577*(Alukset_fx!$K$52)/1000),IF(AA577="HSD",((U577*Alukset_fx!$B$24)*Alukset_Käynnit_Lask!W577*(Alukset_fx!$K$55)/1000),0)))</f>
        <v>0</v>
      </c>
      <c r="AI577" s="207">
        <f>IF(AC577="MSD",((V577*Alukset_fx!$B$25)*Alukset_Käynnit_Lask!W577*(Alukset_fx!$L$52)/1000),IF(AC577="HSD",((V577*Alukset_fx!$B$25)*Alukset_Käynnit_Lask!W577*(Alukset_fx!$L$55)/1000),0))</f>
        <v>0</v>
      </c>
      <c r="AJ577" s="207">
        <f>X577*W577*Alukset_fx!$K$61/1000</f>
        <v>0</v>
      </c>
      <c r="AK577">
        <v>0</v>
      </c>
      <c r="AL577" s="207">
        <f>IF(AG577="Käytetty",0,IF(AC577="MSD",((V577*Alukset_fx!$O$25)*Alukset_Käynnit_Lask!O577*(Alukset_fx!$L$52)/1000),IF(AC577="HSD",((V577*Alukset_fx!$O$25)*Alukset_Käynnit_Lask!O577*(Alukset_fx!$L$55)/1000),0)))</f>
        <v>0</v>
      </c>
      <c r="AM577" s="207">
        <f>IF(AG577="Käytetty",0,Y577*O577*Alukset_fx!$K$61/1000)</f>
        <v>0</v>
      </c>
      <c r="AN577" s="213">
        <f t="shared" si="110"/>
        <v>0</v>
      </c>
    </row>
    <row r="578" spans="1:40" x14ac:dyDescent="0.25">
      <c r="A578" s="203">
        <f>Alukset_Käynnit!A585</f>
        <v>0</v>
      </c>
      <c r="B578" s="203">
        <f>Alukset_Käynnit!B585</f>
        <v>0</v>
      </c>
      <c r="C578" s="262">
        <f>Alukset_Käynnit!C585</f>
        <v>0</v>
      </c>
      <c r="D578" s="266">
        <f>Alukset_Käynnit!D585</f>
        <v>0</v>
      </c>
      <c r="E578" s="262">
        <f>Alukset_Käynnit!E585</f>
        <v>0</v>
      </c>
      <c r="F578" s="262">
        <f>Alukset_Käynnit!F585</f>
        <v>0</v>
      </c>
      <c r="G578" s="262">
        <f>Alukset_Käynnit!G585</f>
        <v>0</v>
      </c>
      <c r="H578" s="262">
        <f>Alukset_Käynnit!H585</f>
        <v>0</v>
      </c>
      <c r="I578" s="262">
        <f>Alukset_Käynnit!I585</f>
        <v>0</v>
      </c>
      <c r="J578" s="262">
        <f>Alukset_Käynnit!J585</f>
        <v>0</v>
      </c>
      <c r="K578" s="262">
        <f>Alukset_Käynnit!K585</f>
        <v>0</v>
      </c>
      <c r="L578" s="205">
        <f>Alukset_Käynnit!L585</f>
        <v>0</v>
      </c>
      <c r="N578" s="273">
        <f t="shared" si="111"/>
        <v>0</v>
      </c>
      <c r="O578" s="274">
        <f t="shared" si="112"/>
        <v>0</v>
      </c>
      <c r="Q578" s="204">
        <f t="shared" si="101"/>
        <v>0</v>
      </c>
      <c r="R578" s="202">
        <f>IF(Q578="Other dry cargo",L578*Alukset_fx!$B$71,IF(OR(Q578="Dry bulk",Q578="Bulk carrier"),L578*Alukset_fx!$B$69,IF(Q578="Tugboat",L578*Alukset_fx!$B$76,IF(OR(Q578="Tanker",Q578="Gas tanker",Q578="Chemical tanker",Q578="Oil tanker"),L578*Alukset_fx!$B$68,IF(OR(Q578="RoRo",Q578="Vehicle carrier"),L578*Alukset_fx!$B$72,IF(Q578="RoPax",L578*Alukset_fx!$B$73,IF(Q578="Container ship",L578*Alukset_fx!$B$70,IF(Q578="Barge",0,L578*Alukset_fx!$B$75))))))))</f>
        <v>0</v>
      </c>
      <c r="S578" s="210">
        <f>IF(L578=0,IF(Q578="Other dry cargo",Alukset_fx!$H$73*(Alukset_Käynnit_Lask!K578^Alukset_fx!$I$73),IF(OR(Q578="Dry Bulk",Q578="Bulk carrier"),Alukset_fx!$H$71*(Alukset_Käynnit_Lask!K578^Alukset_fx!$I$71),IF(Q578="Tugboat",Alukset_fx!$H$78*(Alukset_Käynnit_Lask!K578^Alukset_fx!$I$78),IF(OR(Q578="Tanker",Q578="Gas tanker",Q578="Chemical tanker",Q578="Oil tanker"),Alukset_fx!$H$70*(Alukset_Käynnit_Lask!K578^Alukset_fx!$I$70),IF(Q578="Container ship",Alukset_fx!$H$72*(Alukset_Käynnit_Lask!K578^Alukset_fx!$I$72),IF(Q578="Barge",0,IF(Q578="RoPax",Alukset_fx!$H$75*(Alukset_Käynnit_Lask!K578^Alukset_fx!$I$75),IF(OR(Q578="RoRo",Q578="Vehicle carrier"),Alukset_fx!$H$74*(Alukset_Käynnit_Lask!K578^Alukset_fx!$I$74),Alukset_fx!$H$77*(Alukset_Käynnit_Lask!K578^Alukset_fx!$I$77))))))))),"-")</f>
        <v>0</v>
      </c>
      <c r="T578" s="208">
        <f>IF(R578=0,IF(Q578="Other dry cargo",S578*Alukset_fx!$B$71,IF(OR(Q578="Dry bulk",Q578="Bulk carrier"),S578*Alukset_fx!$B$69,IF(Q578="Tugboat",S578*Alukset_fx!$B$76,IF(OR(Q578="Tanker",Q578="Gas tanker",Q578="Chemical tanker",Q578="Oil tanker"),S578*Alukset_fx!$B$68,IF(OR(Q578="RoRo",Q578="Vehicle carrier"),S578*Alukset_fx!$B$72,IF(Q578="RoPax",S578*Alukset_fx!$B$73,IF(Q578="Container ship",S578*Alukset_fx!$B$70,S578*Alukset_fx!$B$75))))))),"-")</f>
        <v>0</v>
      </c>
      <c r="U578" s="208">
        <f t="shared" si="102"/>
        <v>0</v>
      </c>
      <c r="V578" s="208">
        <f t="shared" si="103"/>
        <v>0</v>
      </c>
      <c r="W578" s="202">
        <f>Alukset_Käynnit!N585</f>
        <v>0</v>
      </c>
      <c r="X578" s="211">
        <f>IF(Q578="Other dry cargo", Alukset_fx!$C$52, IF(OR(Q578="Dry bulk",Q578="Bulk carrier"),Alukset_fx!$C$35,IF(OR(Q578="Tanker",Q578="Gas tanker",Q578="Oil tanker"),Alukset_fx!$C$57,IF(Q578="Chemical tanker",Alukset_fx!$C$56,IF(OR(Q578="Tugboat",Q578="Barge"),0,IF(Q578="Other vessel",Alukset_fx!$C$54,IF(Q578="Container ship",Alukset_fx!$C$37,IF(OR(Q578="RoPax",Q578="RoRo",Q578="Vehicle carrier"),Alukset_fx!$C$55,0))))))))</f>
        <v>0</v>
      </c>
      <c r="Y578" s="211">
        <f>IF(Q578="Other dry cargo", Alukset_fx!$Q$52, IF(OR(Q578="Dry bulk",Q578="Bulk carrier"),Alukset_fx!$Q$35,IF(OR(Q578="Tanker",Q578="Gas tanker",Q578="Oil tanker"),Alukset_fx!$Q$57,IF(Q578="Chemical tanker",Alukset_fx!$Q$56,IF(OR(Q578="Tugboat",Q578="Barge"),0,IF(Q578="Other vessel",Alukset_fx!$Q$54,IF(Q578="Container ship",Alukset_fx!$Q$37,IF(OR(Q578="RoPax",Q578="RoRo",Q578="Vehicle carrier"),Alukset_fx!$Q$55,0))))))))</f>
        <v>0</v>
      </c>
      <c r="Z578" t="str">
        <f t="shared" si="104"/>
        <v>MDO/MGO</v>
      </c>
      <c r="AA578" t="str">
        <f t="shared" si="105"/>
        <v>MSD</v>
      </c>
      <c r="AB578" t="str">
        <f t="shared" si="106"/>
        <v>MDO/MGO</v>
      </c>
      <c r="AC578" t="str">
        <f t="shared" si="107"/>
        <v>MSD</v>
      </c>
      <c r="AD578" t="str">
        <f t="shared" si="108"/>
        <v>MDO/MGO</v>
      </c>
      <c r="AE578" t="str">
        <f t="shared" si="109"/>
        <v>ST</v>
      </c>
      <c r="AG578">
        <f>Alukset_Käynnit!O585</f>
        <v>0</v>
      </c>
      <c r="AH578" s="207">
        <f>IF(AA578="SSD",((U578*Alukset_fx!$B$24)*Alukset_Käynnit_Lask!W578*(Alukset_fx!$K$49)/1000),IF(AA578="MSD",((U578*Alukset_fx!$B$24)*Alukset_Käynnit_Lask!W578*(Alukset_fx!$K$52)/1000),IF(AA578="HSD",((U578*Alukset_fx!$B$24)*Alukset_Käynnit_Lask!W578*(Alukset_fx!$K$55)/1000),0)))</f>
        <v>0</v>
      </c>
      <c r="AI578" s="207">
        <f>IF(AC578="MSD",((V578*Alukset_fx!$B$25)*Alukset_Käynnit_Lask!W578*(Alukset_fx!$L$52)/1000),IF(AC578="HSD",((V578*Alukset_fx!$B$25)*Alukset_Käynnit_Lask!W578*(Alukset_fx!$L$55)/1000),0))</f>
        <v>0</v>
      </c>
      <c r="AJ578" s="207">
        <f>X578*W578*Alukset_fx!$K$61/1000</f>
        <v>0</v>
      </c>
      <c r="AK578">
        <v>0</v>
      </c>
      <c r="AL578" s="207">
        <f>IF(AG578="Käytetty",0,IF(AC578="MSD",((V578*Alukset_fx!$O$25)*Alukset_Käynnit_Lask!O578*(Alukset_fx!$L$52)/1000),IF(AC578="HSD",((V578*Alukset_fx!$O$25)*Alukset_Käynnit_Lask!O578*(Alukset_fx!$L$55)/1000),0)))</f>
        <v>0</v>
      </c>
      <c r="AM578" s="207">
        <f>IF(AG578="Käytetty",0,Y578*O578*Alukset_fx!$K$61/1000)</f>
        <v>0</v>
      </c>
      <c r="AN578" s="213">
        <f t="shared" si="110"/>
        <v>0</v>
      </c>
    </row>
    <row r="579" spans="1:40" x14ac:dyDescent="0.25">
      <c r="A579" s="203">
        <f>Alukset_Käynnit!A586</f>
        <v>0</v>
      </c>
      <c r="B579" s="203">
        <f>Alukset_Käynnit!B586</f>
        <v>0</v>
      </c>
      <c r="C579" s="262">
        <f>Alukset_Käynnit!C586</f>
        <v>0</v>
      </c>
      <c r="D579" s="266">
        <f>Alukset_Käynnit!D586</f>
        <v>0</v>
      </c>
      <c r="E579" s="262">
        <f>Alukset_Käynnit!E586</f>
        <v>0</v>
      </c>
      <c r="F579" s="262">
        <f>Alukset_Käynnit!F586</f>
        <v>0</v>
      </c>
      <c r="G579" s="262">
        <f>Alukset_Käynnit!G586</f>
        <v>0</v>
      </c>
      <c r="H579" s="262">
        <f>Alukset_Käynnit!H586</f>
        <v>0</v>
      </c>
      <c r="I579" s="262">
        <f>Alukset_Käynnit!I586</f>
        <v>0</v>
      </c>
      <c r="J579" s="262">
        <f>Alukset_Käynnit!J586</f>
        <v>0</v>
      </c>
      <c r="K579" s="262">
        <f>Alukset_Käynnit!K586</f>
        <v>0</v>
      </c>
      <c r="L579" s="205">
        <f>Alukset_Käynnit!L586</f>
        <v>0</v>
      </c>
      <c r="N579" s="273">
        <f t="shared" si="111"/>
        <v>0</v>
      </c>
      <c r="O579" s="274">
        <f t="shared" si="112"/>
        <v>0</v>
      </c>
      <c r="Q579" s="204">
        <f t="shared" si="101"/>
        <v>0</v>
      </c>
      <c r="R579" s="202">
        <f>IF(Q579="Other dry cargo",L579*Alukset_fx!$B$71,IF(OR(Q579="Dry bulk",Q579="Bulk carrier"),L579*Alukset_fx!$B$69,IF(Q579="Tugboat",L579*Alukset_fx!$B$76,IF(OR(Q579="Tanker",Q579="Gas tanker",Q579="Chemical tanker",Q579="Oil tanker"),L579*Alukset_fx!$B$68,IF(OR(Q579="RoRo",Q579="Vehicle carrier"),L579*Alukset_fx!$B$72,IF(Q579="RoPax",L579*Alukset_fx!$B$73,IF(Q579="Container ship",L579*Alukset_fx!$B$70,IF(Q579="Barge",0,L579*Alukset_fx!$B$75))))))))</f>
        <v>0</v>
      </c>
      <c r="S579" s="210">
        <f>IF(L579=0,IF(Q579="Other dry cargo",Alukset_fx!$H$73*(Alukset_Käynnit_Lask!K579^Alukset_fx!$I$73),IF(OR(Q579="Dry Bulk",Q579="Bulk carrier"),Alukset_fx!$H$71*(Alukset_Käynnit_Lask!K579^Alukset_fx!$I$71),IF(Q579="Tugboat",Alukset_fx!$H$78*(Alukset_Käynnit_Lask!K579^Alukset_fx!$I$78),IF(OR(Q579="Tanker",Q579="Gas tanker",Q579="Chemical tanker",Q579="Oil tanker"),Alukset_fx!$H$70*(Alukset_Käynnit_Lask!K579^Alukset_fx!$I$70),IF(Q579="Container ship",Alukset_fx!$H$72*(Alukset_Käynnit_Lask!K579^Alukset_fx!$I$72),IF(Q579="Barge",0,IF(Q579="RoPax",Alukset_fx!$H$75*(Alukset_Käynnit_Lask!K579^Alukset_fx!$I$75),IF(OR(Q579="RoRo",Q579="Vehicle carrier"),Alukset_fx!$H$74*(Alukset_Käynnit_Lask!K579^Alukset_fx!$I$74),Alukset_fx!$H$77*(Alukset_Käynnit_Lask!K579^Alukset_fx!$I$77))))))))),"-")</f>
        <v>0</v>
      </c>
      <c r="T579" s="208">
        <f>IF(R579=0,IF(Q579="Other dry cargo",S579*Alukset_fx!$B$71,IF(OR(Q579="Dry bulk",Q579="Bulk carrier"),S579*Alukset_fx!$B$69,IF(Q579="Tugboat",S579*Alukset_fx!$B$76,IF(OR(Q579="Tanker",Q579="Gas tanker",Q579="Chemical tanker",Q579="Oil tanker"),S579*Alukset_fx!$B$68,IF(OR(Q579="RoRo",Q579="Vehicle carrier"),S579*Alukset_fx!$B$72,IF(Q579="RoPax",S579*Alukset_fx!$B$73,IF(Q579="Container ship",S579*Alukset_fx!$B$70,S579*Alukset_fx!$B$75))))))),"-")</f>
        <v>0</v>
      </c>
      <c r="U579" s="208">
        <f t="shared" si="102"/>
        <v>0</v>
      </c>
      <c r="V579" s="208">
        <f t="shared" si="103"/>
        <v>0</v>
      </c>
      <c r="W579" s="202">
        <f>Alukset_Käynnit!N586</f>
        <v>0</v>
      </c>
      <c r="X579" s="211">
        <f>IF(Q579="Other dry cargo", Alukset_fx!$C$52, IF(OR(Q579="Dry bulk",Q579="Bulk carrier"),Alukset_fx!$C$35,IF(OR(Q579="Tanker",Q579="Gas tanker",Q579="Oil tanker"),Alukset_fx!$C$57,IF(Q579="Chemical tanker",Alukset_fx!$C$56,IF(OR(Q579="Tugboat",Q579="Barge"),0,IF(Q579="Other vessel",Alukset_fx!$C$54,IF(Q579="Container ship",Alukset_fx!$C$37,IF(OR(Q579="RoPax",Q579="RoRo",Q579="Vehicle carrier"),Alukset_fx!$C$55,0))))))))</f>
        <v>0</v>
      </c>
      <c r="Y579" s="211">
        <f>IF(Q579="Other dry cargo", Alukset_fx!$Q$52, IF(OR(Q579="Dry bulk",Q579="Bulk carrier"),Alukset_fx!$Q$35,IF(OR(Q579="Tanker",Q579="Gas tanker",Q579="Oil tanker"),Alukset_fx!$Q$57,IF(Q579="Chemical tanker",Alukset_fx!$Q$56,IF(OR(Q579="Tugboat",Q579="Barge"),0,IF(Q579="Other vessel",Alukset_fx!$Q$54,IF(Q579="Container ship",Alukset_fx!$Q$37,IF(OR(Q579="RoPax",Q579="RoRo",Q579="Vehicle carrier"),Alukset_fx!$Q$55,0))))))))</f>
        <v>0</v>
      </c>
      <c r="Z579" t="str">
        <f t="shared" si="104"/>
        <v>MDO/MGO</v>
      </c>
      <c r="AA579" t="str">
        <f t="shared" si="105"/>
        <v>MSD</v>
      </c>
      <c r="AB579" t="str">
        <f t="shared" si="106"/>
        <v>MDO/MGO</v>
      </c>
      <c r="AC579" t="str">
        <f t="shared" si="107"/>
        <v>MSD</v>
      </c>
      <c r="AD579" t="str">
        <f t="shared" si="108"/>
        <v>MDO/MGO</v>
      </c>
      <c r="AE579" t="str">
        <f t="shared" si="109"/>
        <v>ST</v>
      </c>
      <c r="AG579">
        <f>Alukset_Käynnit!O586</f>
        <v>0</v>
      </c>
      <c r="AH579" s="207">
        <f>IF(AA579="SSD",((U579*Alukset_fx!$B$24)*Alukset_Käynnit_Lask!W579*(Alukset_fx!$K$49)/1000),IF(AA579="MSD",((U579*Alukset_fx!$B$24)*Alukset_Käynnit_Lask!W579*(Alukset_fx!$K$52)/1000),IF(AA579="HSD",((U579*Alukset_fx!$B$24)*Alukset_Käynnit_Lask!W579*(Alukset_fx!$K$55)/1000),0)))</f>
        <v>0</v>
      </c>
      <c r="AI579" s="207">
        <f>IF(AC579="MSD",((V579*Alukset_fx!$B$25)*Alukset_Käynnit_Lask!W579*(Alukset_fx!$L$52)/1000),IF(AC579="HSD",((V579*Alukset_fx!$B$25)*Alukset_Käynnit_Lask!W579*(Alukset_fx!$L$55)/1000),0))</f>
        <v>0</v>
      </c>
      <c r="AJ579" s="207">
        <f>X579*W579*Alukset_fx!$K$61/1000</f>
        <v>0</v>
      </c>
      <c r="AK579">
        <v>0</v>
      </c>
      <c r="AL579" s="207">
        <f>IF(AG579="Käytetty",0,IF(AC579="MSD",((V579*Alukset_fx!$O$25)*Alukset_Käynnit_Lask!O579*(Alukset_fx!$L$52)/1000),IF(AC579="HSD",((V579*Alukset_fx!$O$25)*Alukset_Käynnit_Lask!O579*(Alukset_fx!$L$55)/1000),0)))</f>
        <v>0</v>
      </c>
      <c r="AM579" s="207">
        <f>IF(AG579="Käytetty",0,Y579*O579*Alukset_fx!$K$61/1000)</f>
        <v>0</v>
      </c>
      <c r="AN579" s="213">
        <f t="shared" si="110"/>
        <v>0</v>
      </c>
    </row>
    <row r="580" spans="1:40" x14ac:dyDescent="0.25">
      <c r="A580" s="203">
        <f>Alukset_Käynnit!A587</f>
        <v>0</v>
      </c>
      <c r="B580" s="203">
        <f>Alukset_Käynnit!B587</f>
        <v>0</v>
      </c>
      <c r="C580" s="262">
        <f>Alukset_Käynnit!C587</f>
        <v>0</v>
      </c>
      <c r="D580" s="266">
        <f>Alukset_Käynnit!D587</f>
        <v>0</v>
      </c>
      <c r="E580" s="262">
        <f>Alukset_Käynnit!E587</f>
        <v>0</v>
      </c>
      <c r="F580" s="262">
        <f>Alukset_Käynnit!F587</f>
        <v>0</v>
      </c>
      <c r="G580" s="262">
        <f>Alukset_Käynnit!G587</f>
        <v>0</v>
      </c>
      <c r="H580" s="262">
        <f>Alukset_Käynnit!H587</f>
        <v>0</v>
      </c>
      <c r="I580" s="262">
        <f>Alukset_Käynnit!I587</f>
        <v>0</v>
      </c>
      <c r="J580" s="262">
        <f>Alukset_Käynnit!J587</f>
        <v>0</v>
      </c>
      <c r="K580" s="262">
        <f>Alukset_Käynnit!K587</f>
        <v>0</v>
      </c>
      <c r="L580" s="205">
        <f>Alukset_Käynnit!L587</f>
        <v>0</v>
      </c>
      <c r="N580" s="273">
        <f t="shared" si="111"/>
        <v>0</v>
      </c>
      <c r="O580" s="274">
        <f t="shared" si="112"/>
        <v>0</v>
      </c>
      <c r="Q580" s="204">
        <f t="shared" si="101"/>
        <v>0</v>
      </c>
      <c r="R580" s="202">
        <f>IF(Q580="Other dry cargo",L580*Alukset_fx!$B$71,IF(OR(Q580="Dry bulk",Q580="Bulk carrier"),L580*Alukset_fx!$B$69,IF(Q580="Tugboat",L580*Alukset_fx!$B$76,IF(OR(Q580="Tanker",Q580="Gas tanker",Q580="Chemical tanker",Q580="Oil tanker"),L580*Alukset_fx!$B$68,IF(OR(Q580="RoRo",Q580="Vehicle carrier"),L580*Alukset_fx!$B$72,IF(Q580="RoPax",L580*Alukset_fx!$B$73,IF(Q580="Container ship",L580*Alukset_fx!$B$70,IF(Q580="Barge",0,L580*Alukset_fx!$B$75))))))))</f>
        <v>0</v>
      </c>
      <c r="S580" s="210">
        <f>IF(L580=0,IF(Q580="Other dry cargo",Alukset_fx!$H$73*(Alukset_Käynnit_Lask!K580^Alukset_fx!$I$73),IF(OR(Q580="Dry Bulk",Q580="Bulk carrier"),Alukset_fx!$H$71*(Alukset_Käynnit_Lask!K580^Alukset_fx!$I$71),IF(Q580="Tugboat",Alukset_fx!$H$78*(Alukset_Käynnit_Lask!K580^Alukset_fx!$I$78),IF(OR(Q580="Tanker",Q580="Gas tanker",Q580="Chemical tanker",Q580="Oil tanker"),Alukset_fx!$H$70*(Alukset_Käynnit_Lask!K580^Alukset_fx!$I$70),IF(Q580="Container ship",Alukset_fx!$H$72*(Alukset_Käynnit_Lask!K580^Alukset_fx!$I$72),IF(Q580="Barge",0,IF(Q580="RoPax",Alukset_fx!$H$75*(Alukset_Käynnit_Lask!K580^Alukset_fx!$I$75),IF(OR(Q580="RoRo",Q580="Vehicle carrier"),Alukset_fx!$H$74*(Alukset_Käynnit_Lask!K580^Alukset_fx!$I$74),Alukset_fx!$H$77*(Alukset_Käynnit_Lask!K580^Alukset_fx!$I$77))))))))),"-")</f>
        <v>0</v>
      </c>
      <c r="T580" s="208">
        <f>IF(R580=0,IF(Q580="Other dry cargo",S580*Alukset_fx!$B$71,IF(OR(Q580="Dry bulk",Q580="Bulk carrier"),S580*Alukset_fx!$B$69,IF(Q580="Tugboat",S580*Alukset_fx!$B$76,IF(OR(Q580="Tanker",Q580="Gas tanker",Q580="Chemical tanker",Q580="Oil tanker"),S580*Alukset_fx!$B$68,IF(OR(Q580="RoRo",Q580="Vehicle carrier"),S580*Alukset_fx!$B$72,IF(Q580="RoPax",S580*Alukset_fx!$B$73,IF(Q580="Container ship",S580*Alukset_fx!$B$70,S580*Alukset_fx!$B$75))))))),"-")</f>
        <v>0</v>
      </c>
      <c r="U580" s="208">
        <f t="shared" si="102"/>
        <v>0</v>
      </c>
      <c r="V580" s="208">
        <f t="shared" si="103"/>
        <v>0</v>
      </c>
      <c r="W580" s="202">
        <f>Alukset_Käynnit!N587</f>
        <v>0</v>
      </c>
      <c r="X580" s="211">
        <f>IF(Q580="Other dry cargo", Alukset_fx!$C$52, IF(OR(Q580="Dry bulk",Q580="Bulk carrier"),Alukset_fx!$C$35,IF(OR(Q580="Tanker",Q580="Gas tanker",Q580="Oil tanker"),Alukset_fx!$C$57,IF(Q580="Chemical tanker",Alukset_fx!$C$56,IF(OR(Q580="Tugboat",Q580="Barge"),0,IF(Q580="Other vessel",Alukset_fx!$C$54,IF(Q580="Container ship",Alukset_fx!$C$37,IF(OR(Q580="RoPax",Q580="RoRo",Q580="Vehicle carrier"),Alukset_fx!$C$55,0))))))))</f>
        <v>0</v>
      </c>
      <c r="Y580" s="211">
        <f>IF(Q580="Other dry cargo", Alukset_fx!$Q$52, IF(OR(Q580="Dry bulk",Q580="Bulk carrier"),Alukset_fx!$Q$35,IF(OR(Q580="Tanker",Q580="Gas tanker",Q580="Oil tanker"),Alukset_fx!$Q$57,IF(Q580="Chemical tanker",Alukset_fx!$Q$56,IF(OR(Q580="Tugboat",Q580="Barge"),0,IF(Q580="Other vessel",Alukset_fx!$Q$54,IF(Q580="Container ship",Alukset_fx!$Q$37,IF(OR(Q580="RoPax",Q580="RoRo",Q580="Vehicle carrier"),Alukset_fx!$Q$55,0))))))))</f>
        <v>0</v>
      </c>
      <c r="Z580" t="str">
        <f t="shared" si="104"/>
        <v>MDO/MGO</v>
      </c>
      <c r="AA580" t="str">
        <f t="shared" si="105"/>
        <v>MSD</v>
      </c>
      <c r="AB580" t="str">
        <f t="shared" si="106"/>
        <v>MDO/MGO</v>
      </c>
      <c r="AC580" t="str">
        <f t="shared" si="107"/>
        <v>MSD</v>
      </c>
      <c r="AD580" t="str">
        <f t="shared" si="108"/>
        <v>MDO/MGO</v>
      </c>
      <c r="AE580" t="str">
        <f t="shared" si="109"/>
        <v>ST</v>
      </c>
      <c r="AG580">
        <f>Alukset_Käynnit!O587</f>
        <v>0</v>
      </c>
      <c r="AH580" s="207">
        <f>IF(AA580="SSD",((U580*Alukset_fx!$B$24)*Alukset_Käynnit_Lask!W580*(Alukset_fx!$K$49)/1000),IF(AA580="MSD",((U580*Alukset_fx!$B$24)*Alukset_Käynnit_Lask!W580*(Alukset_fx!$K$52)/1000),IF(AA580="HSD",((U580*Alukset_fx!$B$24)*Alukset_Käynnit_Lask!W580*(Alukset_fx!$K$55)/1000),0)))</f>
        <v>0</v>
      </c>
      <c r="AI580" s="207">
        <f>IF(AC580="MSD",((V580*Alukset_fx!$B$25)*Alukset_Käynnit_Lask!W580*(Alukset_fx!$L$52)/1000),IF(AC580="HSD",((V580*Alukset_fx!$B$25)*Alukset_Käynnit_Lask!W580*(Alukset_fx!$L$55)/1000),0))</f>
        <v>0</v>
      </c>
      <c r="AJ580" s="207">
        <f>X580*W580*Alukset_fx!$K$61/1000</f>
        <v>0</v>
      </c>
      <c r="AK580">
        <v>0</v>
      </c>
      <c r="AL580" s="207">
        <f>IF(AG580="Käytetty",0,IF(AC580="MSD",((V580*Alukset_fx!$O$25)*Alukset_Käynnit_Lask!O580*(Alukset_fx!$L$52)/1000),IF(AC580="HSD",((V580*Alukset_fx!$O$25)*Alukset_Käynnit_Lask!O580*(Alukset_fx!$L$55)/1000),0)))</f>
        <v>0</v>
      </c>
      <c r="AM580" s="207">
        <f>IF(AG580="Käytetty",0,Y580*O580*Alukset_fx!$K$61/1000)</f>
        <v>0</v>
      </c>
      <c r="AN580" s="213">
        <f t="shared" si="110"/>
        <v>0</v>
      </c>
    </row>
    <row r="581" spans="1:40" x14ac:dyDescent="0.25">
      <c r="A581" s="203">
        <f>Alukset_Käynnit!A588</f>
        <v>0</v>
      </c>
      <c r="B581" s="203">
        <f>Alukset_Käynnit!B588</f>
        <v>0</v>
      </c>
      <c r="C581" s="262">
        <f>Alukset_Käynnit!C588</f>
        <v>0</v>
      </c>
      <c r="D581" s="266">
        <f>Alukset_Käynnit!D588</f>
        <v>0</v>
      </c>
      <c r="E581" s="262">
        <f>Alukset_Käynnit!E588</f>
        <v>0</v>
      </c>
      <c r="F581" s="262">
        <f>Alukset_Käynnit!F588</f>
        <v>0</v>
      </c>
      <c r="G581" s="262">
        <f>Alukset_Käynnit!G588</f>
        <v>0</v>
      </c>
      <c r="H581" s="262">
        <f>Alukset_Käynnit!H588</f>
        <v>0</v>
      </c>
      <c r="I581" s="262">
        <f>Alukset_Käynnit!I588</f>
        <v>0</v>
      </c>
      <c r="J581" s="262">
        <f>Alukset_Käynnit!J588</f>
        <v>0</v>
      </c>
      <c r="K581" s="262">
        <f>Alukset_Käynnit!K588</f>
        <v>0</v>
      </c>
      <c r="L581" s="205">
        <f>Alukset_Käynnit!L588</f>
        <v>0</v>
      </c>
      <c r="N581" s="273">
        <f t="shared" si="111"/>
        <v>0</v>
      </c>
      <c r="O581" s="274">
        <f t="shared" si="112"/>
        <v>0</v>
      </c>
      <c r="Q581" s="204">
        <f t="shared" si="101"/>
        <v>0</v>
      </c>
      <c r="R581" s="202">
        <f>IF(Q581="Other dry cargo",L581*Alukset_fx!$B$71,IF(OR(Q581="Dry bulk",Q581="Bulk carrier"),L581*Alukset_fx!$B$69,IF(Q581="Tugboat",L581*Alukset_fx!$B$76,IF(OR(Q581="Tanker",Q581="Gas tanker",Q581="Chemical tanker",Q581="Oil tanker"),L581*Alukset_fx!$B$68,IF(OR(Q581="RoRo",Q581="Vehicle carrier"),L581*Alukset_fx!$B$72,IF(Q581="RoPax",L581*Alukset_fx!$B$73,IF(Q581="Container ship",L581*Alukset_fx!$B$70,IF(Q581="Barge",0,L581*Alukset_fx!$B$75))))))))</f>
        <v>0</v>
      </c>
      <c r="S581" s="210">
        <f>IF(L581=0,IF(Q581="Other dry cargo",Alukset_fx!$H$73*(Alukset_Käynnit_Lask!K581^Alukset_fx!$I$73),IF(OR(Q581="Dry Bulk",Q581="Bulk carrier"),Alukset_fx!$H$71*(Alukset_Käynnit_Lask!K581^Alukset_fx!$I$71),IF(Q581="Tugboat",Alukset_fx!$H$78*(Alukset_Käynnit_Lask!K581^Alukset_fx!$I$78),IF(OR(Q581="Tanker",Q581="Gas tanker",Q581="Chemical tanker",Q581="Oil tanker"),Alukset_fx!$H$70*(Alukset_Käynnit_Lask!K581^Alukset_fx!$I$70),IF(Q581="Container ship",Alukset_fx!$H$72*(Alukset_Käynnit_Lask!K581^Alukset_fx!$I$72),IF(Q581="Barge",0,IF(Q581="RoPax",Alukset_fx!$H$75*(Alukset_Käynnit_Lask!K581^Alukset_fx!$I$75),IF(OR(Q581="RoRo",Q581="Vehicle carrier"),Alukset_fx!$H$74*(Alukset_Käynnit_Lask!K581^Alukset_fx!$I$74),Alukset_fx!$H$77*(Alukset_Käynnit_Lask!K581^Alukset_fx!$I$77))))))))),"-")</f>
        <v>0</v>
      </c>
      <c r="T581" s="208">
        <f>IF(R581=0,IF(Q581="Other dry cargo",S581*Alukset_fx!$B$71,IF(OR(Q581="Dry bulk",Q581="Bulk carrier"),S581*Alukset_fx!$B$69,IF(Q581="Tugboat",S581*Alukset_fx!$B$76,IF(OR(Q581="Tanker",Q581="Gas tanker",Q581="Chemical tanker",Q581="Oil tanker"),S581*Alukset_fx!$B$68,IF(OR(Q581="RoRo",Q581="Vehicle carrier"),S581*Alukset_fx!$B$72,IF(Q581="RoPax",S581*Alukset_fx!$B$73,IF(Q581="Container ship",S581*Alukset_fx!$B$70,S581*Alukset_fx!$B$75))))))),"-")</f>
        <v>0</v>
      </c>
      <c r="U581" s="208">
        <f t="shared" si="102"/>
        <v>0</v>
      </c>
      <c r="V581" s="208">
        <f t="shared" si="103"/>
        <v>0</v>
      </c>
      <c r="W581" s="202">
        <f>Alukset_Käynnit!N588</f>
        <v>0</v>
      </c>
      <c r="X581" s="211">
        <f>IF(Q581="Other dry cargo", Alukset_fx!$C$52, IF(OR(Q581="Dry bulk",Q581="Bulk carrier"),Alukset_fx!$C$35,IF(OR(Q581="Tanker",Q581="Gas tanker",Q581="Oil tanker"),Alukset_fx!$C$57,IF(Q581="Chemical tanker",Alukset_fx!$C$56,IF(OR(Q581="Tugboat",Q581="Barge"),0,IF(Q581="Other vessel",Alukset_fx!$C$54,IF(Q581="Container ship",Alukset_fx!$C$37,IF(OR(Q581="RoPax",Q581="RoRo",Q581="Vehicle carrier"),Alukset_fx!$C$55,0))))))))</f>
        <v>0</v>
      </c>
      <c r="Y581" s="211">
        <f>IF(Q581="Other dry cargo", Alukset_fx!$Q$52, IF(OR(Q581="Dry bulk",Q581="Bulk carrier"),Alukset_fx!$Q$35,IF(OR(Q581="Tanker",Q581="Gas tanker",Q581="Oil tanker"),Alukset_fx!$Q$57,IF(Q581="Chemical tanker",Alukset_fx!$Q$56,IF(OR(Q581="Tugboat",Q581="Barge"),0,IF(Q581="Other vessel",Alukset_fx!$Q$54,IF(Q581="Container ship",Alukset_fx!$Q$37,IF(OR(Q581="RoPax",Q581="RoRo",Q581="Vehicle carrier"),Alukset_fx!$Q$55,0))))))))</f>
        <v>0</v>
      </c>
      <c r="Z581" t="str">
        <f t="shared" si="104"/>
        <v>MDO/MGO</v>
      </c>
      <c r="AA581" t="str">
        <f t="shared" si="105"/>
        <v>MSD</v>
      </c>
      <c r="AB581" t="str">
        <f t="shared" si="106"/>
        <v>MDO/MGO</v>
      </c>
      <c r="AC581" t="str">
        <f t="shared" si="107"/>
        <v>MSD</v>
      </c>
      <c r="AD581" t="str">
        <f t="shared" si="108"/>
        <v>MDO/MGO</v>
      </c>
      <c r="AE581" t="str">
        <f t="shared" si="109"/>
        <v>ST</v>
      </c>
      <c r="AG581">
        <f>Alukset_Käynnit!O588</f>
        <v>0</v>
      </c>
      <c r="AH581" s="207">
        <f>IF(AA581="SSD",((U581*Alukset_fx!$B$24)*Alukset_Käynnit_Lask!W581*(Alukset_fx!$K$49)/1000),IF(AA581="MSD",((U581*Alukset_fx!$B$24)*Alukset_Käynnit_Lask!W581*(Alukset_fx!$K$52)/1000),IF(AA581="HSD",((U581*Alukset_fx!$B$24)*Alukset_Käynnit_Lask!W581*(Alukset_fx!$K$55)/1000),0)))</f>
        <v>0</v>
      </c>
      <c r="AI581" s="207">
        <f>IF(AC581="MSD",((V581*Alukset_fx!$B$25)*Alukset_Käynnit_Lask!W581*(Alukset_fx!$L$52)/1000),IF(AC581="HSD",((V581*Alukset_fx!$B$25)*Alukset_Käynnit_Lask!W581*(Alukset_fx!$L$55)/1000),0))</f>
        <v>0</v>
      </c>
      <c r="AJ581" s="207">
        <f>X581*W581*Alukset_fx!$K$61/1000</f>
        <v>0</v>
      </c>
      <c r="AK581">
        <v>0</v>
      </c>
      <c r="AL581" s="207">
        <f>IF(AG581="Käytetty",0,IF(AC581="MSD",((V581*Alukset_fx!$O$25)*Alukset_Käynnit_Lask!O581*(Alukset_fx!$L$52)/1000),IF(AC581="HSD",((V581*Alukset_fx!$O$25)*Alukset_Käynnit_Lask!O581*(Alukset_fx!$L$55)/1000),0)))</f>
        <v>0</v>
      </c>
      <c r="AM581" s="207">
        <f>IF(AG581="Käytetty",0,Y581*O581*Alukset_fx!$K$61/1000)</f>
        <v>0</v>
      </c>
      <c r="AN581" s="213">
        <f t="shared" si="110"/>
        <v>0</v>
      </c>
    </row>
    <row r="582" spans="1:40" x14ac:dyDescent="0.25">
      <c r="A582" s="203">
        <f>Alukset_Käynnit!A589</f>
        <v>0</v>
      </c>
      <c r="B582" s="203">
        <f>Alukset_Käynnit!B589</f>
        <v>0</v>
      </c>
      <c r="C582" s="262">
        <f>Alukset_Käynnit!C589</f>
        <v>0</v>
      </c>
      <c r="D582" s="266">
        <f>Alukset_Käynnit!D589</f>
        <v>0</v>
      </c>
      <c r="E582" s="262">
        <f>Alukset_Käynnit!E589</f>
        <v>0</v>
      </c>
      <c r="F582" s="262">
        <f>Alukset_Käynnit!F589</f>
        <v>0</v>
      </c>
      <c r="G582" s="262">
        <f>Alukset_Käynnit!G589</f>
        <v>0</v>
      </c>
      <c r="H582" s="262">
        <f>Alukset_Käynnit!H589</f>
        <v>0</v>
      </c>
      <c r="I582" s="262">
        <f>Alukset_Käynnit!I589</f>
        <v>0</v>
      </c>
      <c r="J582" s="262">
        <f>Alukset_Käynnit!J589</f>
        <v>0</v>
      </c>
      <c r="K582" s="262">
        <f>Alukset_Käynnit!K589</f>
        <v>0</v>
      </c>
      <c r="L582" s="205">
        <f>Alukset_Käynnit!L589</f>
        <v>0</v>
      </c>
      <c r="N582" s="273">
        <f t="shared" si="111"/>
        <v>0</v>
      </c>
      <c r="O582" s="274">
        <f t="shared" si="112"/>
        <v>0</v>
      </c>
      <c r="Q582" s="204">
        <f t="shared" si="101"/>
        <v>0</v>
      </c>
      <c r="R582" s="202">
        <f>IF(Q582="Other dry cargo",L582*Alukset_fx!$B$71,IF(OR(Q582="Dry bulk",Q582="Bulk carrier"),L582*Alukset_fx!$B$69,IF(Q582="Tugboat",L582*Alukset_fx!$B$76,IF(OR(Q582="Tanker",Q582="Gas tanker",Q582="Chemical tanker",Q582="Oil tanker"),L582*Alukset_fx!$B$68,IF(OR(Q582="RoRo",Q582="Vehicle carrier"),L582*Alukset_fx!$B$72,IF(Q582="RoPax",L582*Alukset_fx!$B$73,IF(Q582="Container ship",L582*Alukset_fx!$B$70,IF(Q582="Barge",0,L582*Alukset_fx!$B$75))))))))</f>
        <v>0</v>
      </c>
      <c r="S582" s="210">
        <f>IF(L582=0,IF(Q582="Other dry cargo",Alukset_fx!$H$73*(Alukset_Käynnit_Lask!K582^Alukset_fx!$I$73),IF(OR(Q582="Dry Bulk",Q582="Bulk carrier"),Alukset_fx!$H$71*(Alukset_Käynnit_Lask!K582^Alukset_fx!$I$71),IF(Q582="Tugboat",Alukset_fx!$H$78*(Alukset_Käynnit_Lask!K582^Alukset_fx!$I$78),IF(OR(Q582="Tanker",Q582="Gas tanker",Q582="Chemical tanker",Q582="Oil tanker"),Alukset_fx!$H$70*(Alukset_Käynnit_Lask!K582^Alukset_fx!$I$70),IF(Q582="Container ship",Alukset_fx!$H$72*(Alukset_Käynnit_Lask!K582^Alukset_fx!$I$72),IF(Q582="Barge",0,IF(Q582="RoPax",Alukset_fx!$H$75*(Alukset_Käynnit_Lask!K582^Alukset_fx!$I$75),IF(OR(Q582="RoRo",Q582="Vehicle carrier"),Alukset_fx!$H$74*(Alukset_Käynnit_Lask!K582^Alukset_fx!$I$74),Alukset_fx!$H$77*(Alukset_Käynnit_Lask!K582^Alukset_fx!$I$77))))))))),"-")</f>
        <v>0</v>
      </c>
      <c r="T582" s="208">
        <f>IF(R582=0,IF(Q582="Other dry cargo",S582*Alukset_fx!$B$71,IF(OR(Q582="Dry bulk",Q582="Bulk carrier"),S582*Alukset_fx!$B$69,IF(Q582="Tugboat",S582*Alukset_fx!$B$76,IF(OR(Q582="Tanker",Q582="Gas tanker",Q582="Chemical tanker",Q582="Oil tanker"),S582*Alukset_fx!$B$68,IF(OR(Q582="RoRo",Q582="Vehicle carrier"),S582*Alukset_fx!$B$72,IF(Q582="RoPax",S582*Alukset_fx!$B$73,IF(Q582="Container ship",S582*Alukset_fx!$B$70,S582*Alukset_fx!$B$75))))))),"-")</f>
        <v>0</v>
      </c>
      <c r="U582" s="208">
        <f t="shared" si="102"/>
        <v>0</v>
      </c>
      <c r="V582" s="208">
        <f t="shared" si="103"/>
        <v>0</v>
      </c>
      <c r="W582" s="202">
        <f>Alukset_Käynnit!N589</f>
        <v>0</v>
      </c>
      <c r="X582" s="211">
        <f>IF(Q582="Other dry cargo", Alukset_fx!$C$52, IF(OR(Q582="Dry bulk",Q582="Bulk carrier"),Alukset_fx!$C$35,IF(OR(Q582="Tanker",Q582="Gas tanker",Q582="Oil tanker"),Alukset_fx!$C$57,IF(Q582="Chemical tanker",Alukset_fx!$C$56,IF(OR(Q582="Tugboat",Q582="Barge"),0,IF(Q582="Other vessel",Alukset_fx!$C$54,IF(Q582="Container ship",Alukset_fx!$C$37,IF(OR(Q582="RoPax",Q582="RoRo",Q582="Vehicle carrier"),Alukset_fx!$C$55,0))))))))</f>
        <v>0</v>
      </c>
      <c r="Y582" s="211">
        <f>IF(Q582="Other dry cargo", Alukset_fx!$Q$52, IF(OR(Q582="Dry bulk",Q582="Bulk carrier"),Alukset_fx!$Q$35,IF(OR(Q582="Tanker",Q582="Gas tanker",Q582="Oil tanker"),Alukset_fx!$Q$57,IF(Q582="Chemical tanker",Alukset_fx!$Q$56,IF(OR(Q582="Tugboat",Q582="Barge"),0,IF(Q582="Other vessel",Alukset_fx!$Q$54,IF(Q582="Container ship",Alukset_fx!$Q$37,IF(OR(Q582="RoPax",Q582="RoRo",Q582="Vehicle carrier"),Alukset_fx!$Q$55,0))))))))</f>
        <v>0</v>
      </c>
      <c r="Z582" t="str">
        <f t="shared" si="104"/>
        <v>MDO/MGO</v>
      </c>
      <c r="AA582" t="str">
        <f t="shared" si="105"/>
        <v>MSD</v>
      </c>
      <c r="AB582" t="str">
        <f t="shared" si="106"/>
        <v>MDO/MGO</v>
      </c>
      <c r="AC582" t="str">
        <f t="shared" si="107"/>
        <v>MSD</v>
      </c>
      <c r="AD582" t="str">
        <f t="shared" si="108"/>
        <v>MDO/MGO</v>
      </c>
      <c r="AE582" t="str">
        <f t="shared" si="109"/>
        <v>ST</v>
      </c>
      <c r="AG582">
        <f>Alukset_Käynnit!O589</f>
        <v>0</v>
      </c>
      <c r="AH582" s="207">
        <f>IF(AA582="SSD",((U582*Alukset_fx!$B$24)*Alukset_Käynnit_Lask!W582*(Alukset_fx!$K$49)/1000),IF(AA582="MSD",((U582*Alukset_fx!$B$24)*Alukset_Käynnit_Lask!W582*(Alukset_fx!$K$52)/1000),IF(AA582="HSD",((U582*Alukset_fx!$B$24)*Alukset_Käynnit_Lask!W582*(Alukset_fx!$K$55)/1000),0)))</f>
        <v>0</v>
      </c>
      <c r="AI582" s="207">
        <f>IF(AC582="MSD",((V582*Alukset_fx!$B$25)*Alukset_Käynnit_Lask!W582*(Alukset_fx!$L$52)/1000),IF(AC582="HSD",((V582*Alukset_fx!$B$25)*Alukset_Käynnit_Lask!W582*(Alukset_fx!$L$55)/1000),0))</f>
        <v>0</v>
      </c>
      <c r="AJ582" s="207">
        <f>X582*W582*Alukset_fx!$K$61/1000</f>
        <v>0</v>
      </c>
      <c r="AK582">
        <v>0</v>
      </c>
      <c r="AL582" s="207">
        <f>IF(AG582="Käytetty",0,IF(AC582="MSD",((V582*Alukset_fx!$O$25)*Alukset_Käynnit_Lask!O582*(Alukset_fx!$L$52)/1000),IF(AC582="HSD",((V582*Alukset_fx!$O$25)*Alukset_Käynnit_Lask!O582*(Alukset_fx!$L$55)/1000),0)))</f>
        <v>0</v>
      </c>
      <c r="AM582" s="207">
        <f>IF(AG582="Käytetty",0,Y582*O582*Alukset_fx!$K$61/1000)</f>
        <v>0</v>
      </c>
      <c r="AN582" s="213">
        <f t="shared" si="110"/>
        <v>0</v>
      </c>
    </row>
    <row r="583" spans="1:40" x14ac:dyDescent="0.25">
      <c r="A583" s="203">
        <f>Alukset_Käynnit!A590</f>
        <v>0</v>
      </c>
      <c r="B583" s="203">
        <f>Alukset_Käynnit!B590</f>
        <v>0</v>
      </c>
      <c r="C583" s="262">
        <f>Alukset_Käynnit!C590</f>
        <v>0</v>
      </c>
      <c r="D583" s="266">
        <f>Alukset_Käynnit!D590</f>
        <v>0</v>
      </c>
      <c r="E583" s="262">
        <f>Alukset_Käynnit!E590</f>
        <v>0</v>
      </c>
      <c r="F583" s="262">
        <f>Alukset_Käynnit!F590</f>
        <v>0</v>
      </c>
      <c r="G583" s="262">
        <f>Alukset_Käynnit!G590</f>
        <v>0</v>
      </c>
      <c r="H583" s="262">
        <f>Alukset_Käynnit!H590</f>
        <v>0</v>
      </c>
      <c r="I583" s="262">
        <f>Alukset_Käynnit!I590</f>
        <v>0</v>
      </c>
      <c r="J583" s="262">
        <f>Alukset_Käynnit!J590</f>
        <v>0</v>
      </c>
      <c r="K583" s="262">
        <f>Alukset_Käynnit!K590</f>
        <v>0</v>
      </c>
      <c r="L583" s="205">
        <f>Alukset_Käynnit!L590</f>
        <v>0</v>
      </c>
      <c r="N583" s="273">
        <f t="shared" si="111"/>
        <v>0</v>
      </c>
      <c r="O583" s="274">
        <f t="shared" si="112"/>
        <v>0</v>
      </c>
      <c r="Q583" s="204">
        <f t="shared" si="101"/>
        <v>0</v>
      </c>
      <c r="R583" s="202">
        <f>IF(Q583="Other dry cargo",L583*Alukset_fx!$B$71,IF(OR(Q583="Dry bulk",Q583="Bulk carrier"),L583*Alukset_fx!$B$69,IF(Q583="Tugboat",L583*Alukset_fx!$B$76,IF(OR(Q583="Tanker",Q583="Gas tanker",Q583="Chemical tanker",Q583="Oil tanker"),L583*Alukset_fx!$B$68,IF(OR(Q583="RoRo",Q583="Vehicle carrier"),L583*Alukset_fx!$B$72,IF(Q583="RoPax",L583*Alukset_fx!$B$73,IF(Q583="Container ship",L583*Alukset_fx!$B$70,IF(Q583="Barge",0,L583*Alukset_fx!$B$75))))))))</f>
        <v>0</v>
      </c>
      <c r="S583" s="210">
        <f>IF(L583=0,IF(Q583="Other dry cargo",Alukset_fx!$H$73*(Alukset_Käynnit_Lask!K583^Alukset_fx!$I$73),IF(OR(Q583="Dry Bulk",Q583="Bulk carrier"),Alukset_fx!$H$71*(Alukset_Käynnit_Lask!K583^Alukset_fx!$I$71),IF(Q583="Tugboat",Alukset_fx!$H$78*(Alukset_Käynnit_Lask!K583^Alukset_fx!$I$78),IF(OR(Q583="Tanker",Q583="Gas tanker",Q583="Chemical tanker",Q583="Oil tanker"),Alukset_fx!$H$70*(Alukset_Käynnit_Lask!K583^Alukset_fx!$I$70),IF(Q583="Container ship",Alukset_fx!$H$72*(Alukset_Käynnit_Lask!K583^Alukset_fx!$I$72),IF(Q583="Barge",0,IF(Q583="RoPax",Alukset_fx!$H$75*(Alukset_Käynnit_Lask!K583^Alukset_fx!$I$75),IF(OR(Q583="RoRo",Q583="Vehicle carrier"),Alukset_fx!$H$74*(Alukset_Käynnit_Lask!K583^Alukset_fx!$I$74),Alukset_fx!$H$77*(Alukset_Käynnit_Lask!K583^Alukset_fx!$I$77))))))))),"-")</f>
        <v>0</v>
      </c>
      <c r="T583" s="208">
        <f>IF(R583=0,IF(Q583="Other dry cargo",S583*Alukset_fx!$B$71,IF(OR(Q583="Dry bulk",Q583="Bulk carrier"),S583*Alukset_fx!$B$69,IF(Q583="Tugboat",S583*Alukset_fx!$B$76,IF(OR(Q583="Tanker",Q583="Gas tanker",Q583="Chemical tanker",Q583="Oil tanker"),S583*Alukset_fx!$B$68,IF(OR(Q583="RoRo",Q583="Vehicle carrier"),S583*Alukset_fx!$B$72,IF(Q583="RoPax",S583*Alukset_fx!$B$73,IF(Q583="Container ship",S583*Alukset_fx!$B$70,S583*Alukset_fx!$B$75))))))),"-")</f>
        <v>0</v>
      </c>
      <c r="U583" s="208">
        <f t="shared" si="102"/>
        <v>0</v>
      </c>
      <c r="V583" s="208">
        <f t="shared" si="103"/>
        <v>0</v>
      </c>
      <c r="W583" s="202">
        <f>Alukset_Käynnit!N590</f>
        <v>0</v>
      </c>
      <c r="X583" s="211">
        <f>IF(Q583="Other dry cargo", Alukset_fx!$C$52, IF(OR(Q583="Dry bulk",Q583="Bulk carrier"),Alukset_fx!$C$35,IF(OR(Q583="Tanker",Q583="Gas tanker",Q583="Oil tanker"),Alukset_fx!$C$57,IF(Q583="Chemical tanker",Alukset_fx!$C$56,IF(OR(Q583="Tugboat",Q583="Barge"),0,IF(Q583="Other vessel",Alukset_fx!$C$54,IF(Q583="Container ship",Alukset_fx!$C$37,IF(OR(Q583="RoPax",Q583="RoRo",Q583="Vehicle carrier"),Alukset_fx!$C$55,0))))))))</f>
        <v>0</v>
      </c>
      <c r="Y583" s="211">
        <f>IF(Q583="Other dry cargo", Alukset_fx!$Q$52, IF(OR(Q583="Dry bulk",Q583="Bulk carrier"),Alukset_fx!$Q$35,IF(OR(Q583="Tanker",Q583="Gas tanker",Q583="Oil tanker"),Alukset_fx!$Q$57,IF(Q583="Chemical tanker",Alukset_fx!$Q$56,IF(OR(Q583="Tugboat",Q583="Barge"),0,IF(Q583="Other vessel",Alukset_fx!$Q$54,IF(Q583="Container ship",Alukset_fx!$Q$37,IF(OR(Q583="RoPax",Q583="RoRo",Q583="Vehicle carrier"),Alukset_fx!$Q$55,0))))))))</f>
        <v>0</v>
      </c>
      <c r="Z583" t="str">
        <f t="shared" si="104"/>
        <v>MDO/MGO</v>
      </c>
      <c r="AA583" t="str">
        <f t="shared" si="105"/>
        <v>MSD</v>
      </c>
      <c r="AB583" t="str">
        <f t="shared" si="106"/>
        <v>MDO/MGO</v>
      </c>
      <c r="AC583" t="str">
        <f t="shared" si="107"/>
        <v>MSD</v>
      </c>
      <c r="AD583" t="str">
        <f t="shared" si="108"/>
        <v>MDO/MGO</v>
      </c>
      <c r="AE583" t="str">
        <f t="shared" si="109"/>
        <v>ST</v>
      </c>
      <c r="AG583">
        <f>Alukset_Käynnit!O590</f>
        <v>0</v>
      </c>
      <c r="AH583" s="207">
        <f>IF(AA583="SSD",((U583*Alukset_fx!$B$24)*Alukset_Käynnit_Lask!W583*(Alukset_fx!$K$49)/1000),IF(AA583="MSD",((U583*Alukset_fx!$B$24)*Alukset_Käynnit_Lask!W583*(Alukset_fx!$K$52)/1000),IF(AA583="HSD",((U583*Alukset_fx!$B$24)*Alukset_Käynnit_Lask!W583*(Alukset_fx!$K$55)/1000),0)))</f>
        <v>0</v>
      </c>
      <c r="AI583" s="207">
        <f>IF(AC583="MSD",((V583*Alukset_fx!$B$25)*Alukset_Käynnit_Lask!W583*(Alukset_fx!$L$52)/1000),IF(AC583="HSD",((V583*Alukset_fx!$B$25)*Alukset_Käynnit_Lask!W583*(Alukset_fx!$L$55)/1000),0))</f>
        <v>0</v>
      </c>
      <c r="AJ583" s="207">
        <f>X583*W583*Alukset_fx!$K$61/1000</f>
        <v>0</v>
      </c>
      <c r="AK583">
        <v>0</v>
      </c>
      <c r="AL583" s="207">
        <f>IF(AG583="Käytetty",0,IF(AC583="MSD",((V583*Alukset_fx!$O$25)*Alukset_Käynnit_Lask!O583*(Alukset_fx!$L$52)/1000),IF(AC583="HSD",((V583*Alukset_fx!$O$25)*Alukset_Käynnit_Lask!O583*(Alukset_fx!$L$55)/1000),0)))</f>
        <v>0</v>
      </c>
      <c r="AM583" s="207">
        <f>IF(AG583="Käytetty",0,Y583*O583*Alukset_fx!$K$61/1000)</f>
        <v>0</v>
      </c>
      <c r="AN583" s="213">
        <f t="shared" si="110"/>
        <v>0</v>
      </c>
    </row>
    <row r="584" spans="1:40" x14ac:dyDescent="0.25">
      <c r="A584" s="203">
        <f>Alukset_Käynnit!A591</f>
        <v>0</v>
      </c>
      <c r="B584" s="203">
        <f>Alukset_Käynnit!B591</f>
        <v>0</v>
      </c>
      <c r="C584" s="262">
        <f>Alukset_Käynnit!C591</f>
        <v>0</v>
      </c>
      <c r="D584" s="266">
        <f>Alukset_Käynnit!D591</f>
        <v>0</v>
      </c>
      <c r="E584" s="262">
        <f>Alukset_Käynnit!E591</f>
        <v>0</v>
      </c>
      <c r="F584" s="262">
        <f>Alukset_Käynnit!F591</f>
        <v>0</v>
      </c>
      <c r="G584" s="262">
        <f>Alukset_Käynnit!G591</f>
        <v>0</v>
      </c>
      <c r="H584" s="262">
        <f>Alukset_Käynnit!H591</f>
        <v>0</v>
      </c>
      <c r="I584" s="262">
        <f>Alukset_Käynnit!I591</f>
        <v>0</v>
      </c>
      <c r="J584" s="262">
        <f>Alukset_Käynnit!J591</f>
        <v>0</v>
      </c>
      <c r="K584" s="262">
        <f>Alukset_Käynnit!K591</f>
        <v>0</v>
      </c>
      <c r="L584" s="205">
        <f>Alukset_Käynnit!L591</f>
        <v>0</v>
      </c>
      <c r="N584" s="273">
        <f t="shared" si="111"/>
        <v>0</v>
      </c>
      <c r="O584" s="274">
        <f t="shared" si="112"/>
        <v>0</v>
      </c>
      <c r="Q584" s="204">
        <f t="shared" si="101"/>
        <v>0</v>
      </c>
      <c r="R584" s="202">
        <f>IF(Q584="Other dry cargo",L584*Alukset_fx!$B$71,IF(OR(Q584="Dry bulk",Q584="Bulk carrier"),L584*Alukset_fx!$B$69,IF(Q584="Tugboat",L584*Alukset_fx!$B$76,IF(OR(Q584="Tanker",Q584="Gas tanker",Q584="Chemical tanker",Q584="Oil tanker"),L584*Alukset_fx!$B$68,IF(OR(Q584="RoRo",Q584="Vehicle carrier"),L584*Alukset_fx!$B$72,IF(Q584="RoPax",L584*Alukset_fx!$B$73,IF(Q584="Container ship",L584*Alukset_fx!$B$70,IF(Q584="Barge",0,L584*Alukset_fx!$B$75))))))))</f>
        <v>0</v>
      </c>
      <c r="S584" s="210">
        <f>IF(L584=0,IF(Q584="Other dry cargo",Alukset_fx!$H$73*(Alukset_Käynnit_Lask!K584^Alukset_fx!$I$73),IF(OR(Q584="Dry Bulk",Q584="Bulk carrier"),Alukset_fx!$H$71*(Alukset_Käynnit_Lask!K584^Alukset_fx!$I$71),IF(Q584="Tugboat",Alukset_fx!$H$78*(Alukset_Käynnit_Lask!K584^Alukset_fx!$I$78),IF(OR(Q584="Tanker",Q584="Gas tanker",Q584="Chemical tanker",Q584="Oil tanker"),Alukset_fx!$H$70*(Alukset_Käynnit_Lask!K584^Alukset_fx!$I$70),IF(Q584="Container ship",Alukset_fx!$H$72*(Alukset_Käynnit_Lask!K584^Alukset_fx!$I$72),IF(Q584="Barge",0,IF(Q584="RoPax",Alukset_fx!$H$75*(Alukset_Käynnit_Lask!K584^Alukset_fx!$I$75),IF(OR(Q584="RoRo",Q584="Vehicle carrier"),Alukset_fx!$H$74*(Alukset_Käynnit_Lask!K584^Alukset_fx!$I$74),Alukset_fx!$H$77*(Alukset_Käynnit_Lask!K584^Alukset_fx!$I$77))))))))),"-")</f>
        <v>0</v>
      </c>
      <c r="T584" s="208">
        <f>IF(R584=0,IF(Q584="Other dry cargo",S584*Alukset_fx!$B$71,IF(OR(Q584="Dry bulk",Q584="Bulk carrier"),S584*Alukset_fx!$B$69,IF(Q584="Tugboat",S584*Alukset_fx!$B$76,IF(OR(Q584="Tanker",Q584="Gas tanker",Q584="Chemical tanker",Q584="Oil tanker"),S584*Alukset_fx!$B$68,IF(OR(Q584="RoRo",Q584="Vehicle carrier"),S584*Alukset_fx!$B$72,IF(Q584="RoPax",S584*Alukset_fx!$B$73,IF(Q584="Container ship",S584*Alukset_fx!$B$70,S584*Alukset_fx!$B$75))))))),"-")</f>
        <v>0</v>
      </c>
      <c r="U584" s="208">
        <f t="shared" si="102"/>
        <v>0</v>
      </c>
      <c r="V584" s="208">
        <f t="shared" si="103"/>
        <v>0</v>
      </c>
      <c r="W584" s="202">
        <f>Alukset_Käynnit!N591</f>
        <v>0</v>
      </c>
      <c r="X584" s="211">
        <f>IF(Q584="Other dry cargo", Alukset_fx!$C$52, IF(OR(Q584="Dry bulk",Q584="Bulk carrier"),Alukset_fx!$C$35,IF(OR(Q584="Tanker",Q584="Gas tanker",Q584="Oil tanker"),Alukset_fx!$C$57,IF(Q584="Chemical tanker",Alukset_fx!$C$56,IF(OR(Q584="Tugboat",Q584="Barge"),0,IF(Q584="Other vessel",Alukset_fx!$C$54,IF(Q584="Container ship",Alukset_fx!$C$37,IF(OR(Q584="RoPax",Q584="RoRo",Q584="Vehicle carrier"),Alukset_fx!$C$55,0))))))))</f>
        <v>0</v>
      </c>
      <c r="Y584" s="211">
        <f>IF(Q584="Other dry cargo", Alukset_fx!$Q$52, IF(OR(Q584="Dry bulk",Q584="Bulk carrier"),Alukset_fx!$Q$35,IF(OR(Q584="Tanker",Q584="Gas tanker",Q584="Oil tanker"),Alukset_fx!$Q$57,IF(Q584="Chemical tanker",Alukset_fx!$Q$56,IF(OR(Q584="Tugboat",Q584="Barge"),0,IF(Q584="Other vessel",Alukset_fx!$Q$54,IF(Q584="Container ship",Alukset_fx!$Q$37,IF(OR(Q584="RoPax",Q584="RoRo",Q584="Vehicle carrier"),Alukset_fx!$Q$55,0))))))))</f>
        <v>0</v>
      </c>
      <c r="Z584" t="str">
        <f t="shared" si="104"/>
        <v>MDO/MGO</v>
      </c>
      <c r="AA584" t="str">
        <f t="shared" si="105"/>
        <v>MSD</v>
      </c>
      <c r="AB584" t="str">
        <f t="shared" si="106"/>
        <v>MDO/MGO</v>
      </c>
      <c r="AC584" t="str">
        <f t="shared" si="107"/>
        <v>MSD</v>
      </c>
      <c r="AD584" t="str">
        <f t="shared" si="108"/>
        <v>MDO/MGO</v>
      </c>
      <c r="AE584" t="str">
        <f t="shared" si="109"/>
        <v>ST</v>
      </c>
      <c r="AG584">
        <f>Alukset_Käynnit!O591</f>
        <v>0</v>
      </c>
      <c r="AH584" s="207">
        <f>IF(AA584="SSD",((U584*Alukset_fx!$B$24)*Alukset_Käynnit_Lask!W584*(Alukset_fx!$K$49)/1000),IF(AA584="MSD",((U584*Alukset_fx!$B$24)*Alukset_Käynnit_Lask!W584*(Alukset_fx!$K$52)/1000),IF(AA584="HSD",((U584*Alukset_fx!$B$24)*Alukset_Käynnit_Lask!W584*(Alukset_fx!$K$55)/1000),0)))</f>
        <v>0</v>
      </c>
      <c r="AI584" s="207">
        <f>IF(AC584="MSD",((V584*Alukset_fx!$B$25)*Alukset_Käynnit_Lask!W584*(Alukset_fx!$L$52)/1000),IF(AC584="HSD",((V584*Alukset_fx!$B$25)*Alukset_Käynnit_Lask!W584*(Alukset_fx!$L$55)/1000),0))</f>
        <v>0</v>
      </c>
      <c r="AJ584" s="207">
        <f>X584*W584*Alukset_fx!$K$61/1000</f>
        <v>0</v>
      </c>
      <c r="AK584">
        <v>0</v>
      </c>
      <c r="AL584" s="207">
        <f>IF(AG584="Käytetty",0,IF(AC584="MSD",((V584*Alukset_fx!$O$25)*Alukset_Käynnit_Lask!O584*(Alukset_fx!$L$52)/1000),IF(AC584="HSD",((V584*Alukset_fx!$O$25)*Alukset_Käynnit_Lask!O584*(Alukset_fx!$L$55)/1000),0)))</f>
        <v>0</v>
      </c>
      <c r="AM584" s="207">
        <f>IF(AG584="Käytetty",0,Y584*O584*Alukset_fx!$K$61/1000)</f>
        <v>0</v>
      </c>
      <c r="AN584" s="213">
        <f t="shared" si="110"/>
        <v>0</v>
      </c>
    </row>
    <row r="585" spans="1:40" x14ac:dyDescent="0.25">
      <c r="A585" s="203">
        <f>Alukset_Käynnit!A592</f>
        <v>0</v>
      </c>
      <c r="B585" s="203">
        <f>Alukset_Käynnit!B592</f>
        <v>0</v>
      </c>
      <c r="C585" s="262">
        <f>Alukset_Käynnit!C592</f>
        <v>0</v>
      </c>
      <c r="D585" s="266">
        <f>Alukset_Käynnit!D592</f>
        <v>0</v>
      </c>
      <c r="E585" s="262">
        <f>Alukset_Käynnit!E592</f>
        <v>0</v>
      </c>
      <c r="F585" s="262">
        <f>Alukset_Käynnit!F592</f>
        <v>0</v>
      </c>
      <c r="G585" s="262">
        <f>Alukset_Käynnit!G592</f>
        <v>0</v>
      </c>
      <c r="H585" s="262">
        <f>Alukset_Käynnit!H592</f>
        <v>0</v>
      </c>
      <c r="I585" s="262">
        <f>Alukset_Käynnit!I592</f>
        <v>0</v>
      </c>
      <c r="J585" s="262">
        <f>Alukset_Käynnit!J592</f>
        <v>0</v>
      </c>
      <c r="K585" s="262">
        <f>Alukset_Käynnit!K592</f>
        <v>0</v>
      </c>
      <c r="L585" s="205">
        <f>Alukset_Käynnit!L592</f>
        <v>0</v>
      </c>
      <c r="N585" s="273">
        <f t="shared" si="111"/>
        <v>0</v>
      </c>
      <c r="O585" s="274">
        <f t="shared" si="112"/>
        <v>0</v>
      </c>
      <c r="Q585" s="204">
        <f t="shared" si="101"/>
        <v>0</v>
      </c>
      <c r="R585" s="202">
        <f>IF(Q585="Other dry cargo",L585*Alukset_fx!$B$71,IF(OR(Q585="Dry bulk",Q585="Bulk carrier"),L585*Alukset_fx!$B$69,IF(Q585="Tugboat",L585*Alukset_fx!$B$76,IF(OR(Q585="Tanker",Q585="Gas tanker",Q585="Chemical tanker",Q585="Oil tanker"),L585*Alukset_fx!$B$68,IF(OR(Q585="RoRo",Q585="Vehicle carrier"),L585*Alukset_fx!$B$72,IF(Q585="RoPax",L585*Alukset_fx!$B$73,IF(Q585="Container ship",L585*Alukset_fx!$B$70,IF(Q585="Barge",0,L585*Alukset_fx!$B$75))))))))</f>
        <v>0</v>
      </c>
      <c r="S585" s="210">
        <f>IF(L585=0,IF(Q585="Other dry cargo",Alukset_fx!$H$73*(Alukset_Käynnit_Lask!K585^Alukset_fx!$I$73),IF(OR(Q585="Dry Bulk",Q585="Bulk carrier"),Alukset_fx!$H$71*(Alukset_Käynnit_Lask!K585^Alukset_fx!$I$71),IF(Q585="Tugboat",Alukset_fx!$H$78*(Alukset_Käynnit_Lask!K585^Alukset_fx!$I$78),IF(OR(Q585="Tanker",Q585="Gas tanker",Q585="Chemical tanker",Q585="Oil tanker"),Alukset_fx!$H$70*(Alukset_Käynnit_Lask!K585^Alukset_fx!$I$70),IF(Q585="Container ship",Alukset_fx!$H$72*(Alukset_Käynnit_Lask!K585^Alukset_fx!$I$72),IF(Q585="Barge",0,IF(Q585="RoPax",Alukset_fx!$H$75*(Alukset_Käynnit_Lask!K585^Alukset_fx!$I$75),IF(OR(Q585="RoRo",Q585="Vehicle carrier"),Alukset_fx!$H$74*(Alukset_Käynnit_Lask!K585^Alukset_fx!$I$74),Alukset_fx!$H$77*(Alukset_Käynnit_Lask!K585^Alukset_fx!$I$77))))))))),"-")</f>
        <v>0</v>
      </c>
      <c r="T585" s="208">
        <f>IF(R585=0,IF(Q585="Other dry cargo",S585*Alukset_fx!$B$71,IF(OR(Q585="Dry bulk",Q585="Bulk carrier"),S585*Alukset_fx!$B$69,IF(Q585="Tugboat",S585*Alukset_fx!$B$76,IF(OR(Q585="Tanker",Q585="Gas tanker",Q585="Chemical tanker",Q585="Oil tanker"),S585*Alukset_fx!$B$68,IF(OR(Q585="RoRo",Q585="Vehicle carrier"),S585*Alukset_fx!$B$72,IF(Q585="RoPax",S585*Alukset_fx!$B$73,IF(Q585="Container ship",S585*Alukset_fx!$B$70,S585*Alukset_fx!$B$75))))))),"-")</f>
        <v>0</v>
      </c>
      <c r="U585" s="208">
        <f t="shared" si="102"/>
        <v>0</v>
      </c>
      <c r="V585" s="208">
        <f t="shared" si="103"/>
        <v>0</v>
      </c>
      <c r="W585" s="202">
        <f>Alukset_Käynnit!N592</f>
        <v>0</v>
      </c>
      <c r="X585" s="211">
        <f>IF(Q585="Other dry cargo", Alukset_fx!$C$52, IF(OR(Q585="Dry bulk",Q585="Bulk carrier"),Alukset_fx!$C$35,IF(OR(Q585="Tanker",Q585="Gas tanker",Q585="Oil tanker"),Alukset_fx!$C$57,IF(Q585="Chemical tanker",Alukset_fx!$C$56,IF(OR(Q585="Tugboat",Q585="Barge"),0,IF(Q585="Other vessel",Alukset_fx!$C$54,IF(Q585="Container ship",Alukset_fx!$C$37,IF(OR(Q585="RoPax",Q585="RoRo",Q585="Vehicle carrier"),Alukset_fx!$C$55,0))))))))</f>
        <v>0</v>
      </c>
      <c r="Y585" s="211">
        <f>IF(Q585="Other dry cargo", Alukset_fx!$Q$52, IF(OR(Q585="Dry bulk",Q585="Bulk carrier"),Alukset_fx!$Q$35,IF(OR(Q585="Tanker",Q585="Gas tanker",Q585="Oil tanker"),Alukset_fx!$Q$57,IF(Q585="Chemical tanker",Alukset_fx!$Q$56,IF(OR(Q585="Tugboat",Q585="Barge"),0,IF(Q585="Other vessel",Alukset_fx!$Q$54,IF(Q585="Container ship",Alukset_fx!$Q$37,IF(OR(Q585="RoPax",Q585="RoRo",Q585="Vehicle carrier"),Alukset_fx!$Q$55,0))))))))</f>
        <v>0</v>
      </c>
      <c r="Z585" t="str">
        <f t="shared" si="104"/>
        <v>MDO/MGO</v>
      </c>
      <c r="AA585" t="str">
        <f t="shared" si="105"/>
        <v>MSD</v>
      </c>
      <c r="AB585" t="str">
        <f t="shared" si="106"/>
        <v>MDO/MGO</v>
      </c>
      <c r="AC585" t="str">
        <f t="shared" si="107"/>
        <v>MSD</v>
      </c>
      <c r="AD585" t="str">
        <f t="shared" si="108"/>
        <v>MDO/MGO</v>
      </c>
      <c r="AE585" t="str">
        <f t="shared" si="109"/>
        <v>ST</v>
      </c>
      <c r="AG585">
        <f>Alukset_Käynnit!O592</f>
        <v>0</v>
      </c>
      <c r="AH585" s="207">
        <f>IF(AA585="SSD",((U585*Alukset_fx!$B$24)*Alukset_Käynnit_Lask!W585*(Alukset_fx!$K$49)/1000),IF(AA585="MSD",((U585*Alukset_fx!$B$24)*Alukset_Käynnit_Lask!W585*(Alukset_fx!$K$52)/1000),IF(AA585="HSD",((U585*Alukset_fx!$B$24)*Alukset_Käynnit_Lask!W585*(Alukset_fx!$K$55)/1000),0)))</f>
        <v>0</v>
      </c>
      <c r="AI585" s="207">
        <f>IF(AC585="MSD",((V585*Alukset_fx!$B$25)*Alukset_Käynnit_Lask!W585*(Alukset_fx!$L$52)/1000),IF(AC585="HSD",((V585*Alukset_fx!$B$25)*Alukset_Käynnit_Lask!W585*(Alukset_fx!$L$55)/1000),0))</f>
        <v>0</v>
      </c>
      <c r="AJ585" s="207">
        <f>X585*W585*Alukset_fx!$K$61/1000</f>
        <v>0</v>
      </c>
      <c r="AK585">
        <v>0</v>
      </c>
      <c r="AL585" s="207">
        <f>IF(AG585="Käytetty",0,IF(AC585="MSD",((V585*Alukset_fx!$O$25)*Alukset_Käynnit_Lask!O585*(Alukset_fx!$L$52)/1000),IF(AC585="HSD",((V585*Alukset_fx!$O$25)*Alukset_Käynnit_Lask!O585*(Alukset_fx!$L$55)/1000),0)))</f>
        <v>0</v>
      </c>
      <c r="AM585" s="207">
        <f>IF(AG585="Käytetty",0,Y585*O585*Alukset_fx!$K$61/1000)</f>
        <v>0</v>
      </c>
      <c r="AN585" s="213">
        <f t="shared" si="110"/>
        <v>0</v>
      </c>
    </row>
    <row r="586" spans="1:40" x14ac:dyDescent="0.25">
      <c r="A586" s="203">
        <f>Alukset_Käynnit!A593</f>
        <v>0</v>
      </c>
      <c r="B586" s="203">
        <f>Alukset_Käynnit!B593</f>
        <v>0</v>
      </c>
      <c r="C586" s="262">
        <f>Alukset_Käynnit!C593</f>
        <v>0</v>
      </c>
      <c r="D586" s="266">
        <f>Alukset_Käynnit!D593</f>
        <v>0</v>
      </c>
      <c r="E586" s="262">
        <f>Alukset_Käynnit!E593</f>
        <v>0</v>
      </c>
      <c r="F586" s="262">
        <f>Alukset_Käynnit!F593</f>
        <v>0</v>
      </c>
      <c r="G586" s="262">
        <f>Alukset_Käynnit!G593</f>
        <v>0</v>
      </c>
      <c r="H586" s="262">
        <f>Alukset_Käynnit!H593</f>
        <v>0</v>
      </c>
      <c r="I586" s="262">
        <f>Alukset_Käynnit!I593</f>
        <v>0</v>
      </c>
      <c r="J586" s="262">
        <f>Alukset_Käynnit!J593</f>
        <v>0</v>
      </c>
      <c r="K586" s="262">
        <f>Alukset_Käynnit!K593</f>
        <v>0</v>
      </c>
      <c r="L586" s="205">
        <f>Alukset_Käynnit!L593</f>
        <v>0</v>
      </c>
      <c r="N586" s="273">
        <f t="shared" si="111"/>
        <v>0</v>
      </c>
      <c r="O586" s="274">
        <f t="shared" si="112"/>
        <v>0</v>
      </c>
      <c r="Q586" s="204">
        <f t="shared" si="101"/>
        <v>0</v>
      </c>
      <c r="R586" s="202">
        <f>IF(Q586="Other dry cargo",L586*Alukset_fx!$B$71,IF(OR(Q586="Dry bulk",Q586="Bulk carrier"),L586*Alukset_fx!$B$69,IF(Q586="Tugboat",L586*Alukset_fx!$B$76,IF(OR(Q586="Tanker",Q586="Gas tanker",Q586="Chemical tanker",Q586="Oil tanker"),L586*Alukset_fx!$B$68,IF(OR(Q586="RoRo",Q586="Vehicle carrier"),L586*Alukset_fx!$B$72,IF(Q586="RoPax",L586*Alukset_fx!$B$73,IF(Q586="Container ship",L586*Alukset_fx!$B$70,IF(Q586="Barge",0,L586*Alukset_fx!$B$75))))))))</f>
        <v>0</v>
      </c>
      <c r="S586" s="210">
        <f>IF(L586=0,IF(Q586="Other dry cargo",Alukset_fx!$H$73*(Alukset_Käynnit_Lask!K586^Alukset_fx!$I$73),IF(OR(Q586="Dry Bulk",Q586="Bulk carrier"),Alukset_fx!$H$71*(Alukset_Käynnit_Lask!K586^Alukset_fx!$I$71),IF(Q586="Tugboat",Alukset_fx!$H$78*(Alukset_Käynnit_Lask!K586^Alukset_fx!$I$78),IF(OR(Q586="Tanker",Q586="Gas tanker",Q586="Chemical tanker",Q586="Oil tanker"),Alukset_fx!$H$70*(Alukset_Käynnit_Lask!K586^Alukset_fx!$I$70),IF(Q586="Container ship",Alukset_fx!$H$72*(Alukset_Käynnit_Lask!K586^Alukset_fx!$I$72),IF(Q586="Barge",0,IF(Q586="RoPax",Alukset_fx!$H$75*(Alukset_Käynnit_Lask!K586^Alukset_fx!$I$75),IF(OR(Q586="RoRo",Q586="Vehicle carrier"),Alukset_fx!$H$74*(Alukset_Käynnit_Lask!K586^Alukset_fx!$I$74),Alukset_fx!$H$77*(Alukset_Käynnit_Lask!K586^Alukset_fx!$I$77))))))))),"-")</f>
        <v>0</v>
      </c>
      <c r="T586" s="208">
        <f>IF(R586=0,IF(Q586="Other dry cargo",S586*Alukset_fx!$B$71,IF(OR(Q586="Dry bulk",Q586="Bulk carrier"),S586*Alukset_fx!$B$69,IF(Q586="Tugboat",S586*Alukset_fx!$B$76,IF(OR(Q586="Tanker",Q586="Gas tanker",Q586="Chemical tanker",Q586="Oil tanker"),S586*Alukset_fx!$B$68,IF(OR(Q586="RoRo",Q586="Vehicle carrier"),S586*Alukset_fx!$B$72,IF(Q586="RoPax",S586*Alukset_fx!$B$73,IF(Q586="Container ship",S586*Alukset_fx!$B$70,S586*Alukset_fx!$B$75))))))),"-")</f>
        <v>0</v>
      </c>
      <c r="U586" s="208">
        <f t="shared" si="102"/>
        <v>0</v>
      </c>
      <c r="V586" s="208">
        <f t="shared" si="103"/>
        <v>0</v>
      </c>
      <c r="W586" s="202">
        <f>Alukset_Käynnit!N593</f>
        <v>0</v>
      </c>
      <c r="X586" s="211">
        <f>IF(Q586="Other dry cargo", Alukset_fx!$C$52, IF(OR(Q586="Dry bulk",Q586="Bulk carrier"),Alukset_fx!$C$35,IF(OR(Q586="Tanker",Q586="Gas tanker",Q586="Oil tanker"),Alukset_fx!$C$57,IF(Q586="Chemical tanker",Alukset_fx!$C$56,IF(OR(Q586="Tugboat",Q586="Barge"),0,IF(Q586="Other vessel",Alukset_fx!$C$54,IF(Q586="Container ship",Alukset_fx!$C$37,IF(OR(Q586="RoPax",Q586="RoRo",Q586="Vehicle carrier"),Alukset_fx!$C$55,0))))))))</f>
        <v>0</v>
      </c>
      <c r="Y586" s="211">
        <f>IF(Q586="Other dry cargo", Alukset_fx!$Q$52, IF(OR(Q586="Dry bulk",Q586="Bulk carrier"),Alukset_fx!$Q$35,IF(OR(Q586="Tanker",Q586="Gas tanker",Q586="Oil tanker"),Alukset_fx!$Q$57,IF(Q586="Chemical tanker",Alukset_fx!$Q$56,IF(OR(Q586="Tugboat",Q586="Barge"),0,IF(Q586="Other vessel",Alukset_fx!$Q$54,IF(Q586="Container ship",Alukset_fx!$Q$37,IF(OR(Q586="RoPax",Q586="RoRo",Q586="Vehicle carrier"),Alukset_fx!$Q$55,0))))))))</f>
        <v>0</v>
      </c>
      <c r="Z586" t="str">
        <f t="shared" si="104"/>
        <v>MDO/MGO</v>
      </c>
      <c r="AA586" t="str">
        <f t="shared" si="105"/>
        <v>MSD</v>
      </c>
      <c r="AB586" t="str">
        <f t="shared" si="106"/>
        <v>MDO/MGO</v>
      </c>
      <c r="AC586" t="str">
        <f t="shared" si="107"/>
        <v>MSD</v>
      </c>
      <c r="AD586" t="str">
        <f t="shared" si="108"/>
        <v>MDO/MGO</v>
      </c>
      <c r="AE586" t="str">
        <f t="shared" si="109"/>
        <v>ST</v>
      </c>
      <c r="AG586">
        <f>Alukset_Käynnit!O593</f>
        <v>0</v>
      </c>
      <c r="AH586" s="207">
        <f>IF(AA586="SSD",((U586*Alukset_fx!$B$24)*Alukset_Käynnit_Lask!W586*(Alukset_fx!$K$49)/1000),IF(AA586="MSD",((U586*Alukset_fx!$B$24)*Alukset_Käynnit_Lask!W586*(Alukset_fx!$K$52)/1000),IF(AA586="HSD",((U586*Alukset_fx!$B$24)*Alukset_Käynnit_Lask!W586*(Alukset_fx!$K$55)/1000),0)))</f>
        <v>0</v>
      </c>
      <c r="AI586" s="207">
        <f>IF(AC586="MSD",((V586*Alukset_fx!$B$25)*Alukset_Käynnit_Lask!W586*(Alukset_fx!$L$52)/1000),IF(AC586="HSD",((V586*Alukset_fx!$B$25)*Alukset_Käynnit_Lask!W586*(Alukset_fx!$L$55)/1000),0))</f>
        <v>0</v>
      </c>
      <c r="AJ586" s="207">
        <f>X586*W586*Alukset_fx!$K$61/1000</f>
        <v>0</v>
      </c>
      <c r="AK586">
        <v>0</v>
      </c>
      <c r="AL586" s="207">
        <f>IF(AG586="Käytetty",0,IF(AC586="MSD",((V586*Alukset_fx!$O$25)*Alukset_Käynnit_Lask!O586*(Alukset_fx!$L$52)/1000),IF(AC586="HSD",((V586*Alukset_fx!$O$25)*Alukset_Käynnit_Lask!O586*(Alukset_fx!$L$55)/1000),0)))</f>
        <v>0</v>
      </c>
      <c r="AM586" s="207">
        <f>IF(AG586="Käytetty",0,Y586*O586*Alukset_fx!$K$61/1000)</f>
        <v>0</v>
      </c>
      <c r="AN586" s="213">
        <f t="shared" si="110"/>
        <v>0</v>
      </c>
    </row>
    <row r="587" spans="1:40" x14ac:dyDescent="0.25">
      <c r="A587" s="203">
        <f>Alukset_Käynnit!A594</f>
        <v>0</v>
      </c>
      <c r="B587" s="203">
        <f>Alukset_Käynnit!B594</f>
        <v>0</v>
      </c>
      <c r="C587" s="262">
        <f>Alukset_Käynnit!C594</f>
        <v>0</v>
      </c>
      <c r="D587" s="266">
        <f>Alukset_Käynnit!D594</f>
        <v>0</v>
      </c>
      <c r="E587" s="262">
        <f>Alukset_Käynnit!E594</f>
        <v>0</v>
      </c>
      <c r="F587" s="262">
        <f>Alukset_Käynnit!F594</f>
        <v>0</v>
      </c>
      <c r="G587" s="262">
        <f>Alukset_Käynnit!G594</f>
        <v>0</v>
      </c>
      <c r="H587" s="262">
        <f>Alukset_Käynnit!H594</f>
        <v>0</v>
      </c>
      <c r="I587" s="262">
        <f>Alukset_Käynnit!I594</f>
        <v>0</v>
      </c>
      <c r="J587" s="262">
        <f>Alukset_Käynnit!J594</f>
        <v>0</v>
      </c>
      <c r="K587" s="262">
        <f>Alukset_Käynnit!K594</f>
        <v>0</v>
      </c>
      <c r="L587" s="205">
        <f>Alukset_Käynnit!L594</f>
        <v>0</v>
      </c>
      <c r="N587" s="273">
        <f t="shared" si="111"/>
        <v>0</v>
      </c>
      <c r="O587" s="274">
        <f t="shared" si="112"/>
        <v>0</v>
      </c>
      <c r="Q587" s="204">
        <f t="shared" si="101"/>
        <v>0</v>
      </c>
      <c r="R587" s="202">
        <f>IF(Q587="Other dry cargo",L587*Alukset_fx!$B$71,IF(OR(Q587="Dry bulk",Q587="Bulk carrier"),L587*Alukset_fx!$B$69,IF(Q587="Tugboat",L587*Alukset_fx!$B$76,IF(OR(Q587="Tanker",Q587="Gas tanker",Q587="Chemical tanker",Q587="Oil tanker"),L587*Alukset_fx!$B$68,IF(OR(Q587="RoRo",Q587="Vehicle carrier"),L587*Alukset_fx!$B$72,IF(Q587="RoPax",L587*Alukset_fx!$B$73,IF(Q587="Container ship",L587*Alukset_fx!$B$70,IF(Q587="Barge",0,L587*Alukset_fx!$B$75))))))))</f>
        <v>0</v>
      </c>
      <c r="S587" s="210">
        <f>IF(L587=0,IF(Q587="Other dry cargo",Alukset_fx!$H$73*(Alukset_Käynnit_Lask!K587^Alukset_fx!$I$73),IF(OR(Q587="Dry Bulk",Q587="Bulk carrier"),Alukset_fx!$H$71*(Alukset_Käynnit_Lask!K587^Alukset_fx!$I$71),IF(Q587="Tugboat",Alukset_fx!$H$78*(Alukset_Käynnit_Lask!K587^Alukset_fx!$I$78),IF(OR(Q587="Tanker",Q587="Gas tanker",Q587="Chemical tanker",Q587="Oil tanker"),Alukset_fx!$H$70*(Alukset_Käynnit_Lask!K587^Alukset_fx!$I$70),IF(Q587="Container ship",Alukset_fx!$H$72*(Alukset_Käynnit_Lask!K587^Alukset_fx!$I$72),IF(Q587="Barge",0,IF(Q587="RoPax",Alukset_fx!$H$75*(Alukset_Käynnit_Lask!K587^Alukset_fx!$I$75),IF(OR(Q587="RoRo",Q587="Vehicle carrier"),Alukset_fx!$H$74*(Alukset_Käynnit_Lask!K587^Alukset_fx!$I$74),Alukset_fx!$H$77*(Alukset_Käynnit_Lask!K587^Alukset_fx!$I$77))))))))),"-")</f>
        <v>0</v>
      </c>
      <c r="T587" s="208">
        <f>IF(R587=0,IF(Q587="Other dry cargo",S587*Alukset_fx!$B$71,IF(OR(Q587="Dry bulk",Q587="Bulk carrier"),S587*Alukset_fx!$B$69,IF(Q587="Tugboat",S587*Alukset_fx!$B$76,IF(OR(Q587="Tanker",Q587="Gas tanker",Q587="Chemical tanker",Q587="Oil tanker"),S587*Alukset_fx!$B$68,IF(OR(Q587="RoRo",Q587="Vehicle carrier"),S587*Alukset_fx!$B$72,IF(Q587="RoPax",S587*Alukset_fx!$B$73,IF(Q587="Container ship",S587*Alukset_fx!$B$70,S587*Alukset_fx!$B$75))))))),"-")</f>
        <v>0</v>
      </c>
      <c r="U587" s="208">
        <f t="shared" si="102"/>
        <v>0</v>
      </c>
      <c r="V587" s="208">
        <f t="shared" si="103"/>
        <v>0</v>
      </c>
      <c r="W587" s="202">
        <f>Alukset_Käynnit!N594</f>
        <v>0</v>
      </c>
      <c r="X587" s="211">
        <f>IF(Q587="Other dry cargo", Alukset_fx!$C$52, IF(OR(Q587="Dry bulk",Q587="Bulk carrier"),Alukset_fx!$C$35,IF(OR(Q587="Tanker",Q587="Gas tanker",Q587="Oil tanker"),Alukset_fx!$C$57,IF(Q587="Chemical tanker",Alukset_fx!$C$56,IF(OR(Q587="Tugboat",Q587="Barge"),0,IF(Q587="Other vessel",Alukset_fx!$C$54,IF(Q587="Container ship",Alukset_fx!$C$37,IF(OR(Q587="RoPax",Q587="RoRo",Q587="Vehicle carrier"),Alukset_fx!$C$55,0))))))))</f>
        <v>0</v>
      </c>
      <c r="Y587" s="211">
        <f>IF(Q587="Other dry cargo", Alukset_fx!$Q$52, IF(OR(Q587="Dry bulk",Q587="Bulk carrier"),Alukset_fx!$Q$35,IF(OR(Q587="Tanker",Q587="Gas tanker",Q587="Oil tanker"),Alukset_fx!$Q$57,IF(Q587="Chemical tanker",Alukset_fx!$Q$56,IF(OR(Q587="Tugboat",Q587="Barge"),0,IF(Q587="Other vessel",Alukset_fx!$Q$54,IF(Q587="Container ship",Alukset_fx!$Q$37,IF(OR(Q587="RoPax",Q587="RoRo",Q587="Vehicle carrier"),Alukset_fx!$Q$55,0))))))))</f>
        <v>0</v>
      </c>
      <c r="Z587" t="str">
        <f t="shared" si="104"/>
        <v>MDO/MGO</v>
      </c>
      <c r="AA587" t="str">
        <f t="shared" si="105"/>
        <v>MSD</v>
      </c>
      <c r="AB587" t="str">
        <f t="shared" si="106"/>
        <v>MDO/MGO</v>
      </c>
      <c r="AC587" t="str">
        <f t="shared" si="107"/>
        <v>MSD</v>
      </c>
      <c r="AD587" t="str">
        <f t="shared" si="108"/>
        <v>MDO/MGO</v>
      </c>
      <c r="AE587" t="str">
        <f t="shared" si="109"/>
        <v>ST</v>
      </c>
      <c r="AG587">
        <f>Alukset_Käynnit!O594</f>
        <v>0</v>
      </c>
      <c r="AH587" s="207">
        <f>IF(AA587="SSD",((U587*Alukset_fx!$B$24)*Alukset_Käynnit_Lask!W587*(Alukset_fx!$K$49)/1000),IF(AA587="MSD",((U587*Alukset_fx!$B$24)*Alukset_Käynnit_Lask!W587*(Alukset_fx!$K$52)/1000),IF(AA587="HSD",((U587*Alukset_fx!$B$24)*Alukset_Käynnit_Lask!W587*(Alukset_fx!$K$55)/1000),0)))</f>
        <v>0</v>
      </c>
      <c r="AI587" s="207">
        <f>IF(AC587="MSD",((V587*Alukset_fx!$B$25)*Alukset_Käynnit_Lask!W587*(Alukset_fx!$L$52)/1000),IF(AC587="HSD",((V587*Alukset_fx!$B$25)*Alukset_Käynnit_Lask!W587*(Alukset_fx!$L$55)/1000),0))</f>
        <v>0</v>
      </c>
      <c r="AJ587" s="207">
        <f>X587*W587*Alukset_fx!$K$61/1000</f>
        <v>0</v>
      </c>
      <c r="AK587">
        <v>0</v>
      </c>
      <c r="AL587" s="207">
        <f>IF(AG587="Käytetty",0,IF(AC587="MSD",((V587*Alukset_fx!$O$25)*Alukset_Käynnit_Lask!O587*(Alukset_fx!$L$52)/1000),IF(AC587="HSD",((V587*Alukset_fx!$O$25)*Alukset_Käynnit_Lask!O587*(Alukset_fx!$L$55)/1000),0)))</f>
        <v>0</v>
      </c>
      <c r="AM587" s="207">
        <f>IF(AG587="Käytetty",0,Y587*O587*Alukset_fx!$K$61/1000)</f>
        <v>0</v>
      </c>
      <c r="AN587" s="213">
        <f t="shared" si="110"/>
        <v>0</v>
      </c>
    </row>
    <row r="588" spans="1:40" x14ac:dyDescent="0.25">
      <c r="A588" s="203">
        <f>Alukset_Käynnit!A595</f>
        <v>0</v>
      </c>
      <c r="B588" s="203">
        <f>Alukset_Käynnit!B595</f>
        <v>0</v>
      </c>
      <c r="C588" s="262">
        <f>Alukset_Käynnit!C595</f>
        <v>0</v>
      </c>
      <c r="D588" s="266">
        <f>Alukset_Käynnit!D595</f>
        <v>0</v>
      </c>
      <c r="E588" s="262">
        <f>Alukset_Käynnit!E595</f>
        <v>0</v>
      </c>
      <c r="F588" s="262">
        <f>Alukset_Käynnit!F595</f>
        <v>0</v>
      </c>
      <c r="G588" s="262">
        <f>Alukset_Käynnit!G595</f>
        <v>0</v>
      </c>
      <c r="H588" s="262">
        <f>Alukset_Käynnit!H595</f>
        <v>0</v>
      </c>
      <c r="I588" s="262">
        <f>Alukset_Käynnit!I595</f>
        <v>0</v>
      </c>
      <c r="J588" s="262">
        <f>Alukset_Käynnit!J595</f>
        <v>0</v>
      </c>
      <c r="K588" s="262">
        <f>Alukset_Käynnit!K595</f>
        <v>0</v>
      </c>
      <c r="L588" s="205">
        <f>Alukset_Käynnit!L595</f>
        <v>0</v>
      </c>
      <c r="N588" s="273">
        <f t="shared" si="111"/>
        <v>0</v>
      </c>
      <c r="O588" s="274">
        <f t="shared" si="112"/>
        <v>0</v>
      </c>
      <c r="Q588" s="204">
        <f t="shared" si="101"/>
        <v>0</v>
      </c>
      <c r="R588" s="202">
        <f>IF(Q588="Other dry cargo",L588*Alukset_fx!$B$71,IF(OR(Q588="Dry bulk",Q588="Bulk carrier"),L588*Alukset_fx!$B$69,IF(Q588="Tugboat",L588*Alukset_fx!$B$76,IF(OR(Q588="Tanker",Q588="Gas tanker",Q588="Chemical tanker",Q588="Oil tanker"),L588*Alukset_fx!$B$68,IF(OR(Q588="RoRo",Q588="Vehicle carrier"),L588*Alukset_fx!$B$72,IF(Q588="RoPax",L588*Alukset_fx!$B$73,IF(Q588="Container ship",L588*Alukset_fx!$B$70,IF(Q588="Barge",0,L588*Alukset_fx!$B$75))))))))</f>
        <v>0</v>
      </c>
      <c r="S588" s="210">
        <f>IF(L588=0,IF(Q588="Other dry cargo",Alukset_fx!$H$73*(Alukset_Käynnit_Lask!K588^Alukset_fx!$I$73),IF(OR(Q588="Dry Bulk",Q588="Bulk carrier"),Alukset_fx!$H$71*(Alukset_Käynnit_Lask!K588^Alukset_fx!$I$71),IF(Q588="Tugboat",Alukset_fx!$H$78*(Alukset_Käynnit_Lask!K588^Alukset_fx!$I$78),IF(OR(Q588="Tanker",Q588="Gas tanker",Q588="Chemical tanker",Q588="Oil tanker"),Alukset_fx!$H$70*(Alukset_Käynnit_Lask!K588^Alukset_fx!$I$70),IF(Q588="Container ship",Alukset_fx!$H$72*(Alukset_Käynnit_Lask!K588^Alukset_fx!$I$72),IF(Q588="Barge",0,IF(Q588="RoPax",Alukset_fx!$H$75*(Alukset_Käynnit_Lask!K588^Alukset_fx!$I$75),IF(OR(Q588="RoRo",Q588="Vehicle carrier"),Alukset_fx!$H$74*(Alukset_Käynnit_Lask!K588^Alukset_fx!$I$74),Alukset_fx!$H$77*(Alukset_Käynnit_Lask!K588^Alukset_fx!$I$77))))))))),"-")</f>
        <v>0</v>
      </c>
      <c r="T588" s="208">
        <f>IF(R588=0,IF(Q588="Other dry cargo",S588*Alukset_fx!$B$71,IF(OR(Q588="Dry bulk",Q588="Bulk carrier"),S588*Alukset_fx!$B$69,IF(Q588="Tugboat",S588*Alukset_fx!$B$76,IF(OR(Q588="Tanker",Q588="Gas tanker",Q588="Chemical tanker",Q588="Oil tanker"),S588*Alukset_fx!$B$68,IF(OR(Q588="RoRo",Q588="Vehicle carrier"),S588*Alukset_fx!$B$72,IF(Q588="RoPax",S588*Alukset_fx!$B$73,IF(Q588="Container ship",S588*Alukset_fx!$B$70,S588*Alukset_fx!$B$75))))))),"-")</f>
        <v>0</v>
      </c>
      <c r="U588" s="208">
        <f t="shared" si="102"/>
        <v>0</v>
      </c>
      <c r="V588" s="208">
        <f t="shared" si="103"/>
        <v>0</v>
      </c>
      <c r="W588" s="202">
        <f>Alukset_Käynnit!N595</f>
        <v>0</v>
      </c>
      <c r="X588" s="211">
        <f>IF(Q588="Other dry cargo", Alukset_fx!$C$52, IF(OR(Q588="Dry bulk",Q588="Bulk carrier"),Alukset_fx!$C$35,IF(OR(Q588="Tanker",Q588="Gas tanker",Q588="Oil tanker"),Alukset_fx!$C$57,IF(Q588="Chemical tanker",Alukset_fx!$C$56,IF(OR(Q588="Tugboat",Q588="Barge"),0,IF(Q588="Other vessel",Alukset_fx!$C$54,IF(Q588="Container ship",Alukset_fx!$C$37,IF(OR(Q588="RoPax",Q588="RoRo",Q588="Vehicle carrier"),Alukset_fx!$C$55,0))))))))</f>
        <v>0</v>
      </c>
      <c r="Y588" s="211">
        <f>IF(Q588="Other dry cargo", Alukset_fx!$Q$52, IF(OR(Q588="Dry bulk",Q588="Bulk carrier"),Alukset_fx!$Q$35,IF(OR(Q588="Tanker",Q588="Gas tanker",Q588="Oil tanker"),Alukset_fx!$Q$57,IF(Q588="Chemical tanker",Alukset_fx!$Q$56,IF(OR(Q588="Tugboat",Q588="Barge"),0,IF(Q588="Other vessel",Alukset_fx!$Q$54,IF(Q588="Container ship",Alukset_fx!$Q$37,IF(OR(Q588="RoPax",Q588="RoRo",Q588="Vehicle carrier"),Alukset_fx!$Q$55,0))))))))</f>
        <v>0</v>
      </c>
      <c r="Z588" t="str">
        <f t="shared" si="104"/>
        <v>MDO/MGO</v>
      </c>
      <c r="AA588" t="str">
        <f t="shared" si="105"/>
        <v>MSD</v>
      </c>
      <c r="AB588" t="str">
        <f t="shared" si="106"/>
        <v>MDO/MGO</v>
      </c>
      <c r="AC588" t="str">
        <f t="shared" si="107"/>
        <v>MSD</v>
      </c>
      <c r="AD588" t="str">
        <f t="shared" si="108"/>
        <v>MDO/MGO</v>
      </c>
      <c r="AE588" t="str">
        <f t="shared" si="109"/>
        <v>ST</v>
      </c>
      <c r="AG588">
        <f>Alukset_Käynnit!O595</f>
        <v>0</v>
      </c>
      <c r="AH588" s="207">
        <f>IF(AA588="SSD",((U588*Alukset_fx!$B$24)*Alukset_Käynnit_Lask!W588*(Alukset_fx!$K$49)/1000),IF(AA588="MSD",((U588*Alukset_fx!$B$24)*Alukset_Käynnit_Lask!W588*(Alukset_fx!$K$52)/1000),IF(AA588="HSD",((U588*Alukset_fx!$B$24)*Alukset_Käynnit_Lask!W588*(Alukset_fx!$K$55)/1000),0)))</f>
        <v>0</v>
      </c>
      <c r="AI588" s="207">
        <f>IF(AC588="MSD",((V588*Alukset_fx!$B$25)*Alukset_Käynnit_Lask!W588*(Alukset_fx!$L$52)/1000),IF(AC588="HSD",((V588*Alukset_fx!$B$25)*Alukset_Käynnit_Lask!W588*(Alukset_fx!$L$55)/1000),0))</f>
        <v>0</v>
      </c>
      <c r="AJ588" s="207">
        <f>X588*W588*Alukset_fx!$K$61/1000</f>
        <v>0</v>
      </c>
      <c r="AK588">
        <v>0</v>
      </c>
      <c r="AL588" s="207">
        <f>IF(AG588="Käytetty",0,IF(AC588="MSD",((V588*Alukset_fx!$O$25)*Alukset_Käynnit_Lask!O588*(Alukset_fx!$L$52)/1000),IF(AC588="HSD",((V588*Alukset_fx!$O$25)*Alukset_Käynnit_Lask!O588*(Alukset_fx!$L$55)/1000),0)))</f>
        <v>0</v>
      </c>
      <c r="AM588" s="207">
        <f>IF(AG588="Käytetty",0,Y588*O588*Alukset_fx!$K$61/1000)</f>
        <v>0</v>
      </c>
      <c r="AN588" s="213">
        <f t="shared" si="110"/>
        <v>0</v>
      </c>
    </row>
    <row r="589" spans="1:40" x14ac:dyDescent="0.25">
      <c r="A589" s="203">
        <f>Alukset_Käynnit!A596</f>
        <v>0</v>
      </c>
      <c r="B589" s="203">
        <f>Alukset_Käynnit!B596</f>
        <v>0</v>
      </c>
      <c r="C589" s="262">
        <f>Alukset_Käynnit!C596</f>
        <v>0</v>
      </c>
      <c r="D589" s="266">
        <f>Alukset_Käynnit!D596</f>
        <v>0</v>
      </c>
      <c r="E589" s="262">
        <f>Alukset_Käynnit!E596</f>
        <v>0</v>
      </c>
      <c r="F589" s="262">
        <f>Alukset_Käynnit!F596</f>
        <v>0</v>
      </c>
      <c r="G589" s="262">
        <f>Alukset_Käynnit!G596</f>
        <v>0</v>
      </c>
      <c r="H589" s="262">
        <f>Alukset_Käynnit!H596</f>
        <v>0</v>
      </c>
      <c r="I589" s="262">
        <f>Alukset_Käynnit!I596</f>
        <v>0</v>
      </c>
      <c r="J589" s="262">
        <f>Alukset_Käynnit!J596</f>
        <v>0</v>
      </c>
      <c r="K589" s="262">
        <f>Alukset_Käynnit!K596</f>
        <v>0</v>
      </c>
      <c r="L589" s="205">
        <f>Alukset_Käynnit!L596</f>
        <v>0</v>
      </c>
      <c r="N589" s="273">
        <f t="shared" si="111"/>
        <v>0</v>
      </c>
      <c r="O589" s="274">
        <f t="shared" si="112"/>
        <v>0</v>
      </c>
      <c r="Q589" s="204">
        <f t="shared" si="101"/>
        <v>0</v>
      </c>
      <c r="R589" s="202">
        <f>IF(Q589="Other dry cargo",L589*Alukset_fx!$B$71,IF(OR(Q589="Dry bulk",Q589="Bulk carrier"),L589*Alukset_fx!$B$69,IF(Q589="Tugboat",L589*Alukset_fx!$B$76,IF(OR(Q589="Tanker",Q589="Gas tanker",Q589="Chemical tanker",Q589="Oil tanker"),L589*Alukset_fx!$B$68,IF(OR(Q589="RoRo",Q589="Vehicle carrier"),L589*Alukset_fx!$B$72,IF(Q589="RoPax",L589*Alukset_fx!$B$73,IF(Q589="Container ship",L589*Alukset_fx!$B$70,IF(Q589="Barge",0,L589*Alukset_fx!$B$75))))))))</f>
        <v>0</v>
      </c>
      <c r="S589" s="210">
        <f>IF(L589=0,IF(Q589="Other dry cargo",Alukset_fx!$H$73*(Alukset_Käynnit_Lask!K589^Alukset_fx!$I$73),IF(OR(Q589="Dry Bulk",Q589="Bulk carrier"),Alukset_fx!$H$71*(Alukset_Käynnit_Lask!K589^Alukset_fx!$I$71),IF(Q589="Tugboat",Alukset_fx!$H$78*(Alukset_Käynnit_Lask!K589^Alukset_fx!$I$78),IF(OR(Q589="Tanker",Q589="Gas tanker",Q589="Chemical tanker",Q589="Oil tanker"),Alukset_fx!$H$70*(Alukset_Käynnit_Lask!K589^Alukset_fx!$I$70),IF(Q589="Container ship",Alukset_fx!$H$72*(Alukset_Käynnit_Lask!K589^Alukset_fx!$I$72),IF(Q589="Barge",0,IF(Q589="RoPax",Alukset_fx!$H$75*(Alukset_Käynnit_Lask!K589^Alukset_fx!$I$75),IF(OR(Q589="RoRo",Q589="Vehicle carrier"),Alukset_fx!$H$74*(Alukset_Käynnit_Lask!K589^Alukset_fx!$I$74),Alukset_fx!$H$77*(Alukset_Käynnit_Lask!K589^Alukset_fx!$I$77))))))))),"-")</f>
        <v>0</v>
      </c>
      <c r="T589" s="208">
        <f>IF(R589=0,IF(Q589="Other dry cargo",S589*Alukset_fx!$B$71,IF(OR(Q589="Dry bulk",Q589="Bulk carrier"),S589*Alukset_fx!$B$69,IF(Q589="Tugboat",S589*Alukset_fx!$B$76,IF(OR(Q589="Tanker",Q589="Gas tanker",Q589="Chemical tanker",Q589="Oil tanker"),S589*Alukset_fx!$B$68,IF(OR(Q589="RoRo",Q589="Vehicle carrier"),S589*Alukset_fx!$B$72,IF(Q589="RoPax",S589*Alukset_fx!$B$73,IF(Q589="Container ship",S589*Alukset_fx!$B$70,S589*Alukset_fx!$B$75))))))),"-")</f>
        <v>0</v>
      </c>
      <c r="U589" s="208">
        <f t="shared" si="102"/>
        <v>0</v>
      </c>
      <c r="V589" s="208">
        <f t="shared" si="103"/>
        <v>0</v>
      </c>
      <c r="W589" s="202">
        <f>Alukset_Käynnit!N596</f>
        <v>0</v>
      </c>
      <c r="X589" s="211">
        <f>IF(Q589="Other dry cargo", Alukset_fx!$C$52, IF(OR(Q589="Dry bulk",Q589="Bulk carrier"),Alukset_fx!$C$35,IF(OR(Q589="Tanker",Q589="Gas tanker",Q589="Oil tanker"),Alukset_fx!$C$57,IF(Q589="Chemical tanker",Alukset_fx!$C$56,IF(OR(Q589="Tugboat",Q589="Barge"),0,IF(Q589="Other vessel",Alukset_fx!$C$54,IF(Q589="Container ship",Alukset_fx!$C$37,IF(OR(Q589="RoPax",Q589="RoRo",Q589="Vehicle carrier"),Alukset_fx!$C$55,0))))))))</f>
        <v>0</v>
      </c>
      <c r="Y589" s="211">
        <f>IF(Q589="Other dry cargo", Alukset_fx!$Q$52, IF(OR(Q589="Dry bulk",Q589="Bulk carrier"),Alukset_fx!$Q$35,IF(OR(Q589="Tanker",Q589="Gas tanker",Q589="Oil tanker"),Alukset_fx!$Q$57,IF(Q589="Chemical tanker",Alukset_fx!$Q$56,IF(OR(Q589="Tugboat",Q589="Barge"),0,IF(Q589="Other vessel",Alukset_fx!$Q$54,IF(Q589="Container ship",Alukset_fx!$Q$37,IF(OR(Q589="RoPax",Q589="RoRo",Q589="Vehicle carrier"),Alukset_fx!$Q$55,0))))))))</f>
        <v>0</v>
      </c>
      <c r="Z589" t="str">
        <f t="shared" si="104"/>
        <v>MDO/MGO</v>
      </c>
      <c r="AA589" t="str">
        <f t="shared" si="105"/>
        <v>MSD</v>
      </c>
      <c r="AB589" t="str">
        <f t="shared" si="106"/>
        <v>MDO/MGO</v>
      </c>
      <c r="AC589" t="str">
        <f t="shared" si="107"/>
        <v>MSD</v>
      </c>
      <c r="AD589" t="str">
        <f t="shared" si="108"/>
        <v>MDO/MGO</v>
      </c>
      <c r="AE589" t="str">
        <f t="shared" si="109"/>
        <v>ST</v>
      </c>
      <c r="AG589">
        <f>Alukset_Käynnit!O596</f>
        <v>0</v>
      </c>
      <c r="AH589" s="207">
        <f>IF(AA589="SSD",((U589*Alukset_fx!$B$24)*Alukset_Käynnit_Lask!W589*(Alukset_fx!$K$49)/1000),IF(AA589="MSD",((U589*Alukset_fx!$B$24)*Alukset_Käynnit_Lask!W589*(Alukset_fx!$K$52)/1000),IF(AA589="HSD",((U589*Alukset_fx!$B$24)*Alukset_Käynnit_Lask!W589*(Alukset_fx!$K$55)/1000),0)))</f>
        <v>0</v>
      </c>
      <c r="AI589" s="207">
        <f>IF(AC589="MSD",((V589*Alukset_fx!$B$25)*Alukset_Käynnit_Lask!W589*(Alukset_fx!$L$52)/1000),IF(AC589="HSD",((V589*Alukset_fx!$B$25)*Alukset_Käynnit_Lask!W589*(Alukset_fx!$L$55)/1000),0))</f>
        <v>0</v>
      </c>
      <c r="AJ589" s="207">
        <f>X589*W589*Alukset_fx!$K$61/1000</f>
        <v>0</v>
      </c>
      <c r="AK589">
        <v>0</v>
      </c>
      <c r="AL589" s="207">
        <f>IF(AG589="Käytetty",0,IF(AC589="MSD",((V589*Alukset_fx!$O$25)*Alukset_Käynnit_Lask!O589*(Alukset_fx!$L$52)/1000),IF(AC589="HSD",((V589*Alukset_fx!$O$25)*Alukset_Käynnit_Lask!O589*(Alukset_fx!$L$55)/1000),0)))</f>
        <v>0</v>
      </c>
      <c r="AM589" s="207">
        <f>IF(AG589="Käytetty",0,Y589*O589*Alukset_fx!$K$61/1000)</f>
        <v>0</v>
      </c>
      <c r="AN589" s="213">
        <f t="shared" si="110"/>
        <v>0</v>
      </c>
    </row>
    <row r="590" spans="1:40" x14ac:dyDescent="0.25">
      <c r="A590" s="203">
        <f>Alukset_Käynnit!A597</f>
        <v>0</v>
      </c>
      <c r="B590" s="203">
        <f>Alukset_Käynnit!B597</f>
        <v>0</v>
      </c>
      <c r="C590" s="262">
        <f>Alukset_Käynnit!C597</f>
        <v>0</v>
      </c>
      <c r="D590" s="266">
        <f>Alukset_Käynnit!D597</f>
        <v>0</v>
      </c>
      <c r="E590" s="262">
        <f>Alukset_Käynnit!E597</f>
        <v>0</v>
      </c>
      <c r="F590" s="262">
        <f>Alukset_Käynnit!F597</f>
        <v>0</v>
      </c>
      <c r="G590" s="262">
        <f>Alukset_Käynnit!G597</f>
        <v>0</v>
      </c>
      <c r="H590" s="262">
        <f>Alukset_Käynnit!H597</f>
        <v>0</v>
      </c>
      <c r="I590" s="262">
        <f>Alukset_Käynnit!I597</f>
        <v>0</v>
      </c>
      <c r="J590" s="262">
        <f>Alukset_Käynnit!J597</f>
        <v>0</v>
      </c>
      <c r="K590" s="262">
        <f>Alukset_Käynnit!K597</f>
        <v>0</v>
      </c>
      <c r="L590" s="205">
        <f>Alukset_Käynnit!L597</f>
        <v>0</v>
      </c>
      <c r="N590" s="273">
        <f t="shared" si="111"/>
        <v>0</v>
      </c>
      <c r="O590" s="274">
        <f t="shared" si="112"/>
        <v>0</v>
      </c>
      <c r="Q590" s="204">
        <f t="shared" ref="Q590:Q653" si="113">IF(H590="Muu kuivalasti","Other dry cargo",IF(H590="Muu kuivalastialus","Other dry cargo",IF(H590="Hinaaja","Tugboat",IF(H590="Proomu","Barge",IF(H590="Pusku-Proomu","Barge",IF(H590="Säiliöalus","Tanker",IF(H590="Ro-Ro-Matkustaja-Alus","RoPax",IF(H590="Irtolastialus","Bulk carrier",IF(H590="Kaasusäiliöalus","Gas tanker",IF(H590="Kemikaalisäiliöalus","Chemical tanker",IF(H590="Muu Alus","Other Vessel",IF(H590="Ro-Ro-Lastialus","RoRo",IF(H590="Öljysäiliöalus","Oil tanker",IF(H590="Ajoneuvojenkuljetusalus","Vehicle carrier",IF(H590="Kuiva Bulk","Dry bulk",IF(H590="Konttialus","Container ship",H590))))))))))))))))</f>
        <v>0</v>
      </c>
      <c r="R590" s="202">
        <f>IF(Q590="Other dry cargo",L590*Alukset_fx!$B$71,IF(OR(Q590="Dry bulk",Q590="Bulk carrier"),L590*Alukset_fx!$B$69,IF(Q590="Tugboat",L590*Alukset_fx!$B$76,IF(OR(Q590="Tanker",Q590="Gas tanker",Q590="Chemical tanker",Q590="Oil tanker"),L590*Alukset_fx!$B$68,IF(OR(Q590="RoRo",Q590="Vehicle carrier"),L590*Alukset_fx!$B$72,IF(Q590="RoPax",L590*Alukset_fx!$B$73,IF(Q590="Container ship",L590*Alukset_fx!$B$70,IF(Q590="Barge",0,L590*Alukset_fx!$B$75))))))))</f>
        <v>0</v>
      </c>
      <c r="S590" s="210">
        <f>IF(L590=0,IF(Q590="Other dry cargo",Alukset_fx!$H$73*(Alukset_Käynnit_Lask!K590^Alukset_fx!$I$73),IF(OR(Q590="Dry Bulk",Q590="Bulk carrier"),Alukset_fx!$H$71*(Alukset_Käynnit_Lask!K590^Alukset_fx!$I$71),IF(Q590="Tugboat",Alukset_fx!$H$78*(Alukset_Käynnit_Lask!K590^Alukset_fx!$I$78),IF(OR(Q590="Tanker",Q590="Gas tanker",Q590="Chemical tanker",Q590="Oil tanker"),Alukset_fx!$H$70*(Alukset_Käynnit_Lask!K590^Alukset_fx!$I$70),IF(Q590="Container ship",Alukset_fx!$H$72*(Alukset_Käynnit_Lask!K590^Alukset_fx!$I$72),IF(Q590="Barge",0,IF(Q590="RoPax",Alukset_fx!$H$75*(Alukset_Käynnit_Lask!K590^Alukset_fx!$I$75),IF(OR(Q590="RoRo",Q590="Vehicle carrier"),Alukset_fx!$H$74*(Alukset_Käynnit_Lask!K590^Alukset_fx!$I$74),Alukset_fx!$H$77*(Alukset_Käynnit_Lask!K590^Alukset_fx!$I$77))))))))),"-")</f>
        <v>0</v>
      </c>
      <c r="T590" s="208">
        <f>IF(R590=0,IF(Q590="Other dry cargo",S590*Alukset_fx!$B$71,IF(OR(Q590="Dry bulk",Q590="Bulk carrier"),S590*Alukset_fx!$B$69,IF(Q590="Tugboat",S590*Alukset_fx!$B$76,IF(OR(Q590="Tanker",Q590="Gas tanker",Q590="Chemical tanker",Q590="Oil tanker"),S590*Alukset_fx!$B$68,IF(OR(Q590="RoRo",Q590="Vehicle carrier"),S590*Alukset_fx!$B$72,IF(Q590="RoPax",S590*Alukset_fx!$B$73,IF(Q590="Container ship",S590*Alukset_fx!$B$70,S590*Alukset_fx!$B$75))))))),"-")</f>
        <v>0</v>
      </c>
      <c r="U590" s="208">
        <f t="shared" ref="U590:U653" si="114">IF(L590=0,S590,L590)</f>
        <v>0</v>
      </c>
      <c r="V590" s="208">
        <f t="shared" ref="V590:V653" si="115">IF(R590=0,T590,R590)</f>
        <v>0</v>
      </c>
      <c r="W590" s="202">
        <f>Alukset_Käynnit!N597</f>
        <v>0</v>
      </c>
      <c r="X590" s="211">
        <f>IF(Q590="Other dry cargo", Alukset_fx!$C$52, IF(OR(Q590="Dry bulk",Q590="Bulk carrier"),Alukset_fx!$C$35,IF(OR(Q590="Tanker",Q590="Gas tanker",Q590="Oil tanker"),Alukset_fx!$C$57,IF(Q590="Chemical tanker",Alukset_fx!$C$56,IF(OR(Q590="Tugboat",Q590="Barge"),0,IF(Q590="Other vessel",Alukset_fx!$C$54,IF(Q590="Container ship",Alukset_fx!$C$37,IF(OR(Q590="RoPax",Q590="RoRo",Q590="Vehicle carrier"),Alukset_fx!$C$55,0))))))))</f>
        <v>0</v>
      </c>
      <c r="Y590" s="211">
        <f>IF(Q590="Other dry cargo", Alukset_fx!$Q$52, IF(OR(Q590="Dry bulk",Q590="Bulk carrier"),Alukset_fx!$Q$35,IF(OR(Q590="Tanker",Q590="Gas tanker",Q590="Oil tanker"),Alukset_fx!$Q$57,IF(Q590="Chemical tanker",Alukset_fx!$Q$56,IF(OR(Q590="Tugboat",Q590="Barge"),0,IF(Q590="Other vessel",Alukset_fx!$Q$54,IF(Q590="Container ship",Alukset_fx!$Q$37,IF(OR(Q590="RoPax",Q590="RoRo",Q590="Vehicle carrier"),Alukset_fx!$Q$55,0))))))))</f>
        <v>0</v>
      </c>
      <c r="Z590" t="str">
        <f t="shared" ref="Z590:Z653" si="116">IF(Q590="Barge","-","MDO/MGO")</f>
        <v>MDO/MGO</v>
      </c>
      <c r="AA590" t="str">
        <f t="shared" ref="AA590:AA653" si="117">IF(Q590="Container ship","SSD",IF(Q590="Tugboat","HSD",IF(Q590="Barge","-","MSD")))</f>
        <v>MSD</v>
      </c>
      <c r="AB590" t="str">
        <f t="shared" ref="AB590:AB653" si="118">IF(Q590="Barge","-","MDO/MGO")</f>
        <v>MDO/MGO</v>
      </c>
      <c r="AC590" t="str">
        <f t="shared" ref="AC590:AC653" si="119">IF(Q590="Barge","-","MSD")</f>
        <v>MSD</v>
      </c>
      <c r="AD590" t="str">
        <f t="shared" ref="AD590:AD653" si="120">IF(OR(Q590="Tugboat",Q590="Barge"),"-","MDO/MGO")</f>
        <v>MDO/MGO</v>
      </c>
      <c r="AE590" t="str">
        <f t="shared" ref="AE590:AE653" si="121">IF(OR(Q590="Barge",Q590="Tugboat"),"-","ST")</f>
        <v>ST</v>
      </c>
      <c r="AG590">
        <f>Alukset_Käynnit!O597</f>
        <v>0</v>
      </c>
      <c r="AH590" s="207">
        <f>IF(AA590="SSD",((U590*Alukset_fx!$B$24)*Alukset_Käynnit_Lask!W590*(Alukset_fx!$K$49)/1000),IF(AA590="MSD",((U590*Alukset_fx!$B$24)*Alukset_Käynnit_Lask!W590*(Alukset_fx!$K$52)/1000),IF(AA590="HSD",((U590*Alukset_fx!$B$24)*Alukset_Käynnit_Lask!W590*(Alukset_fx!$K$55)/1000),0)))</f>
        <v>0</v>
      </c>
      <c r="AI590" s="207">
        <f>IF(AC590="MSD",((V590*Alukset_fx!$B$25)*Alukset_Käynnit_Lask!W590*(Alukset_fx!$L$52)/1000),IF(AC590="HSD",((V590*Alukset_fx!$B$25)*Alukset_Käynnit_Lask!W590*(Alukset_fx!$L$55)/1000),0))</f>
        <v>0</v>
      </c>
      <c r="AJ590" s="207">
        <f>X590*W590*Alukset_fx!$K$61/1000</f>
        <v>0</v>
      </c>
      <c r="AK590">
        <v>0</v>
      </c>
      <c r="AL590" s="207">
        <f>IF(AG590="Käytetty",0,IF(AC590="MSD",((V590*Alukset_fx!$O$25)*Alukset_Käynnit_Lask!O590*(Alukset_fx!$L$52)/1000),IF(AC590="HSD",((V590*Alukset_fx!$O$25)*Alukset_Käynnit_Lask!O590*(Alukset_fx!$L$55)/1000),0)))</f>
        <v>0</v>
      </c>
      <c r="AM590" s="207">
        <f>IF(AG590="Käytetty",0,Y590*O590*Alukset_fx!$K$61/1000)</f>
        <v>0</v>
      </c>
      <c r="AN590" s="213">
        <f t="shared" ref="AN590:AN653" si="122">SUM(AH590:AM590)/1000</f>
        <v>0</v>
      </c>
    </row>
    <row r="591" spans="1:40" x14ac:dyDescent="0.25">
      <c r="A591" s="203">
        <f>Alukset_Käynnit!A598</f>
        <v>0</v>
      </c>
      <c r="B591" s="203">
        <f>Alukset_Käynnit!B598</f>
        <v>0</v>
      </c>
      <c r="C591" s="262">
        <f>Alukset_Käynnit!C598</f>
        <v>0</v>
      </c>
      <c r="D591" s="266">
        <f>Alukset_Käynnit!D598</f>
        <v>0</v>
      </c>
      <c r="E591" s="262">
        <f>Alukset_Käynnit!E598</f>
        <v>0</v>
      </c>
      <c r="F591" s="262">
        <f>Alukset_Käynnit!F598</f>
        <v>0</v>
      </c>
      <c r="G591" s="262">
        <f>Alukset_Käynnit!G598</f>
        <v>0</v>
      </c>
      <c r="H591" s="262">
        <f>Alukset_Käynnit!H598</f>
        <v>0</v>
      </c>
      <c r="I591" s="262">
        <f>Alukset_Käynnit!I598</f>
        <v>0</v>
      </c>
      <c r="J591" s="262">
        <f>Alukset_Käynnit!J598</f>
        <v>0</v>
      </c>
      <c r="K591" s="262">
        <f>Alukset_Käynnit!K598</f>
        <v>0</v>
      </c>
      <c r="L591" s="205">
        <f>Alukset_Käynnit!L598</f>
        <v>0</v>
      </c>
      <c r="N591" s="273">
        <f t="shared" si="111"/>
        <v>0</v>
      </c>
      <c r="O591" s="274">
        <f t="shared" si="112"/>
        <v>0</v>
      </c>
      <c r="Q591" s="204">
        <f t="shared" si="113"/>
        <v>0</v>
      </c>
      <c r="R591" s="202">
        <f>IF(Q591="Other dry cargo",L591*Alukset_fx!$B$71,IF(OR(Q591="Dry bulk",Q591="Bulk carrier"),L591*Alukset_fx!$B$69,IF(Q591="Tugboat",L591*Alukset_fx!$B$76,IF(OR(Q591="Tanker",Q591="Gas tanker",Q591="Chemical tanker",Q591="Oil tanker"),L591*Alukset_fx!$B$68,IF(OR(Q591="RoRo",Q591="Vehicle carrier"),L591*Alukset_fx!$B$72,IF(Q591="RoPax",L591*Alukset_fx!$B$73,IF(Q591="Container ship",L591*Alukset_fx!$B$70,IF(Q591="Barge",0,L591*Alukset_fx!$B$75))))))))</f>
        <v>0</v>
      </c>
      <c r="S591" s="210">
        <f>IF(L591=0,IF(Q591="Other dry cargo",Alukset_fx!$H$73*(Alukset_Käynnit_Lask!K591^Alukset_fx!$I$73),IF(OR(Q591="Dry Bulk",Q591="Bulk carrier"),Alukset_fx!$H$71*(Alukset_Käynnit_Lask!K591^Alukset_fx!$I$71),IF(Q591="Tugboat",Alukset_fx!$H$78*(Alukset_Käynnit_Lask!K591^Alukset_fx!$I$78),IF(OR(Q591="Tanker",Q591="Gas tanker",Q591="Chemical tanker",Q591="Oil tanker"),Alukset_fx!$H$70*(Alukset_Käynnit_Lask!K591^Alukset_fx!$I$70),IF(Q591="Container ship",Alukset_fx!$H$72*(Alukset_Käynnit_Lask!K591^Alukset_fx!$I$72),IF(Q591="Barge",0,IF(Q591="RoPax",Alukset_fx!$H$75*(Alukset_Käynnit_Lask!K591^Alukset_fx!$I$75),IF(OR(Q591="RoRo",Q591="Vehicle carrier"),Alukset_fx!$H$74*(Alukset_Käynnit_Lask!K591^Alukset_fx!$I$74),Alukset_fx!$H$77*(Alukset_Käynnit_Lask!K591^Alukset_fx!$I$77))))))))),"-")</f>
        <v>0</v>
      </c>
      <c r="T591" s="208">
        <f>IF(R591=0,IF(Q591="Other dry cargo",S591*Alukset_fx!$B$71,IF(OR(Q591="Dry bulk",Q591="Bulk carrier"),S591*Alukset_fx!$B$69,IF(Q591="Tugboat",S591*Alukset_fx!$B$76,IF(OR(Q591="Tanker",Q591="Gas tanker",Q591="Chemical tanker",Q591="Oil tanker"),S591*Alukset_fx!$B$68,IF(OR(Q591="RoRo",Q591="Vehicle carrier"),S591*Alukset_fx!$B$72,IF(Q591="RoPax",S591*Alukset_fx!$B$73,IF(Q591="Container ship",S591*Alukset_fx!$B$70,S591*Alukset_fx!$B$75))))))),"-")</f>
        <v>0</v>
      </c>
      <c r="U591" s="208">
        <f t="shared" si="114"/>
        <v>0</v>
      </c>
      <c r="V591" s="208">
        <f t="shared" si="115"/>
        <v>0</v>
      </c>
      <c r="W591" s="202">
        <f>Alukset_Käynnit!N598</f>
        <v>0</v>
      </c>
      <c r="X591" s="211">
        <f>IF(Q591="Other dry cargo", Alukset_fx!$C$52, IF(OR(Q591="Dry bulk",Q591="Bulk carrier"),Alukset_fx!$C$35,IF(OR(Q591="Tanker",Q591="Gas tanker",Q591="Oil tanker"),Alukset_fx!$C$57,IF(Q591="Chemical tanker",Alukset_fx!$C$56,IF(OR(Q591="Tugboat",Q591="Barge"),0,IF(Q591="Other vessel",Alukset_fx!$C$54,IF(Q591="Container ship",Alukset_fx!$C$37,IF(OR(Q591="RoPax",Q591="RoRo",Q591="Vehicle carrier"),Alukset_fx!$C$55,0))))))))</f>
        <v>0</v>
      </c>
      <c r="Y591" s="211">
        <f>IF(Q591="Other dry cargo", Alukset_fx!$Q$52, IF(OR(Q591="Dry bulk",Q591="Bulk carrier"),Alukset_fx!$Q$35,IF(OR(Q591="Tanker",Q591="Gas tanker",Q591="Oil tanker"),Alukset_fx!$Q$57,IF(Q591="Chemical tanker",Alukset_fx!$Q$56,IF(OR(Q591="Tugboat",Q591="Barge"),0,IF(Q591="Other vessel",Alukset_fx!$Q$54,IF(Q591="Container ship",Alukset_fx!$Q$37,IF(OR(Q591="RoPax",Q591="RoRo",Q591="Vehicle carrier"),Alukset_fx!$Q$55,0))))))))</f>
        <v>0</v>
      </c>
      <c r="Z591" t="str">
        <f t="shared" si="116"/>
        <v>MDO/MGO</v>
      </c>
      <c r="AA591" t="str">
        <f t="shared" si="117"/>
        <v>MSD</v>
      </c>
      <c r="AB591" t="str">
        <f t="shared" si="118"/>
        <v>MDO/MGO</v>
      </c>
      <c r="AC591" t="str">
        <f t="shared" si="119"/>
        <v>MSD</v>
      </c>
      <c r="AD591" t="str">
        <f t="shared" si="120"/>
        <v>MDO/MGO</v>
      </c>
      <c r="AE591" t="str">
        <f t="shared" si="121"/>
        <v>ST</v>
      </c>
      <c r="AG591">
        <f>Alukset_Käynnit!O598</f>
        <v>0</v>
      </c>
      <c r="AH591" s="207">
        <f>IF(AA591="SSD",((U591*Alukset_fx!$B$24)*Alukset_Käynnit_Lask!W591*(Alukset_fx!$K$49)/1000),IF(AA591="MSD",((U591*Alukset_fx!$B$24)*Alukset_Käynnit_Lask!W591*(Alukset_fx!$K$52)/1000),IF(AA591="HSD",((U591*Alukset_fx!$B$24)*Alukset_Käynnit_Lask!W591*(Alukset_fx!$K$55)/1000),0)))</f>
        <v>0</v>
      </c>
      <c r="AI591" s="207">
        <f>IF(AC591="MSD",((V591*Alukset_fx!$B$25)*Alukset_Käynnit_Lask!W591*(Alukset_fx!$L$52)/1000),IF(AC591="HSD",((V591*Alukset_fx!$B$25)*Alukset_Käynnit_Lask!W591*(Alukset_fx!$L$55)/1000),0))</f>
        <v>0</v>
      </c>
      <c r="AJ591" s="207">
        <f>X591*W591*Alukset_fx!$K$61/1000</f>
        <v>0</v>
      </c>
      <c r="AK591">
        <v>0</v>
      </c>
      <c r="AL591" s="207">
        <f>IF(AG591="Käytetty",0,IF(AC591="MSD",((V591*Alukset_fx!$O$25)*Alukset_Käynnit_Lask!O591*(Alukset_fx!$L$52)/1000),IF(AC591="HSD",((V591*Alukset_fx!$O$25)*Alukset_Käynnit_Lask!O591*(Alukset_fx!$L$55)/1000),0)))</f>
        <v>0</v>
      </c>
      <c r="AM591" s="207">
        <f>IF(AG591="Käytetty",0,Y591*O591*Alukset_fx!$K$61/1000)</f>
        <v>0</v>
      </c>
      <c r="AN591" s="213">
        <f t="shared" si="122"/>
        <v>0</v>
      </c>
    </row>
    <row r="592" spans="1:40" x14ac:dyDescent="0.25">
      <c r="A592" s="203">
        <f>Alukset_Käynnit!A599</f>
        <v>0</v>
      </c>
      <c r="B592" s="203">
        <f>Alukset_Käynnit!B599</f>
        <v>0</v>
      </c>
      <c r="C592" s="262">
        <f>Alukset_Käynnit!C599</f>
        <v>0</v>
      </c>
      <c r="D592" s="266">
        <f>Alukset_Käynnit!D599</f>
        <v>0</v>
      </c>
      <c r="E592" s="262">
        <f>Alukset_Käynnit!E599</f>
        <v>0</v>
      </c>
      <c r="F592" s="262">
        <f>Alukset_Käynnit!F599</f>
        <v>0</v>
      </c>
      <c r="G592" s="262">
        <f>Alukset_Käynnit!G599</f>
        <v>0</v>
      </c>
      <c r="H592" s="262">
        <f>Alukset_Käynnit!H599</f>
        <v>0</v>
      </c>
      <c r="I592" s="262">
        <f>Alukset_Käynnit!I599</f>
        <v>0</v>
      </c>
      <c r="J592" s="262">
        <f>Alukset_Käynnit!J599</f>
        <v>0</v>
      </c>
      <c r="K592" s="262">
        <f>Alukset_Käynnit!K599</f>
        <v>0</v>
      </c>
      <c r="L592" s="205">
        <f>Alukset_Käynnit!L599</f>
        <v>0</v>
      </c>
      <c r="N592" s="273">
        <f t="shared" si="111"/>
        <v>0</v>
      </c>
      <c r="O592" s="274">
        <f t="shared" si="112"/>
        <v>0</v>
      </c>
      <c r="Q592" s="204">
        <f t="shared" si="113"/>
        <v>0</v>
      </c>
      <c r="R592" s="202">
        <f>IF(Q592="Other dry cargo",L592*Alukset_fx!$B$71,IF(OR(Q592="Dry bulk",Q592="Bulk carrier"),L592*Alukset_fx!$B$69,IF(Q592="Tugboat",L592*Alukset_fx!$B$76,IF(OR(Q592="Tanker",Q592="Gas tanker",Q592="Chemical tanker",Q592="Oil tanker"),L592*Alukset_fx!$B$68,IF(OR(Q592="RoRo",Q592="Vehicle carrier"),L592*Alukset_fx!$B$72,IF(Q592="RoPax",L592*Alukset_fx!$B$73,IF(Q592="Container ship",L592*Alukset_fx!$B$70,IF(Q592="Barge",0,L592*Alukset_fx!$B$75))))))))</f>
        <v>0</v>
      </c>
      <c r="S592" s="210">
        <f>IF(L592=0,IF(Q592="Other dry cargo",Alukset_fx!$H$73*(Alukset_Käynnit_Lask!K592^Alukset_fx!$I$73),IF(OR(Q592="Dry Bulk",Q592="Bulk carrier"),Alukset_fx!$H$71*(Alukset_Käynnit_Lask!K592^Alukset_fx!$I$71),IF(Q592="Tugboat",Alukset_fx!$H$78*(Alukset_Käynnit_Lask!K592^Alukset_fx!$I$78),IF(OR(Q592="Tanker",Q592="Gas tanker",Q592="Chemical tanker",Q592="Oil tanker"),Alukset_fx!$H$70*(Alukset_Käynnit_Lask!K592^Alukset_fx!$I$70),IF(Q592="Container ship",Alukset_fx!$H$72*(Alukset_Käynnit_Lask!K592^Alukset_fx!$I$72),IF(Q592="Barge",0,IF(Q592="RoPax",Alukset_fx!$H$75*(Alukset_Käynnit_Lask!K592^Alukset_fx!$I$75),IF(OR(Q592="RoRo",Q592="Vehicle carrier"),Alukset_fx!$H$74*(Alukset_Käynnit_Lask!K592^Alukset_fx!$I$74),Alukset_fx!$H$77*(Alukset_Käynnit_Lask!K592^Alukset_fx!$I$77))))))))),"-")</f>
        <v>0</v>
      </c>
      <c r="T592" s="208">
        <f>IF(R592=0,IF(Q592="Other dry cargo",S592*Alukset_fx!$B$71,IF(OR(Q592="Dry bulk",Q592="Bulk carrier"),S592*Alukset_fx!$B$69,IF(Q592="Tugboat",S592*Alukset_fx!$B$76,IF(OR(Q592="Tanker",Q592="Gas tanker",Q592="Chemical tanker",Q592="Oil tanker"),S592*Alukset_fx!$B$68,IF(OR(Q592="RoRo",Q592="Vehicle carrier"),S592*Alukset_fx!$B$72,IF(Q592="RoPax",S592*Alukset_fx!$B$73,IF(Q592="Container ship",S592*Alukset_fx!$B$70,S592*Alukset_fx!$B$75))))))),"-")</f>
        <v>0</v>
      </c>
      <c r="U592" s="208">
        <f t="shared" si="114"/>
        <v>0</v>
      </c>
      <c r="V592" s="208">
        <f t="shared" si="115"/>
        <v>0</v>
      </c>
      <c r="W592" s="202">
        <f>Alukset_Käynnit!N599</f>
        <v>0</v>
      </c>
      <c r="X592" s="211">
        <f>IF(Q592="Other dry cargo", Alukset_fx!$C$52, IF(OR(Q592="Dry bulk",Q592="Bulk carrier"),Alukset_fx!$C$35,IF(OR(Q592="Tanker",Q592="Gas tanker",Q592="Oil tanker"),Alukset_fx!$C$57,IF(Q592="Chemical tanker",Alukset_fx!$C$56,IF(OR(Q592="Tugboat",Q592="Barge"),0,IF(Q592="Other vessel",Alukset_fx!$C$54,IF(Q592="Container ship",Alukset_fx!$C$37,IF(OR(Q592="RoPax",Q592="RoRo",Q592="Vehicle carrier"),Alukset_fx!$C$55,0))))))))</f>
        <v>0</v>
      </c>
      <c r="Y592" s="211">
        <f>IF(Q592="Other dry cargo", Alukset_fx!$Q$52, IF(OR(Q592="Dry bulk",Q592="Bulk carrier"),Alukset_fx!$Q$35,IF(OR(Q592="Tanker",Q592="Gas tanker",Q592="Oil tanker"),Alukset_fx!$Q$57,IF(Q592="Chemical tanker",Alukset_fx!$Q$56,IF(OR(Q592="Tugboat",Q592="Barge"),0,IF(Q592="Other vessel",Alukset_fx!$Q$54,IF(Q592="Container ship",Alukset_fx!$Q$37,IF(OR(Q592="RoPax",Q592="RoRo",Q592="Vehicle carrier"),Alukset_fx!$Q$55,0))))))))</f>
        <v>0</v>
      </c>
      <c r="Z592" t="str">
        <f t="shared" si="116"/>
        <v>MDO/MGO</v>
      </c>
      <c r="AA592" t="str">
        <f t="shared" si="117"/>
        <v>MSD</v>
      </c>
      <c r="AB592" t="str">
        <f t="shared" si="118"/>
        <v>MDO/MGO</v>
      </c>
      <c r="AC592" t="str">
        <f t="shared" si="119"/>
        <v>MSD</v>
      </c>
      <c r="AD592" t="str">
        <f t="shared" si="120"/>
        <v>MDO/MGO</v>
      </c>
      <c r="AE592" t="str">
        <f t="shared" si="121"/>
        <v>ST</v>
      </c>
      <c r="AG592">
        <f>Alukset_Käynnit!O599</f>
        <v>0</v>
      </c>
      <c r="AH592" s="207">
        <f>IF(AA592="SSD",((U592*Alukset_fx!$B$24)*Alukset_Käynnit_Lask!W592*(Alukset_fx!$K$49)/1000),IF(AA592="MSD",((U592*Alukset_fx!$B$24)*Alukset_Käynnit_Lask!W592*(Alukset_fx!$K$52)/1000),IF(AA592="HSD",((U592*Alukset_fx!$B$24)*Alukset_Käynnit_Lask!W592*(Alukset_fx!$K$55)/1000),0)))</f>
        <v>0</v>
      </c>
      <c r="AI592" s="207">
        <f>IF(AC592="MSD",((V592*Alukset_fx!$B$25)*Alukset_Käynnit_Lask!W592*(Alukset_fx!$L$52)/1000),IF(AC592="HSD",((V592*Alukset_fx!$B$25)*Alukset_Käynnit_Lask!W592*(Alukset_fx!$L$55)/1000),0))</f>
        <v>0</v>
      </c>
      <c r="AJ592" s="207">
        <f>X592*W592*Alukset_fx!$K$61/1000</f>
        <v>0</v>
      </c>
      <c r="AK592">
        <v>0</v>
      </c>
      <c r="AL592" s="207">
        <f>IF(AG592="Käytetty",0,IF(AC592="MSD",((V592*Alukset_fx!$O$25)*Alukset_Käynnit_Lask!O592*(Alukset_fx!$L$52)/1000),IF(AC592="HSD",((V592*Alukset_fx!$O$25)*Alukset_Käynnit_Lask!O592*(Alukset_fx!$L$55)/1000),0)))</f>
        <v>0</v>
      </c>
      <c r="AM592" s="207">
        <f>IF(AG592="Käytetty",0,Y592*O592*Alukset_fx!$K$61/1000)</f>
        <v>0</v>
      </c>
      <c r="AN592" s="213">
        <f t="shared" si="122"/>
        <v>0</v>
      </c>
    </row>
    <row r="593" spans="1:40" x14ac:dyDescent="0.25">
      <c r="A593" s="203">
        <f>Alukset_Käynnit!A600</f>
        <v>0</v>
      </c>
      <c r="B593" s="203">
        <f>Alukset_Käynnit!B600</f>
        <v>0</v>
      </c>
      <c r="C593" s="262">
        <f>Alukset_Käynnit!C600</f>
        <v>0</v>
      </c>
      <c r="D593" s="266">
        <f>Alukset_Käynnit!D600</f>
        <v>0</v>
      </c>
      <c r="E593" s="262">
        <f>Alukset_Käynnit!E600</f>
        <v>0</v>
      </c>
      <c r="F593" s="262">
        <f>Alukset_Käynnit!F600</f>
        <v>0</v>
      </c>
      <c r="G593" s="262">
        <f>Alukset_Käynnit!G600</f>
        <v>0</v>
      </c>
      <c r="H593" s="262">
        <f>Alukset_Käynnit!H600</f>
        <v>0</v>
      </c>
      <c r="I593" s="262">
        <f>Alukset_Käynnit!I600</f>
        <v>0</v>
      </c>
      <c r="J593" s="262">
        <f>Alukset_Käynnit!J600</f>
        <v>0</v>
      </c>
      <c r="K593" s="262">
        <f>Alukset_Käynnit!K600</f>
        <v>0</v>
      </c>
      <c r="L593" s="205">
        <f>Alukset_Käynnit!L600</f>
        <v>0</v>
      </c>
      <c r="N593" s="273">
        <f t="shared" si="111"/>
        <v>0</v>
      </c>
      <c r="O593" s="274">
        <f t="shared" si="112"/>
        <v>0</v>
      </c>
      <c r="Q593" s="204">
        <f t="shared" si="113"/>
        <v>0</v>
      </c>
      <c r="R593" s="202">
        <f>IF(Q593="Other dry cargo",L593*Alukset_fx!$B$71,IF(OR(Q593="Dry bulk",Q593="Bulk carrier"),L593*Alukset_fx!$B$69,IF(Q593="Tugboat",L593*Alukset_fx!$B$76,IF(OR(Q593="Tanker",Q593="Gas tanker",Q593="Chemical tanker",Q593="Oil tanker"),L593*Alukset_fx!$B$68,IF(OR(Q593="RoRo",Q593="Vehicle carrier"),L593*Alukset_fx!$B$72,IF(Q593="RoPax",L593*Alukset_fx!$B$73,IF(Q593="Container ship",L593*Alukset_fx!$B$70,IF(Q593="Barge",0,L593*Alukset_fx!$B$75))))))))</f>
        <v>0</v>
      </c>
      <c r="S593" s="210">
        <f>IF(L593=0,IF(Q593="Other dry cargo",Alukset_fx!$H$73*(Alukset_Käynnit_Lask!K593^Alukset_fx!$I$73),IF(OR(Q593="Dry Bulk",Q593="Bulk carrier"),Alukset_fx!$H$71*(Alukset_Käynnit_Lask!K593^Alukset_fx!$I$71),IF(Q593="Tugboat",Alukset_fx!$H$78*(Alukset_Käynnit_Lask!K593^Alukset_fx!$I$78),IF(OR(Q593="Tanker",Q593="Gas tanker",Q593="Chemical tanker",Q593="Oil tanker"),Alukset_fx!$H$70*(Alukset_Käynnit_Lask!K593^Alukset_fx!$I$70),IF(Q593="Container ship",Alukset_fx!$H$72*(Alukset_Käynnit_Lask!K593^Alukset_fx!$I$72),IF(Q593="Barge",0,IF(Q593="RoPax",Alukset_fx!$H$75*(Alukset_Käynnit_Lask!K593^Alukset_fx!$I$75),IF(OR(Q593="RoRo",Q593="Vehicle carrier"),Alukset_fx!$H$74*(Alukset_Käynnit_Lask!K593^Alukset_fx!$I$74),Alukset_fx!$H$77*(Alukset_Käynnit_Lask!K593^Alukset_fx!$I$77))))))))),"-")</f>
        <v>0</v>
      </c>
      <c r="T593" s="208">
        <f>IF(R593=0,IF(Q593="Other dry cargo",S593*Alukset_fx!$B$71,IF(OR(Q593="Dry bulk",Q593="Bulk carrier"),S593*Alukset_fx!$B$69,IF(Q593="Tugboat",S593*Alukset_fx!$B$76,IF(OR(Q593="Tanker",Q593="Gas tanker",Q593="Chemical tanker",Q593="Oil tanker"),S593*Alukset_fx!$B$68,IF(OR(Q593="RoRo",Q593="Vehicle carrier"),S593*Alukset_fx!$B$72,IF(Q593="RoPax",S593*Alukset_fx!$B$73,IF(Q593="Container ship",S593*Alukset_fx!$B$70,S593*Alukset_fx!$B$75))))))),"-")</f>
        <v>0</v>
      </c>
      <c r="U593" s="208">
        <f t="shared" si="114"/>
        <v>0</v>
      </c>
      <c r="V593" s="208">
        <f t="shared" si="115"/>
        <v>0</v>
      </c>
      <c r="W593" s="202">
        <f>Alukset_Käynnit!N600</f>
        <v>0</v>
      </c>
      <c r="X593" s="211">
        <f>IF(Q593="Other dry cargo", Alukset_fx!$C$52, IF(OR(Q593="Dry bulk",Q593="Bulk carrier"),Alukset_fx!$C$35,IF(OR(Q593="Tanker",Q593="Gas tanker",Q593="Oil tanker"),Alukset_fx!$C$57,IF(Q593="Chemical tanker",Alukset_fx!$C$56,IF(OR(Q593="Tugboat",Q593="Barge"),0,IF(Q593="Other vessel",Alukset_fx!$C$54,IF(Q593="Container ship",Alukset_fx!$C$37,IF(OR(Q593="RoPax",Q593="RoRo",Q593="Vehicle carrier"),Alukset_fx!$C$55,0))))))))</f>
        <v>0</v>
      </c>
      <c r="Y593" s="211">
        <f>IF(Q593="Other dry cargo", Alukset_fx!$Q$52, IF(OR(Q593="Dry bulk",Q593="Bulk carrier"),Alukset_fx!$Q$35,IF(OR(Q593="Tanker",Q593="Gas tanker",Q593="Oil tanker"),Alukset_fx!$Q$57,IF(Q593="Chemical tanker",Alukset_fx!$Q$56,IF(OR(Q593="Tugboat",Q593="Barge"),0,IF(Q593="Other vessel",Alukset_fx!$Q$54,IF(Q593="Container ship",Alukset_fx!$Q$37,IF(OR(Q593="RoPax",Q593="RoRo",Q593="Vehicle carrier"),Alukset_fx!$Q$55,0))))))))</f>
        <v>0</v>
      </c>
      <c r="Z593" t="str">
        <f t="shared" si="116"/>
        <v>MDO/MGO</v>
      </c>
      <c r="AA593" t="str">
        <f t="shared" si="117"/>
        <v>MSD</v>
      </c>
      <c r="AB593" t="str">
        <f t="shared" si="118"/>
        <v>MDO/MGO</v>
      </c>
      <c r="AC593" t="str">
        <f t="shared" si="119"/>
        <v>MSD</v>
      </c>
      <c r="AD593" t="str">
        <f t="shared" si="120"/>
        <v>MDO/MGO</v>
      </c>
      <c r="AE593" t="str">
        <f t="shared" si="121"/>
        <v>ST</v>
      </c>
      <c r="AG593">
        <f>Alukset_Käynnit!O600</f>
        <v>0</v>
      </c>
      <c r="AH593" s="207">
        <f>IF(AA593="SSD",((U593*Alukset_fx!$B$24)*Alukset_Käynnit_Lask!W593*(Alukset_fx!$K$49)/1000),IF(AA593="MSD",((U593*Alukset_fx!$B$24)*Alukset_Käynnit_Lask!W593*(Alukset_fx!$K$52)/1000),IF(AA593="HSD",((U593*Alukset_fx!$B$24)*Alukset_Käynnit_Lask!W593*(Alukset_fx!$K$55)/1000),0)))</f>
        <v>0</v>
      </c>
      <c r="AI593" s="207">
        <f>IF(AC593="MSD",((V593*Alukset_fx!$B$25)*Alukset_Käynnit_Lask!W593*(Alukset_fx!$L$52)/1000),IF(AC593="HSD",((V593*Alukset_fx!$B$25)*Alukset_Käynnit_Lask!W593*(Alukset_fx!$L$55)/1000),0))</f>
        <v>0</v>
      </c>
      <c r="AJ593" s="207">
        <f>X593*W593*Alukset_fx!$K$61/1000</f>
        <v>0</v>
      </c>
      <c r="AK593">
        <v>0</v>
      </c>
      <c r="AL593" s="207">
        <f>IF(AG593="Käytetty",0,IF(AC593="MSD",((V593*Alukset_fx!$O$25)*Alukset_Käynnit_Lask!O593*(Alukset_fx!$L$52)/1000),IF(AC593="HSD",((V593*Alukset_fx!$O$25)*Alukset_Käynnit_Lask!O593*(Alukset_fx!$L$55)/1000),0)))</f>
        <v>0</v>
      </c>
      <c r="AM593" s="207">
        <f>IF(AG593="Käytetty",0,Y593*O593*Alukset_fx!$K$61/1000)</f>
        <v>0</v>
      </c>
      <c r="AN593" s="213">
        <f t="shared" si="122"/>
        <v>0</v>
      </c>
    </row>
    <row r="594" spans="1:40" x14ac:dyDescent="0.25">
      <c r="A594" s="203">
        <f>Alukset_Käynnit!A601</f>
        <v>0</v>
      </c>
      <c r="B594" s="203">
        <f>Alukset_Käynnit!B601</f>
        <v>0</v>
      </c>
      <c r="C594" s="262">
        <f>Alukset_Käynnit!C601</f>
        <v>0</v>
      </c>
      <c r="D594" s="266">
        <f>Alukset_Käynnit!D601</f>
        <v>0</v>
      </c>
      <c r="E594" s="262">
        <f>Alukset_Käynnit!E601</f>
        <v>0</v>
      </c>
      <c r="F594" s="262">
        <f>Alukset_Käynnit!F601</f>
        <v>0</v>
      </c>
      <c r="G594" s="262">
        <f>Alukset_Käynnit!G601</f>
        <v>0</v>
      </c>
      <c r="H594" s="262">
        <f>Alukset_Käynnit!H601</f>
        <v>0</v>
      </c>
      <c r="I594" s="262">
        <f>Alukset_Käynnit!I601</f>
        <v>0</v>
      </c>
      <c r="J594" s="262">
        <f>Alukset_Käynnit!J601</f>
        <v>0</v>
      </c>
      <c r="K594" s="262">
        <f>Alukset_Käynnit!K601</f>
        <v>0</v>
      </c>
      <c r="L594" s="205">
        <f>Alukset_Käynnit!L601</f>
        <v>0</v>
      </c>
      <c r="N594" s="273">
        <f t="shared" si="111"/>
        <v>0</v>
      </c>
      <c r="O594" s="274">
        <f t="shared" si="112"/>
        <v>0</v>
      </c>
      <c r="Q594" s="204">
        <f t="shared" si="113"/>
        <v>0</v>
      </c>
      <c r="R594" s="202">
        <f>IF(Q594="Other dry cargo",L594*Alukset_fx!$B$71,IF(OR(Q594="Dry bulk",Q594="Bulk carrier"),L594*Alukset_fx!$B$69,IF(Q594="Tugboat",L594*Alukset_fx!$B$76,IF(OR(Q594="Tanker",Q594="Gas tanker",Q594="Chemical tanker",Q594="Oil tanker"),L594*Alukset_fx!$B$68,IF(OR(Q594="RoRo",Q594="Vehicle carrier"),L594*Alukset_fx!$B$72,IF(Q594="RoPax",L594*Alukset_fx!$B$73,IF(Q594="Container ship",L594*Alukset_fx!$B$70,IF(Q594="Barge",0,L594*Alukset_fx!$B$75))))))))</f>
        <v>0</v>
      </c>
      <c r="S594" s="210">
        <f>IF(L594=0,IF(Q594="Other dry cargo",Alukset_fx!$H$73*(Alukset_Käynnit_Lask!K594^Alukset_fx!$I$73),IF(OR(Q594="Dry Bulk",Q594="Bulk carrier"),Alukset_fx!$H$71*(Alukset_Käynnit_Lask!K594^Alukset_fx!$I$71),IF(Q594="Tugboat",Alukset_fx!$H$78*(Alukset_Käynnit_Lask!K594^Alukset_fx!$I$78),IF(OR(Q594="Tanker",Q594="Gas tanker",Q594="Chemical tanker",Q594="Oil tanker"),Alukset_fx!$H$70*(Alukset_Käynnit_Lask!K594^Alukset_fx!$I$70),IF(Q594="Container ship",Alukset_fx!$H$72*(Alukset_Käynnit_Lask!K594^Alukset_fx!$I$72),IF(Q594="Barge",0,IF(Q594="RoPax",Alukset_fx!$H$75*(Alukset_Käynnit_Lask!K594^Alukset_fx!$I$75),IF(OR(Q594="RoRo",Q594="Vehicle carrier"),Alukset_fx!$H$74*(Alukset_Käynnit_Lask!K594^Alukset_fx!$I$74),Alukset_fx!$H$77*(Alukset_Käynnit_Lask!K594^Alukset_fx!$I$77))))))))),"-")</f>
        <v>0</v>
      </c>
      <c r="T594" s="208">
        <f>IF(R594=0,IF(Q594="Other dry cargo",S594*Alukset_fx!$B$71,IF(OR(Q594="Dry bulk",Q594="Bulk carrier"),S594*Alukset_fx!$B$69,IF(Q594="Tugboat",S594*Alukset_fx!$B$76,IF(OR(Q594="Tanker",Q594="Gas tanker",Q594="Chemical tanker",Q594="Oil tanker"),S594*Alukset_fx!$B$68,IF(OR(Q594="RoRo",Q594="Vehicle carrier"),S594*Alukset_fx!$B$72,IF(Q594="RoPax",S594*Alukset_fx!$B$73,IF(Q594="Container ship",S594*Alukset_fx!$B$70,S594*Alukset_fx!$B$75))))))),"-")</f>
        <v>0</v>
      </c>
      <c r="U594" s="208">
        <f t="shared" si="114"/>
        <v>0</v>
      </c>
      <c r="V594" s="208">
        <f t="shared" si="115"/>
        <v>0</v>
      </c>
      <c r="W594" s="202">
        <f>Alukset_Käynnit!N601</f>
        <v>0</v>
      </c>
      <c r="X594" s="211">
        <f>IF(Q594="Other dry cargo", Alukset_fx!$C$52, IF(OR(Q594="Dry bulk",Q594="Bulk carrier"),Alukset_fx!$C$35,IF(OR(Q594="Tanker",Q594="Gas tanker",Q594="Oil tanker"),Alukset_fx!$C$57,IF(Q594="Chemical tanker",Alukset_fx!$C$56,IF(OR(Q594="Tugboat",Q594="Barge"),0,IF(Q594="Other vessel",Alukset_fx!$C$54,IF(Q594="Container ship",Alukset_fx!$C$37,IF(OR(Q594="RoPax",Q594="RoRo",Q594="Vehicle carrier"),Alukset_fx!$C$55,0))))))))</f>
        <v>0</v>
      </c>
      <c r="Y594" s="211">
        <f>IF(Q594="Other dry cargo", Alukset_fx!$Q$52, IF(OR(Q594="Dry bulk",Q594="Bulk carrier"),Alukset_fx!$Q$35,IF(OR(Q594="Tanker",Q594="Gas tanker",Q594="Oil tanker"),Alukset_fx!$Q$57,IF(Q594="Chemical tanker",Alukset_fx!$Q$56,IF(OR(Q594="Tugboat",Q594="Barge"),0,IF(Q594="Other vessel",Alukset_fx!$Q$54,IF(Q594="Container ship",Alukset_fx!$Q$37,IF(OR(Q594="RoPax",Q594="RoRo",Q594="Vehicle carrier"),Alukset_fx!$Q$55,0))))))))</f>
        <v>0</v>
      </c>
      <c r="Z594" t="str">
        <f t="shared" si="116"/>
        <v>MDO/MGO</v>
      </c>
      <c r="AA594" t="str">
        <f t="shared" si="117"/>
        <v>MSD</v>
      </c>
      <c r="AB594" t="str">
        <f t="shared" si="118"/>
        <v>MDO/MGO</v>
      </c>
      <c r="AC594" t="str">
        <f t="shared" si="119"/>
        <v>MSD</v>
      </c>
      <c r="AD594" t="str">
        <f t="shared" si="120"/>
        <v>MDO/MGO</v>
      </c>
      <c r="AE594" t="str">
        <f t="shared" si="121"/>
        <v>ST</v>
      </c>
      <c r="AG594">
        <f>Alukset_Käynnit!O601</f>
        <v>0</v>
      </c>
      <c r="AH594" s="207">
        <f>IF(AA594="SSD",((U594*Alukset_fx!$B$24)*Alukset_Käynnit_Lask!W594*(Alukset_fx!$K$49)/1000),IF(AA594="MSD",((U594*Alukset_fx!$B$24)*Alukset_Käynnit_Lask!W594*(Alukset_fx!$K$52)/1000),IF(AA594="HSD",((U594*Alukset_fx!$B$24)*Alukset_Käynnit_Lask!W594*(Alukset_fx!$K$55)/1000),0)))</f>
        <v>0</v>
      </c>
      <c r="AI594" s="207">
        <f>IF(AC594="MSD",((V594*Alukset_fx!$B$25)*Alukset_Käynnit_Lask!W594*(Alukset_fx!$L$52)/1000),IF(AC594="HSD",((V594*Alukset_fx!$B$25)*Alukset_Käynnit_Lask!W594*(Alukset_fx!$L$55)/1000),0))</f>
        <v>0</v>
      </c>
      <c r="AJ594" s="207">
        <f>X594*W594*Alukset_fx!$K$61/1000</f>
        <v>0</v>
      </c>
      <c r="AK594">
        <v>0</v>
      </c>
      <c r="AL594" s="207">
        <f>IF(AG594="Käytetty",0,IF(AC594="MSD",((V594*Alukset_fx!$O$25)*Alukset_Käynnit_Lask!O594*(Alukset_fx!$L$52)/1000),IF(AC594="HSD",((V594*Alukset_fx!$O$25)*Alukset_Käynnit_Lask!O594*(Alukset_fx!$L$55)/1000),0)))</f>
        <v>0</v>
      </c>
      <c r="AM594" s="207">
        <f>IF(AG594="Käytetty",0,Y594*O594*Alukset_fx!$K$61/1000)</f>
        <v>0</v>
      </c>
      <c r="AN594" s="213">
        <f t="shared" si="122"/>
        <v>0</v>
      </c>
    </row>
    <row r="595" spans="1:40" x14ac:dyDescent="0.25">
      <c r="A595" s="203">
        <f>Alukset_Käynnit!A602</f>
        <v>0</v>
      </c>
      <c r="B595" s="203">
        <f>Alukset_Käynnit!B602</f>
        <v>0</v>
      </c>
      <c r="C595" s="262">
        <f>Alukset_Käynnit!C602</f>
        <v>0</v>
      </c>
      <c r="D595" s="266">
        <f>Alukset_Käynnit!D602</f>
        <v>0</v>
      </c>
      <c r="E595" s="262">
        <f>Alukset_Käynnit!E602</f>
        <v>0</v>
      </c>
      <c r="F595" s="262">
        <f>Alukset_Käynnit!F602</f>
        <v>0</v>
      </c>
      <c r="G595" s="262">
        <f>Alukset_Käynnit!G602</f>
        <v>0</v>
      </c>
      <c r="H595" s="262">
        <f>Alukset_Käynnit!H602</f>
        <v>0</v>
      </c>
      <c r="I595" s="262">
        <f>Alukset_Käynnit!I602</f>
        <v>0</v>
      </c>
      <c r="J595" s="262">
        <f>Alukset_Käynnit!J602</f>
        <v>0</v>
      </c>
      <c r="K595" s="262">
        <f>Alukset_Käynnit!K602</f>
        <v>0</v>
      </c>
      <c r="L595" s="205">
        <f>Alukset_Käynnit!L602</f>
        <v>0</v>
      </c>
      <c r="N595" s="273">
        <f t="shared" si="111"/>
        <v>0</v>
      </c>
      <c r="O595" s="274">
        <f t="shared" si="112"/>
        <v>0</v>
      </c>
      <c r="Q595" s="204">
        <f t="shared" si="113"/>
        <v>0</v>
      </c>
      <c r="R595" s="202">
        <f>IF(Q595="Other dry cargo",L595*Alukset_fx!$B$71,IF(OR(Q595="Dry bulk",Q595="Bulk carrier"),L595*Alukset_fx!$B$69,IF(Q595="Tugboat",L595*Alukset_fx!$B$76,IF(OR(Q595="Tanker",Q595="Gas tanker",Q595="Chemical tanker",Q595="Oil tanker"),L595*Alukset_fx!$B$68,IF(OR(Q595="RoRo",Q595="Vehicle carrier"),L595*Alukset_fx!$B$72,IF(Q595="RoPax",L595*Alukset_fx!$B$73,IF(Q595="Container ship",L595*Alukset_fx!$B$70,IF(Q595="Barge",0,L595*Alukset_fx!$B$75))))))))</f>
        <v>0</v>
      </c>
      <c r="S595" s="210">
        <f>IF(L595=0,IF(Q595="Other dry cargo",Alukset_fx!$H$73*(Alukset_Käynnit_Lask!K595^Alukset_fx!$I$73),IF(OR(Q595="Dry Bulk",Q595="Bulk carrier"),Alukset_fx!$H$71*(Alukset_Käynnit_Lask!K595^Alukset_fx!$I$71),IF(Q595="Tugboat",Alukset_fx!$H$78*(Alukset_Käynnit_Lask!K595^Alukset_fx!$I$78),IF(OR(Q595="Tanker",Q595="Gas tanker",Q595="Chemical tanker",Q595="Oil tanker"),Alukset_fx!$H$70*(Alukset_Käynnit_Lask!K595^Alukset_fx!$I$70),IF(Q595="Container ship",Alukset_fx!$H$72*(Alukset_Käynnit_Lask!K595^Alukset_fx!$I$72),IF(Q595="Barge",0,IF(Q595="RoPax",Alukset_fx!$H$75*(Alukset_Käynnit_Lask!K595^Alukset_fx!$I$75),IF(OR(Q595="RoRo",Q595="Vehicle carrier"),Alukset_fx!$H$74*(Alukset_Käynnit_Lask!K595^Alukset_fx!$I$74),Alukset_fx!$H$77*(Alukset_Käynnit_Lask!K595^Alukset_fx!$I$77))))))))),"-")</f>
        <v>0</v>
      </c>
      <c r="T595" s="208">
        <f>IF(R595=0,IF(Q595="Other dry cargo",S595*Alukset_fx!$B$71,IF(OR(Q595="Dry bulk",Q595="Bulk carrier"),S595*Alukset_fx!$B$69,IF(Q595="Tugboat",S595*Alukset_fx!$B$76,IF(OR(Q595="Tanker",Q595="Gas tanker",Q595="Chemical tanker",Q595="Oil tanker"),S595*Alukset_fx!$B$68,IF(OR(Q595="RoRo",Q595="Vehicle carrier"),S595*Alukset_fx!$B$72,IF(Q595="RoPax",S595*Alukset_fx!$B$73,IF(Q595="Container ship",S595*Alukset_fx!$B$70,S595*Alukset_fx!$B$75))))))),"-")</f>
        <v>0</v>
      </c>
      <c r="U595" s="208">
        <f t="shared" si="114"/>
        <v>0</v>
      </c>
      <c r="V595" s="208">
        <f t="shared" si="115"/>
        <v>0</v>
      </c>
      <c r="W595" s="202">
        <f>Alukset_Käynnit!N602</f>
        <v>0</v>
      </c>
      <c r="X595" s="211">
        <f>IF(Q595="Other dry cargo", Alukset_fx!$C$52, IF(OR(Q595="Dry bulk",Q595="Bulk carrier"),Alukset_fx!$C$35,IF(OR(Q595="Tanker",Q595="Gas tanker",Q595="Oil tanker"),Alukset_fx!$C$57,IF(Q595="Chemical tanker",Alukset_fx!$C$56,IF(OR(Q595="Tugboat",Q595="Barge"),0,IF(Q595="Other vessel",Alukset_fx!$C$54,IF(Q595="Container ship",Alukset_fx!$C$37,IF(OR(Q595="RoPax",Q595="RoRo",Q595="Vehicle carrier"),Alukset_fx!$C$55,0))))))))</f>
        <v>0</v>
      </c>
      <c r="Y595" s="211">
        <f>IF(Q595="Other dry cargo", Alukset_fx!$Q$52, IF(OR(Q595="Dry bulk",Q595="Bulk carrier"),Alukset_fx!$Q$35,IF(OR(Q595="Tanker",Q595="Gas tanker",Q595="Oil tanker"),Alukset_fx!$Q$57,IF(Q595="Chemical tanker",Alukset_fx!$Q$56,IF(OR(Q595="Tugboat",Q595="Barge"),0,IF(Q595="Other vessel",Alukset_fx!$Q$54,IF(Q595="Container ship",Alukset_fx!$Q$37,IF(OR(Q595="RoPax",Q595="RoRo",Q595="Vehicle carrier"),Alukset_fx!$Q$55,0))))))))</f>
        <v>0</v>
      </c>
      <c r="Z595" t="str">
        <f t="shared" si="116"/>
        <v>MDO/MGO</v>
      </c>
      <c r="AA595" t="str">
        <f t="shared" si="117"/>
        <v>MSD</v>
      </c>
      <c r="AB595" t="str">
        <f t="shared" si="118"/>
        <v>MDO/MGO</v>
      </c>
      <c r="AC595" t="str">
        <f t="shared" si="119"/>
        <v>MSD</v>
      </c>
      <c r="AD595" t="str">
        <f t="shared" si="120"/>
        <v>MDO/MGO</v>
      </c>
      <c r="AE595" t="str">
        <f t="shared" si="121"/>
        <v>ST</v>
      </c>
      <c r="AG595">
        <f>Alukset_Käynnit!O602</f>
        <v>0</v>
      </c>
      <c r="AH595" s="207">
        <f>IF(AA595="SSD",((U595*Alukset_fx!$B$24)*Alukset_Käynnit_Lask!W595*(Alukset_fx!$K$49)/1000),IF(AA595="MSD",((U595*Alukset_fx!$B$24)*Alukset_Käynnit_Lask!W595*(Alukset_fx!$K$52)/1000),IF(AA595="HSD",((U595*Alukset_fx!$B$24)*Alukset_Käynnit_Lask!W595*(Alukset_fx!$K$55)/1000),0)))</f>
        <v>0</v>
      </c>
      <c r="AI595" s="207">
        <f>IF(AC595="MSD",((V595*Alukset_fx!$B$25)*Alukset_Käynnit_Lask!W595*(Alukset_fx!$L$52)/1000),IF(AC595="HSD",((V595*Alukset_fx!$B$25)*Alukset_Käynnit_Lask!W595*(Alukset_fx!$L$55)/1000),0))</f>
        <v>0</v>
      </c>
      <c r="AJ595" s="207">
        <f>X595*W595*Alukset_fx!$K$61/1000</f>
        <v>0</v>
      </c>
      <c r="AK595">
        <v>0</v>
      </c>
      <c r="AL595" s="207">
        <f>IF(AG595="Käytetty",0,IF(AC595="MSD",((V595*Alukset_fx!$O$25)*Alukset_Käynnit_Lask!O595*(Alukset_fx!$L$52)/1000),IF(AC595="HSD",((V595*Alukset_fx!$O$25)*Alukset_Käynnit_Lask!O595*(Alukset_fx!$L$55)/1000),0)))</f>
        <v>0</v>
      </c>
      <c r="AM595" s="207">
        <f>IF(AG595="Käytetty",0,Y595*O595*Alukset_fx!$K$61/1000)</f>
        <v>0</v>
      </c>
      <c r="AN595" s="213">
        <f t="shared" si="122"/>
        <v>0</v>
      </c>
    </row>
    <row r="596" spans="1:40" x14ac:dyDescent="0.25">
      <c r="A596" s="203">
        <f>Alukset_Käynnit!A603</f>
        <v>0</v>
      </c>
      <c r="B596" s="203">
        <f>Alukset_Käynnit!B603</f>
        <v>0</v>
      </c>
      <c r="C596" s="262">
        <f>Alukset_Käynnit!C603</f>
        <v>0</v>
      </c>
      <c r="D596" s="266">
        <f>Alukset_Käynnit!D603</f>
        <v>0</v>
      </c>
      <c r="E596" s="262">
        <f>Alukset_Käynnit!E603</f>
        <v>0</v>
      </c>
      <c r="F596" s="262">
        <f>Alukset_Käynnit!F603</f>
        <v>0</v>
      </c>
      <c r="G596" s="262">
        <f>Alukset_Käynnit!G603</f>
        <v>0</v>
      </c>
      <c r="H596" s="262">
        <f>Alukset_Käynnit!H603</f>
        <v>0</v>
      </c>
      <c r="I596" s="262">
        <f>Alukset_Käynnit!I603</f>
        <v>0</v>
      </c>
      <c r="J596" s="262">
        <f>Alukset_Käynnit!J603</f>
        <v>0</v>
      </c>
      <c r="K596" s="262">
        <f>Alukset_Käynnit!K603</f>
        <v>0</v>
      </c>
      <c r="L596" s="205">
        <f>Alukset_Käynnit!L603</f>
        <v>0</v>
      </c>
      <c r="N596" s="273">
        <f t="shared" si="111"/>
        <v>0</v>
      </c>
      <c r="O596" s="274">
        <f t="shared" si="112"/>
        <v>0</v>
      </c>
      <c r="Q596" s="204">
        <f t="shared" si="113"/>
        <v>0</v>
      </c>
      <c r="R596" s="202">
        <f>IF(Q596="Other dry cargo",L596*Alukset_fx!$B$71,IF(OR(Q596="Dry bulk",Q596="Bulk carrier"),L596*Alukset_fx!$B$69,IF(Q596="Tugboat",L596*Alukset_fx!$B$76,IF(OR(Q596="Tanker",Q596="Gas tanker",Q596="Chemical tanker",Q596="Oil tanker"),L596*Alukset_fx!$B$68,IF(OR(Q596="RoRo",Q596="Vehicle carrier"),L596*Alukset_fx!$B$72,IF(Q596="RoPax",L596*Alukset_fx!$B$73,IF(Q596="Container ship",L596*Alukset_fx!$B$70,IF(Q596="Barge",0,L596*Alukset_fx!$B$75))))))))</f>
        <v>0</v>
      </c>
      <c r="S596" s="210">
        <f>IF(L596=0,IF(Q596="Other dry cargo",Alukset_fx!$H$73*(Alukset_Käynnit_Lask!K596^Alukset_fx!$I$73),IF(OR(Q596="Dry Bulk",Q596="Bulk carrier"),Alukset_fx!$H$71*(Alukset_Käynnit_Lask!K596^Alukset_fx!$I$71),IF(Q596="Tugboat",Alukset_fx!$H$78*(Alukset_Käynnit_Lask!K596^Alukset_fx!$I$78),IF(OR(Q596="Tanker",Q596="Gas tanker",Q596="Chemical tanker",Q596="Oil tanker"),Alukset_fx!$H$70*(Alukset_Käynnit_Lask!K596^Alukset_fx!$I$70),IF(Q596="Container ship",Alukset_fx!$H$72*(Alukset_Käynnit_Lask!K596^Alukset_fx!$I$72),IF(Q596="Barge",0,IF(Q596="RoPax",Alukset_fx!$H$75*(Alukset_Käynnit_Lask!K596^Alukset_fx!$I$75),IF(OR(Q596="RoRo",Q596="Vehicle carrier"),Alukset_fx!$H$74*(Alukset_Käynnit_Lask!K596^Alukset_fx!$I$74),Alukset_fx!$H$77*(Alukset_Käynnit_Lask!K596^Alukset_fx!$I$77))))))))),"-")</f>
        <v>0</v>
      </c>
      <c r="T596" s="208">
        <f>IF(R596=0,IF(Q596="Other dry cargo",S596*Alukset_fx!$B$71,IF(OR(Q596="Dry bulk",Q596="Bulk carrier"),S596*Alukset_fx!$B$69,IF(Q596="Tugboat",S596*Alukset_fx!$B$76,IF(OR(Q596="Tanker",Q596="Gas tanker",Q596="Chemical tanker",Q596="Oil tanker"),S596*Alukset_fx!$B$68,IF(OR(Q596="RoRo",Q596="Vehicle carrier"),S596*Alukset_fx!$B$72,IF(Q596="RoPax",S596*Alukset_fx!$B$73,IF(Q596="Container ship",S596*Alukset_fx!$B$70,S596*Alukset_fx!$B$75))))))),"-")</f>
        <v>0</v>
      </c>
      <c r="U596" s="208">
        <f t="shared" si="114"/>
        <v>0</v>
      </c>
      <c r="V596" s="208">
        <f t="shared" si="115"/>
        <v>0</v>
      </c>
      <c r="W596" s="202">
        <f>Alukset_Käynnit!N603</f>
        <v>0</v>
      </c>
      <c r="X596" s="211">
        <f>IF(Q596="Other dry cargo", Alukset_fx!$C$52, IF(OR(Q596="Dry bulk",Q596="Bulk carrier"),Alukset_fx!$C$35,IF(OR(Q596="Tanker",Q596="Gas tanker",Q596="Oil tanker"),Alukset_fx!$C$57,IF(Q596="Chemical tanker",Alukset_fx!$C$56,IF(OR(Q596="Tugboat",Q596="Barge"),0,IF(Q596="Other vessel",Alukset_fx!$C$54,IF(Q596="Container ship",Alukset_fx!$C$37,IF(OR(Q596="RoPax",Q596="RoRo",Q596="Vehicle carrier"),Alukset_fx!$C$55,0))))))))</f>
        <v>0</v>
      </c>
      <c r="Y596" s="211">
        <f>IF(Q596="Other dry cargo", Alukset_fx!$Q$52, IF(OR(Q596="Dry bulk",Q596="Bulk carrier"),Alukset_fx!$Q$35,IF(OR(Q596="Tanker",Q596="Gas tanker",Q596="Oil tanker"),Alukset_fx!$Q$57,IF(Q596="Chemical tanker",Alukset_fx!$Q$56,IF(OR(Q596="Tugboat",Q596="Barge"),0,IF(Q596="Other vessel",Alukset_fx!$Q$54,IF(Q596="Container ship",Alukset_fx!$Q$37,IF(OR(Q596="RoPax",Q596="RoRo",Q596="Vehicle carrier"),Alukset_fx!$Q$55,0))))))))</f>
        <v>0</v>
      </c>
      <c r="Z596" t="str">
        <f t="shared" si="116"/>
        <v>MDO/MGO</v>
      </c>
      <c r="AA596" t="str">
        <f t="shared" si="117"/>
        <v>MSD</v>
      </c>
      <c r="AB596" t="str">
        <f t="shared" si="118"/>
        <v>MDO/MGO</v>
      </c>
      <c r="AC596" t="str">
        <f t="shared" si="119"/>
        <v>MSD</v>
      </c>
      <c r="AD596" t="str">
        <f t="shared" si="120"/>
        <v>MDO/MGO</v>
      </c>
      <c r="AE596" t="str">
        <f t="shared" si="121"/>
        <v>ST</v>
      </c>
      <c r="AG596">
        <f>Alukset_Käynnit!O603</f>
        <v>0</v>
      </c>
      <c r="AH596" s="207">
        <f>IF(AA596="SSD",((U596*Alukset_fx!$B$24)*Alukset_Käynnit_Lask!W596*(Alukset_fx!$K$49)/1000),IF(AA596="MSD",((U596*Alukset_fx!$B$24)*Alukset_Käynnit_Lask!W596*(Alukset_fx!$K$52)/1000),IF(AA596="HSD",((U596*Alukset_fx!$B$24)*Alukset_Käynnit_Lask!W596*(Alukset_fx!$K$55)/1000),0)))</f>
        <v>0</v>
      </c>
      <c r="AI596" s="207">
        <f>IF(AC596="MSD",((V596*Alukset_fx!$B$25)*Alukset_Käynnit_Lask!W596*(Alukset_fx!$L$52)/1000),IF(AC596="HSD",((V596*Alukset_fx!$B$25)*Alukset_Käynnit_Lask!W596*(Alukset_fx!$L$55)/1000),0))</f>
        <v>0</v>
      </c>
      <c r="AJ596" s="207">
        <f>X596*W596*Alukset_fx!$K$61/1000</f>
        <v>0</v>
      </c>
      <c r="AK596">
        <v>0</v>
      </c>
      <c r="AL596" s="207">
        <f>IF(AG596="Käytetty",0,IF(AC596="MSD",((V596*Alukset_fx!$O$25)*Alukset_Käynnit_Lask!O596*(Alukset_fx!$L$52)/1000),IF(AC596="HSD",((V596*Alukset_fx!$O$25)*Alukset_Käynnit_Lask!O596*(Alukset_fx!$L$55)/1000),0)))</f>
        <v>0</v>
      </c>
      <c r="AM596" s="207">
        <f>IF(AG596="Käytetty",0,Y596*O596*Alukset_fx!$K$61/1000)</f>
        <v>0</v>
      </c>
      <c r="AN596" s="213">
        <f t="shared" si="122"/>
        <v>0</v>
      </c>
    </row>
    <row r="597" spans="1:40" x14ac:dyDescent="0.25">
      <c r="A597" s="203">
        <f>Alukset_Käynnit!A604</f>
        <v>0</v>
      </c>
      <c r="B597" s="203">
        <f>Alukset_Käynnit!B604</f>
        <v>0</v>
      </c>
      <c r="C597" s="262">
        <f>Alukset_Käynnit!C604</f>
        <v>0</v>
      </c>
      <c r="D597" s="266">
        <f>Alukset_Käynnit!D604</f>
        <v>0</v>
      </c>
      <c r="E597" s="262">
        <f>Alukset_Käynnit!E604</f>
        <v>0</v>
      </c>
      <c r="F597" s="262">
        <f>Alukset_Käynnit!F604</f>
        <v>0</v>
      </c>
      <c r="G597" s="262">
        <f>Alukset_Käynnit!G604</f>
        <v>0</v>
      </c>
      <c r="H597" s="262">
        <f>Alukset_Käynnit!H604</f>
        <v>0</v>
      </c>
      <c r="I597" s="262">
        <f>Alukset_Käynnit!I604</f>
        <v>0</v>
      </c>
      <c r="J597" s="262">
        <f>Alukset_Käynnit!J604</f>
        <v>0</v>
      </c>
      <c r="K597" s="262">
        <f>Alukset_Käynnit!K604</f>
        <v>0</v>
      </c>
      <c r="L597" s="205">
        <f>Alukset_Käynnit!L604</f>
        <v>0</v>
      </c>
      <c r="N597" s="273">
        <f t="shared" ref="N597:N660" si="123">(B597-A597)*1440</f>
        <v>0</v>
      </c>
      <c r="O597" s="274">
        <f t="shared" ref="O597:O660" si="124">N597/60</f>
        <v>0</v>
      </c>
      <c r="Q597" s="204">
        <f t="shared" si="113"/>
        <v>0</v>
      </c>
      <c r="R597" s="202">
        <f>IF(Q597="Other dry cargo",L597*Alukset_fx!$B$71,IF(OR(Q597="Dry bulk",Q597="Bulk carrier"),L597*Alukset_fx!$B$69,IF(Q597="Tugboat",L597*Alukset_fx!$B$76,IF(OR(Q597="Tanker",Q597="Gas tanker",Q597="Chemical tanker",Q597="Oil tanker"),L597*Alukset_fx!$B$68,IF(OR(Q597="RoRo",Q597="Vehicle carrier"),L597*Alukset_fx!$B$72,IF(Q597="RoPax",L597*Alukset_fx!$B$73,IF(Q597="Container ship",L597*Alukset_fx!$B$70,IF(Q597="Barge",0,L597*Alukset_fx!$B$75))))))))</f>
        <v>0</v>
      </c>
      <c r="S597" s="210">
        <f>IF(L597=0,IF(Q597="Other dry cargo",Alukset_fx!$H$73*(Alukset_Käynnit_Lask!K597^Alukset_fx!$I$73),IF(OR(Q597="Dry Bulk",Q597="Bulk carrier"),Alukset_fx!$H$71*(Alukset_Käynnit_Lask!K597^Alukset_fx!$I$71),IF(Q597="Tugboat",Alukset_fx!$H$78*(Alukset_Käynnit_Lask!K597^Alukset_fx!$I$78),IF(OR(Q597="Tanker",Q597="Gas tanker",Q597="Chemical tanker",Q597="Oil tanker"),Alukset_fx!$H$70*(Alukset_Käynnit_Lask!K597^Alukset_fx!$I$70),IF(Q597="Container ship",Alukset_fx!$H$72*(Alukset_Käynnit_Lask!K597^Alukset_fx!$I$72),IF(Q597="Barge",0,IF(Q597="RoPax",Alukset_fx!$H$75*(Alukset_Käynnit_Lask!K597^Alukset_fx!$I$75),IF(OR(Q597="RoRo",Q597="Vehicle carrier"),Alukset_fx!$H$74*(Alukset_Käynnit_Lask!K597^Alukset_fx!$I$74),Alukset_fx!$H$77*(Alukset_Käynnit_Lask!K597^Alukset_fx!$I$77))))))))),"-")</f>
        <v>0</v>
      </c>
      <c r="T597" s="208">
        <f>IF(R597=0,IF(Q597="Other dry cargo",S597*Alukset_fx!$B$71,IF(OR(Q597="Dry bulk",Q597="Bulk carrier"),S597*Alukset_fx!$B$69,IF(Q597="Tugboat",S597*Alukset_fx!$B$76,IF(OR(Q597="Tanker",Q597="Gas tanker",Q597="Chemical tanker",Q597="Oil tanker"),S597*Alukset_fx!$B$68,IF(OR(Q597="RoRo",Q597="Vehicle carrier"),S597*Alukset_fx!$B$72,IF(Q597="RoPax",S597*Alukset_fx!$B$73,IF(Q597="Container ship",S597*Alukset_fx!$B$70,S597*Alukset_fx!$B$75))))))),"-")</f>
        <v>0</v>
      </c>
      <c r="U597" s="208">
        <f t="shared" si="114"/>
        <v>0</v>
      </c>
      <c r="V597" s="208">
        <f t="shared" si="115"/>
        <v>0</v>
      </c>
      <c r="W597" s="202">
        <f>Alukset_Käynnit!N604</f>
        <v>0</v>
      </c>
      <c r="X597" s="211">
        <f>IF(Q597="Other dry cargo", Alukset_fx!$C$52, IF(OR(Q597="Dry bulk",Q597="Bulk carrier"),Alukset_fx!$C$35,IF(OR(Q597="Tanker",Q597="Gas tanker",Q597="Oil tanker"),Alukset_fx!$C$57,IF(Q597="Chemical tanker",Alukset_fx!$C$56,IF(OR(Q597="Tugboat",Q597="Barge"),0,IF(Q597="Other vessel",Alukset_fx!$C$54,IF(Q597="Container ship",Alukset_fx!$C$37,IF(OR(Q597="RoPax",Q597="RoRo",Q597="Vehicle carrier"),Alukset_fx!$C$55,0))))))))</f>
        <v>0</v>
      </c>
      <c r="Y597" s="211">
        <f>IF(Q597="Other dry cargo", Alukset_fx!$Q$52, IF(OR(Q597="Dry bulk",Q597="Bulk carrier"),Alukset_fx!$Q$35,IF(OR(Q597="Tanker",Q597="Gas tanker",Q597="Oil tanker"),Alukset_fx!$Q$57,IF(Q597="Chemical tanker",Alukset_fx!$Q$56,IF(OR(Q597="Tugboat",Q597="Barge"),0,IF(Q597="Other vessel",Alukset_fx!$Q$54,IF(Q597="Container ship",Alukset_fx!$Q$37,IF(OR(Q597="RoPax",Q597="RoRo",Q597="Vehicle carrier"),Alukset_fx!$Q$55,0))))))))</f>
        <v>0</v>
      </c>
      <c r="Z597" t="str">
        <f t="shared" si="116"/>
        <v>MDO/MGO</v>
      </c>
      <c r="AA597" t="str">
        <f t="shared" si="117"/>
        <v>MSD</v>
      </c>
      <c r="AB597" t="str">
        <f t="shared" si="118"/>
        <v>MDO/MGO</v>
      </c>
      <c r="AC597" t="str">
        <f t="shared" si="119"/>
        <v>MSD</v>
      </c>
      <c r="AD597" t="str">
        <f t="shared" si="120"/>
        <v>MDO/MGO</v>
      </c>
      <c r="AE597" t="str">
        <f t="shared" si="121"/>
        <v>ST</v>
      </c>
      <c r="AG597">
        <f>Alukset_Käynnit!O604</f>
        <v>0</v>
      </c>
      <c r="AH597" s="207">
        <f>IF(AA597="SSD",((U597*Alukset_fx!$B$24)*Alukset_Käynnit_Lask!W597*(Alukset_fx!$K$49)/1000),IF(AA597="MSD",((U597*Alukset_fx!$B$24)*Alukset_Käynnit_Lask!W597*(Alukset_fx!$K$52)/1000),IF(AA597="HSD",((U597*Alukset_fx!$B$24)*Alukset_Käynnit_Lask!W597*(Alukset_fx!$K$55)/1000),0)))</f>
        <v>0</v>
      </c>
      <c r="AI597" s="207">
        <f>IF(AC597="MSD",((V597*Alukset_fx!$B$25)*Alukset_Käynnit_Lask!W597*(Alukset_fx!$L$52)/1000),IF(AC597="HSD",((V597*Alukset_fx!$B$25)*Alukset_Käynnit_Lask!W597*(Alukset_fx!$L$55)/1000),0))</f>
        <v>0</v>
      </c>
      <c r="AJ597" s="207">
        <f>X597*W597*Alukset_fx!$K$61/1000</f>
        <v>0</v>
      </c>
      <c r="AK597">
        <v>0</v>
      </c>
      <c r="AL597" s="207">
        <f>IF(AG597="Käytetty",0,IF(AC597="MSD",((V597*Alukset_fx!$O$25)*Alukset_Käynnit_Lask!O597*(Alukset_fx!$L$52)/1000),IF(AC597="HSD",((V597*Alukset_fx!$O$25)*Alukset_Käynnit_Lask!O597*(Alukset_fx!$L$55)/1000),0)))</f>
        <v>0</v>
      </c>
      <c r="AM597" s="207">
        <f>IF(AG597="Käytetty",0,Y597*O597*Alukset_fx!$K$61/1000)</f>
        <v>0</v>
      </c>
      <c r="AN597" s="213">
        <f t="shared" si="122"/>
        <v>0</v>
      </c>
    </row>
    <row r="598" spans="1:40" x14ac:dyDescent="0.25">
      <c r="A598" s="203">
        <f>Alukset_Käynnit!A605</f>
        <v>0</v>
      </c>
      <c r="B598" s="203">
        <f>Alukset_Käynnit!B605</f>
        <v>0</v>
      </c>
      <c r="C598" s="262">
        <f>Alukset_Käynnit!C605</f>
        <v>0</v>
      </c>
      <c r="D598" s="266">
        <f>Alukset_Käynnit!D605</f>
        <v>0</v>
      </c>
      <c r="E598" s="262">
        <f>Alukset_Käynnit!E605</f>
        <v>0</v>
      </c>
      <c r="F598" s="262">
        <f>Alukset_Käynnit!F605</f>
        <v>0</v>
      </c>
      <c r="G598" s="262">
        <f>Alukset_Käynnit!G605</f>
        <v>0</v>
      </c>
      <c r="H598" s="262">
        <f>Alukset_Käynnit!H605</f>
        <v>0</v>
      </c>
      <c r="I598" s="262">
        <f>Alukset_Käynnit!I605</f>
        <v>0</v>
      </c>
      <c r="J598" s="262">
        <f>Alukset_Käynnit!J605</f>
        <v>0</v>
      </c>
      <c r="K598" s="262">
        <f>Alukset_Käynnit!K605</f>
        <v>0</v>
      </c>
      <c r="L598" s="205">
        <f>Alukset_Käynnit!L605</f>
        <v>0</v>
      </c>
      <c r="N598" s="273">
        <f t="shared" si="123"/>
        <v>0</v>
      </c>
      <c r="O598" s="274">
        <f t="shared" si="124"/>
        <v>0</v>
      </c>
      <c r="Q598" s="204">
        <f t="shared" si="113"/>
        <v>0</v>
      </c>
      <c r="R598" s="202">
        <f>IF(Q598="Other dry cargo",L598*Alukset_fx!$B$71,IF(OR(Q598="Dry bulk",Q598="Bulk carrier"),L598*Alukset_fx!$B$69,IF(Q598="Tugboat",L598*Alukset_fx!$B$76,IF(OR(Q598="Tanker",Q598="Gas tanker",Q598="Chemical tanker",Q598="Oil tanker"),L598*Alukset_fx!$B$68,IF(OR(Q598="RoRo",Q598="Vehicle carrier"),L598*Alukset_fx!$B$72,IF(Q598="RoPax",L598*Alukset_fx!$B$73,IF(Q598="Container ship",L598*Alukset_fx!$B$70,IF(Q598="Barge",0,L598*Alukset_fx!$B$75))))))))</f>
        <v>0</v>
      </c>
      <c r="S598" s="210">
        <f>IF(L598=0,IF(Q598="Other dry cargo",Alukset_fx!$H$73*(Alukset_Käynnit_Lask!K598^Alukset_fx!$I$73),IF(OR(Q598="Dry Bulk",Q598="Bulk carrier"),Alukset_fx!$H$71*(Alukset_Käynnit_Lask!K598^Alukset_fx!$I$71),IF(Q598="Tugboat",Alukset_fx!$H$78*(Alukset_Käynnit_Lask!K598^Alukset_fx!$I$78),IF(OR(Q598="Tanker",Q598="Gas tanker",Q598="Chemical tanker",Q598="Oil tanker"),Alukset_fx!$H$70*(Alukset_Käynnit_Lask!K598^Alukset_fx!$I$70),IF(Q598="Container ship",Alukset_fx!$H$72*(Alukset_Käynnit_Lask!K598^Alukset_fx!$I$72),IF(Q598="Barge",0,IF(Q598="RoPax",Alukset_fx!$H$75*(Alukset_Käynnit_Lask!K598^Alukset_fx!$I$75),IF(OR(Q598="RoRo",Q598="Vehicle carrier"),Alukset_fx!$H$74*(Alukset_Käynnit_Lask!K598^Alukset_fx!$I$74),Alukset_fx!$H$77*(Alukset_Käynnit_Lask!K598^Alukset_fx!$I$77))))))))),"-")</f>
        <v>0</v>
      </c>
      <c r="T598" s="208">
        <f>IF(R598=0,IF(Q598="Other dry cargo",S598*Alukset_fx!$B$71,IF(OR(Q598="Dry bulk",Q598="Bulk carrier"),S598*Alukset_fx!$B$69,IF(Q598="Tugboat",S598*Alukset_fx!$B$76,IF(OR(Q598="Tanker",Q598="Gas tanker",Q598="Chemical tanker",Q598="Oil tanker"),S598*Alukset_fx!$B$68,IF(OR(Q598="RoRo",Q598="Vehicle carrier"),S598*Alukset_fx!$B$72,IF(Q598="RoPax",S598*Alukset_fx!$B$73,IF(Q598="Container ship",S598*Alukset_fx!$B$70,S598*Alukset_fx!$B$75))))))),"-")</f>
        <v>0</v>
      </c>
      <c r="U598" s="208">
        <f t="shared" si="114"/>
        <v>0</v>
      </c>
      <c r="V598" s="208">
        <f t="shared" si="115"/>
        <v>0</v>
      </c>
      <c r="W598" s="202">
        <f>Alukset_Käynnit!N605</f>
        <v>0</v>
      </c>
      <c r="X598" s="211">
        <f>IF(Q598="Other dry cargo", Alukset_fx!$C$52, IF(OR(Q598="Dry bulk",Q598="Bulk carrier"),Alukset_fx!$C$35,IF(OR(Q598="Tanker",Q598="Gas tanker",Q598="Oil tanker"),Alukset_fx!$C$57,IF(Q598="Chemical tanker",Alukset_fx!$C$56,IF(OR(Q598="Tugboat",Q598="Barge"),0,IF(Q598="Other vessel",Alukset_fx!$C$54,IF(Q598="Container ship",Alukset_fx!$C$37,IF(OR(Q598="RoPax",Q598="RoRo",Q598="Vehicle carrier"),Alukset_fx!$C$55,0))))))))</f>
        <v>0</v>
      </c>
      <c r="Y598" s="211">
        <f>IF(Q598="Other dry cargo", Alukset_fx!$Q$52, IF(OR(Q598="Dry bulk",Q598="Bulk carrier"),Alukset_fx!$Q$35,IF(OR(Q598="Tanker",Q598="Gas tanker",Q598="Oil tanker"),Alukset_fx!$Q$57,IF(Q598="Chemical tanker",Alukset_fx!$Q$56,IF(OR(Q598="Tugboat",Q598="Barge"),0,IF(Q598="Other vessel",Alukset_fx!$Q$54,IF(Q598="Container ship",Alukset_fx!$Q$37,IF(OR(Q598="RoPax",Q598="RoRo",Q598="Vehicle carrier"),Alukset_fx!$Q$55,0))))))))</f>
        <v>0</v>
      </c>
      <c r="Z598" t="str">
        <f t="shared" si="116"/>
        <v>MDO/MGO</v>
      </c>
      <c r="AA598" t="str">
        <f t="shared" si="117"/>
        <v>MSD</v>
      </c>
      <c r="AB598" t="str">
        <f t="shared" si="118"/>
        <v>MDO/MGO</v>
      </c>
      <c r="AC598" t="str">
        <f t="shared" si="119"/>
        <v>MSD</v>
      </c>
      <c r="AD598" t="str">
        <f t="shared" si="120"/>
        <v>MDO/MGO</v>
      </c>
      <c r="AE598" t="str">
        <f t="shared" si="121"/>
        <v>ST</v>
      </c>
      <c r="AG598">
        <f>Alukset_Käynnit!O605</f>
        <v>0</v>
      </c>
      <c r="AH598" s="207">
        <f>IF(AA598="SSD",((U598*Alukset_fx!$B$24)*Alukset_Käynnit_Lask!W598*(Alukset_fx!$K$49)/1000),IF(AA598="MSD",((U598*Alukset_fx!$B$24)*Alukset_Käynnit_Lask!W598*(Alukset_fx!$K$52)/1000),IF(AA598="HSD",((U598*Alukset_fx!$B$24)*Alukset_Käynnit_Lask!W598*(Alukset_fx!$K$55)/1000),0)))</f>
        <v>0</v>
      </c>
      <c r="AI598" s="207">
        <f>IF(AC598="MSD",((V598*Alukset_fx!$B$25)*Alukset_Käynnit_Lask!W598*(Alukset_fx!$L$52)/1000),IF(AC598="HSD",((V598*Alukset_fx!$B$25)*Alukset_Käynnit_Lask!W598*(Alukset_fx!$L$55)/1000),0))</f>
        <v>0</v>
      </c>
      <c r="AJ598" s="207">
        <f>X598*W598*Alukset_fx!$K$61/1000</f>
        <v>0</v>
      </c>
      <c r="AK598">
        <v>0</v>
      </c>
      <c r="AL598" s="207">
        <f>IF(AG598="Käytetty",0,IF(AC598="MSD",((V598*Alukset_fx!$O$25)*Alukset_Käynnit_Lask!O598*(Alukset_fx!$L$52)/1000),IF(AC598="HSD",((V598*Alukset_fx!$O$25)*Alukset_Käynnit_Lask!O598*(Alukset_fx!$L$55)/1000),0)))</f>
        <v>0</v>
      </c>
      <c r="AM598" s="207">
        <f>IF(AG598="Käytetty",0,Y598*O598*Alukset_fx!$K$61/1000)</f>
        <v>0</v>
      </c>
      <c r="AN598" s="213">
        <f t="shared" si="122"/>
        <v>0</v>
      </c>
    </row>
    <row r="599" spans="1:40" x14ac:dyDescent="0.25">
      <c r="A599" s="203">
        <f>Alukset_Käynnit!A606</f>
        <v>0</v>
      </c>
      <c r="B599" s="203">
        <f>Alukset_Käynnit!B606</f>
        <v>0</v>
      </c>
      <c r="C599" s="262">
        <f>Alukset_Käynnit!C606</f>
        <v>0</v>
      </c>
      <c r="D599" s="266">
        <f>Alukset_Käynnit!D606</f>
        <v>0</v>
      </c>
      <c r="E599" s="262">
        <f>Alukset_Käynnit!E606</f>
        <v>0</v>
      </c>
      <c r="F599" s="262">
        <f>Alukset_Käynnit!F606</f>
        <v>0</v>
      </c>
      <c r="G599" s="262">
        <f>Alukset_Käynnit!G606</f>
        <v>0</v>
      </c>
      <c r="H599" s="262">
        <f>Alukset_Käynnit!H606</f>
        <v>0</v>
      </c>
      <c r="I599" s="262">
        <f>Alukset_Käynnit!I606</f>
        <v>0</v>
      </c>
      <c r="J599" s="262">
        <f>Alukset_Käynnit!J606</f>
        <v>0</v>
      </c>
      <c r="K599" s="262">
        <f>Alukset_Käynnit!K606</f>
        <v>0</v>
      </c>
      <c r="L599" s="205">
        <f>Alukset_Käynnit!L606</f>
        <v>0</v>
      </c>
      <c r="N599" s="273">
        <f t="shared" si="123"/>
        <v>0</v>
      </c>
      <c r="O599" s="274">
        <f t="shared" si="124"/>
        <v>0</v>
      </c>
      <c r="Q599" s="204">
        <f t="shared" si="113"/>
        <v>0</v>
      </c>
      <c r="R599" s="202">
        <f>IF(Q599="Other dry cargo",L599*Alukset_fx!$B$71,IF(OR(Q599="Dry bulk",Q599="Bulk carrier"),L599*Alukset_fx!$B$69,IF(Q599="Tugboat",L599*Alukset_fx!$B$76,IF(OR(Q599="Tanker",Q599="Gas tanker",Q599="Chemical tanker",Q599="Oil tanker"),L599*Alukset_fx!$B$68,IF(OR(Q599="RoRo",Q599="Vehicle carrier"),L599*Alukset_fx!$B$72,IF(Q599="RoPax",L599*Alukset_fx!$B$73,IF(Q599="Container ship",L599*Alukset_fx!$B$70,IF(Q599="Barge",0,L599*Alukset_fx!$B$75))))))))</f>
        <v>0</v>
      </c>
      <c r="S599" s="210">
        <f>IF(L599=0,IF(Q599="Other dry cargo",Alukset_fx!$H$73*(Alukset_Käynnit_Lask!K599^Alukset_fx!$I$73),IF(OR(Q599="Dry Bulk",Q599="Bulk carrier"),Alukset_fx!$H$71*(Alukset_Käynnit_Lask!K599^Alukset_fx!$I$71),IF(Q599="Tugboat",Alukset_fx!$H$78*(Alukset_Käynnit_Lask!K599^Alukset_fx!$I$78),IF(OR(Q599="Tanker",Q599="Gas tanker",Q599="Chemical tanker",Q599="Oil tanker"),Alukset_fx!$H$70*(Alukset_Käynnit_Lask!K599^Alukset_fx!$I$70),IF(Q599="Container ship",Alukset_fx!$H$72*(Alukset_Käynnit_Lask!K599^Alukset_fx!$I$72),IF(Q599="Barge",0,IF(Q599="RoPax",Alukset_fx!$H$75*(Alukset_Käynnit_Lask!K599^Alukset_fx!$I$75),IF(OR(Q599="RoRo",Q599="Vehicle carrier"),Alukset_fx!$H$74*(Alukset_Käynnit_Lask!K599^Alukset_fx!$I$74),Alukset_fx!$H$77*(Alukset_Käynnit_Lask!K599^Alukset_fx!$I$77))))))))),"-")</f>
        <v>0</v>
      </c>
      <c r="T599" s="208">
        <f>IF(R599=0,IF(Q599="Other dry cargo",S599*Alukset_fx!$B$71,IF(OR(Q599="Dry bulk",Q599="Bulk carrier"),S599*Alukset_fx!$B$69,IF(Q599="Tugboat",S599*Alukset_fx!$B$76,IF(OR(Q599="Tanker",Q599="Gas tanker",Q599="Chemical tanker",Q599="Oil tanker"),S599*Alukset_fx!$B$68,IF(OR(Q599="RoRo",Q599="Vehicle carrier"),S599*Alukset_fx!$B$72,IF(Q599="RoPax",S599*Alukset_fx!$B$73,IF(Q599="Container ship",S599*Alukset_fx!$B$70,S599*Alukset_fx!$B$75))))))),"-")</f>
        <v>0</v>
      </c>
      <c r="U599" s="208">
        <f t="shared" si="114"/>
        <v>0</v>
      </c>
      <c r="V599" s="208">
        <f t="shared" si="115"/>
        <v>0</v>
      </c>
      <c r="W599" s="202">
        <f>Alukset_Käynnit!N606</f>
        <v>0</v>
      </c>
      <c r="X599" s="211">
        <f>IF(Q599="Other dry cargo", Alukset_fx!$C$52, IF(OR(Q599="Dry bulk",Q599="Bulk carrier"),Alukset_fx!$C$35,IF(OR(Q599="Tanker",Q599="Gas tanker",Q599="Oil tanker"),Alukset_fx!$C$57,IF(Q599="Chemical tanker",Alukset_fx!$C$56,IF(OR(Q599="Tugboat",Q599="Barge"),0,IF(Q599="Other vessel",Alukset_fx!$C$54,IF(Q599="Container ship",Alukset_fx!$C$37,IF(OR(Q599="RoPax",Q599="RoRo",Q599="Vehicle carrier"),Alukset_fx!$C$55,0))))))))</f>
        <v>0</v>
      </c>
      <c r="Y599" s="211">
        <f>IF(Q599="Other dry cargo", Alukset_fx!$Q$52, IF(OR(Q599="Dry bulk",Q599="Bulk carrier"),Alukset_fx!$Q$35,IF(OR(Q599="Tanker",Q599="Gas tanker",Q599="Oil tanker"),Alukset_fx!$Q$57,IF(Q599="Chemical tanker",Alukset_fx!$Q$56,IF(OR(Q599="Tugboat",Q599="Barge"),0,IF(Q599="Other vessel",Alukset_fx!$Q$54,IF(Q599="Container ship",Alukset_fx!$Q$37,IF(OR(Q599="RoPax",Q599="RoRo",Q599="Vehicle carrier"),Alukset_fx!$Q$55,0))))))))</f>
        <v>0</v>
      </c>
      <c r="Z599" t="str">
        <f t="shared" si="116"/>
        <v>MDO/MGO</v>
      </c>
      <c r="AA599" t="str">
        <f t="shared" si="117"/>
        <v>MSD</v>
      </c>
      <c r="AB599" t="str">
        <f t="shared" si="118"/>
        <v>MDO/MGO</v>
      </c>
      <c r="AC599" t="str">
        <f t="shared" si="119"/>
        <v>MSD</v>
      </c>
      <c r="AD599" t="str">
        <f t="shared" si="120"/>
        <v>MDO/MGO</v>
      </c>
      <c r="AE599" t="str">
        <f t="shared" si="121"/>
        <v>ST</v>
      </c>
      <c r="AG599">
        <f>Alukset_Käynnit!O606</f>
        <v>0</v>
      </c>
      <c r="AH599" s="207">
        <f>IF(AA599="SSD",((U599*Alukset_fx!$B$24)*Alukset_Käynnit_Lask!W599*(Alukset_fx!$K$49)/1000),IF(AA599="MSD",((U599*Alukset_fx!$B$24)*Alukset_Käynnit_Lask!W599*(Alukset_fx!$K$52)/1000),IF(AA599="HSD",((U599*Alukset_fx!$B$24)*Alukset_Käynnit_Lask!W599*(Alukset_fx!$K$55)/1000),0)))</f>
        <v>0</v>
      </c>
      <c r="AI599" s="207">
        <f>IF(AC599="MSD",((V599*Alukset_fx!$B$25)*Alukset_Käynnit_Lask!W599*(Alukset_fx!$L$52)/1000),IF(AC599="HSD",((V599*Alukset_fx!$B$25)*Alukset_Käynnit_Lask!W599*(Alukset_fx!$L$55)/1000),0))</f>
        <v>0</v>
      </c>
      <c r="AJ599" s="207">
        <f>X599*W599*Alukset_fx!$K$61/1000</f>
        <v>0</v>
      </c>
      <c r="AK599">
        <v>0</v>
      </c>
      <c r="AL599" s="207">
        <f>IF(AG599="Käytetty",0,IF(AC599="MSD",((V599*Alukset_fx!$O$25)*Alukset_Käynnit_Lask!O599*(Alukset_fx!$L$52)/1000),IF(AC599="HSD",((V599*Alukset_fx!$O$25)*Alukset_Käynnit_Lask!O599*(Alukset_fx!$L$55)/1000),0)))</f>
        <v>0</v>
      </c>
      <c r="AM599" s="207">
        <f>IF(AG599="Käytetty",0,Y599*O599*Alukset_fx!$K$61/1000)</f>
        <v>0</v>
      </c>
      <c r="AN599" s="213">
        <f t="shared" si="122"/>
        <v>0</v>
      </c>
    </row>
    <row r="600" spans="1:40" x14ac:dyDescent="0.25">
      <c r="A600" s="203">
        <f>Alukset_Käynnit!A607</f>
        <v>0</v>
      </c>
      <c r="B600" s="203">
        <f>Alukset_Käynnit!B607</f>
        <v>0</v>
      </c>
      <c r="C600" s="262">
        <f>Alukset_Käynnit!C607</f>
        <v>0</v>
      </c>
      <c r="D600" s="266">
        <f>Alukset_Käynnit!D607</f>
        <v>0</v>
      </c>
      <c r="E600" s="262">
        <f>Alukset_Käynnit!E607</f>
        <v>0</v>
      </c>
      <c r="F600" s="262">
        <f>Alukset_Käynnit!F607</f>
        <v>0</v>
      </c>
      <c r="G600" s="262">
        <f>Alukset_Käynnit!G607</f>
        <v>0</v>
      </c>
      <c r="H600" s="262">
        <f>Alukset_Käynnit!H607</f>
        <v>0</v>
      </c>
      <c r="I600" s="262">
        <f>Alukset_Käynnit!I607</f>
        <v>0</v>
      </c>
      <c r="J600" s="262">
        <f>Alukset_Käynnit!J607</f>
        <v>0</v>
      </c>
      <c r="K600" s="262">
        <f>Alukset_Käynnit!K607</f>
        <v>0</v>
      </c>
      <c r="L600" s="205">
        <f>Alukset_Käynnit!L607</f>
        <v>0</v>
      </c>
      <c r="N600" s="273">
        <f t="shared" si="123"/>
        <v>0</v>
      </c>
      <c r="O600" s="274">
        <f t="shared" si="124"/>
        <v>0</v>
      </c>
      <c r="Q600" s="204">
        <f t="shared" si="113"/>
        <v>0</v>
      </c>
      <c r="R600" s="202">
        <f>IF(Q600="Other dry cargo",L600*Alukset_fx!$B$71,IF(OR(Q600="Dry bulk",Q600="Bulk carrier"),L600*Alukset_fx!$B$69,IF(Q600="Tugboat",L600*Alukset_fx!$B$76,IF(OR(Q600="Tanker",Q600="Gas tanker",Q600="Chemical tanker",Q600="Oil tanker"),L600*Alukset_fx!$B$68,IF(OR(Q600="RoRo",Q600="Vehicle carrier"),L600*Alukset_fx!$B$72,IF(Q600="RoPax",L600*Alukset_fx!$B$73,IF(Q600="Container ship",L600*Alukset_fx!$B$70,IF(Q600="Barge",0,L600*Alukset_fx!$B$75))))))))</f>
        <v>0</v>
      </c>
      <c r="S600" s="210">
        <f>IF(L600=0,IF(Q600="Other dry cargo",Alukset_fx!$H$73*(Alukset_Käynnit_Lask!K600^Alukset_fx!$I$73),IF(OR(Q600="Dry Bulk",Q600="Bulk carrier"),Alukset_fx!$H$71*(Alukset_Käynnit_Lask!K600^Alukset_fx!$I$71),IF(Q600="Tugboat",Alukset_fx!$H$78*(Alukset_Käynnit_Lask!K600^Alukset_fx!$I$78),IF(OR(Q600="Tanker",Q600="Gas tanker",Q600="Chemical tanker",Q600="Oil tanker"),Alukset_fx!$H$70*(Alukset_Käynnit_Lask!K600^Alukset_fx!$I$70),IF(Q600="Container ship",Alukset_fx!$H$72*(Alukset_Käynnit_Lask!K600^Alukset_fx!$I$72),IF(Q600="Barge",0,IF(Q600="RoPax",Alukset_fx!$H$75*(Alukset_Käynnit_Lask!K600^Alukset_fx!$I$75),IF(OR(Q600="RoRo",Q600="Vehicle carrier"),Alukset_fx!$H$74*(Alukset_Käynnit_Lask!K600^Alukset_fx!$I$74),Alukset_fx!$H$77*(Alukset_Käynnit_Lask!K600^Alukset_fx!$I$77))))))))),"-")</f>
        <v>0</v>
      </c>
      <c r="T600" s="208">
        <f>IF(R600=0,IF(Q600="Other dry cargo",S600*Alukset_fx!$B$71,IF(OR(Q600="Dry bulk",Q600="Bulk carrier"),S600*Alukset_fx!$B$69,IF(Q600="Tugboat",S600*Alukset_fx!$B$76,IF(OR(Q600="Tanker",Q600="Gas tanker",Q600="Chemical tanker",Q600="Oil tanker"),S600*Alukset_fx!$B$68,IF(OR(Q600="RoRo",Q600="Vehicle carrier"),S600*Alukset_fx!$B$72,IF(Q600="RoPax",S600*Alukset_fx!$B$73,IF(Q600="Container ship",S600*Alukset_fx!$B$70,S600*Alukset_fx!$B$75))))))),"-")</f>
        <v>0</v>
      </c>
      <c r="U600" s="208">
        <f t="shared" si="114"/>
        <v>0</v>
      </c>
      <c r="V600" s="208">
        <f t="shared" si="115"/>
        <v>0</v>
      </c>
      <c r="W600" s="202">
        <f>Alukset_Käynnit!N607</f>
        <v>0</v>
      </c>
      <c r="X600" s="211">
        <f>IF(Q600="Other dry cargo", Alukset_fx!$C$52, IF(OR(Q600="Dry bulk",Q600="Bulk carrier"),Alukset_fx!$C$35,IF(OR(Q600="Tanker",Q600="Gas tanker",Q600="Oil tanker"),Alukset_fx!$C$57,IF(Q600="Chemical tanker",Alukset_fx!$C$56,IF(OR(Q600="Tugboat",Q600="Barge"),0,IF(Q600="Other vessel",Alukset_fx!$C$54,IF(Q600="Container ship",Alukset_fx!$C$37,IF(OR(Q600="RoPax",Q600="RoRo",Q600="Vehicle carrier"),Alukset_fx!$C$55,0))))))))</f>
        <v>0</v>
      </c>
      <c r="Y600" s="211">
        <f>IF(Q600="Other dry cargo", Alukset_fx!$Q$52, IF(OR(Q600="Dry bulk",Q600="Bulk carrier"),Alukset_fx!$Q$35,IF(OR(Q600="Tanker",Q600="Gas tanker",Q600="Oil tanker"),Alukset_fx!$Q$57,IF(Q600="Chemical tanker",Alukset_fx!$Q$56,IF(OR(Q600="Tugboat",Q600="Barge"),0,IF(Q600="Other vessel",Alukset_fx!$Q$54,IF(Q600="Container ship",Alukset_fx!$Q$37,IF(OR(Q600="RoPax",Q600="RoRo",Q600="Vehicle carrier"),Alukset_fx!$Q$55,0))))))))</f>
        <v>0</v>
      </c>
      <c r="Z600" t="str">
        <f t="shared" si="116"/>
        <v>MDO/MGO</v>
      </c>
      <c r="AA600" t="str">
        <f t="shared" si="117"/>
        <v>MSD</v>
      </c>
      <c r="AB600" t="str">
        <f t="shared" si="118"/>
        <v>MDO/MGO</v>
      </c>
      <c r="AC600" t="str">
        <f t="shared" si="119"/>
        <v>MSD</v>
      </c>
      <c r="AD600" t="str">
        <f t="shared" si="120"/>
        <v>MDO/MGO</v>
      </c>
      <c r="AE600" t="str">
        <f t="shared" si="121"/>
        <v>ST</v>
      </c>
      <c r="AG600">
        <f>Alukset_Käynnit!O607</f>
        <v>0</v>
      </c>
      <c r="AH600" s="207">
        <f>IF(AA600="SSD",((U600*Alukset_fx!$B$24)*Alukset_Käynnit_Lask!W600*(Alukset_fx!$K$49)/1000),IF(AA600="MSD",((U600*Alukset_fx!$B$24)*Alukset_Käynnit_Lask!W600*(Alukset_fx!$K$52)/1000),IF(AA600="HSD",((U600*Alukset_fx!$B$24)*Alukset_Käynnit_Lask!W600*(Alukset_fx!$K$55)/1000),0)))</f>
        <v>0</v>
      </c>
      <c r="AI600" s="207">
        <f>IF(AC600="MSD",((V600*Alukset_fx!$B$25)*Alukset_Käynnit_Lask!W600*(Alukset_fx!$L$52)/1000),IF(AC600="HSD",((V600*Alukset_fx!$B$25)*Alukset_Käynnit_Lask!W600*(Alukset_fx!$L$55)/1000),0))</f>
        <v>0</v>
      </c>
      <c r="AJ600" s="207">
        <f>X600*W600*Alukset_fx!$K$61/1000</f>
        <v>0</v>
      </c>
      <c r="AK600">
        <v>0</v>
      </c>
      <c r="AL600" s="207">
        <f>IF(AG600="Käytetty",0,IF(AC600="MSD",((V600*Alukset_fx!$O$25)*Alukset_Käynnit_Lask!O600*(Alukset_fx!$L$52)/1000),IF(AC600="HSD",((V600*Alukset_fx!$O$25)*Alukset_Käynnit_Lask!O600*(Alukset_fx!$L$55)/1000),0)))</f>
        <v>0</v>
      </c>
      <c r="AM600" s="207">
        <f>IF(AG600="Käytetty",0,Y600*O600*Alukset_fx!$K$61/1000)</f>
        <v>0</v>
      </c>
      <c r="AN600" s="213">
        <f t="shared" si="122"/>
        <v>0</v>
      </c>
    </row>
    <row r="601" spans="1:40" x14ac:dyDescent="0.25">
      <c r="A601" s="203">
        <f>Alukset_Käynnit!A608</f>
        <v>0</v>
      </c>
      <c r="B601" s="203">
        <f>Alukset_Käynnit!B608</f>
        <v>0</v>
      </c>
      <c r="C601" s="262">
        <f>Alukset_Käynnit!C608</f>
        <v>0</v>
      </c>
      <c r="D601" s="266">
        <f>Alukset_Käynnit!D608</f>
        <v>0</v>
      </c>
      <c r="E601" s="262">
        <f>Alukset_Käynnit!E608</f>
        <v>0</v>
      </c>
      <c r="F601" s="262">
        <f>Alukset_Käynnit!F608</f>
        <v>0</v>
      </c>
      <c r="G601" s="262">
        <f>Alukset_Käynnit!G608</f>
        <v>0</v>
      </c>
      <c r="H601" s="262">
        <f>Alukset_Käynnit!H608</f>
        <v>0</v>
      </c>
      <c r="I601" s="262">
        <f>Alukset_Käynnit!I608</f>
        <v>0</v>
      </c>
      <c r="J601" s="262">
        <f>Alukset_Käynnit!J608</f>
        <v>0</v>
      </c>
      <c r="K601" s="262">
        <f>Alukset_Käynnit!K608</f>
        <v>0</v>
      </c>
      <c r="L601" s="205">
        <f>Alukset_Käynnit!L608</f>
        <v>0</v>
      </c>
      <c r="N601" s="273">
        <f t="shared" si="123"/>
        <v>0</v>
      </c>
      <c r="O601" s="274">
        <f t="shared" si="124"/>
        <v>0</v>
      </c>
      <c r="Q601" s="204">
        <f t="shared" si="113"/>
        <v>0</v>
      </c>
      <c r="R601" s="202">
        <f>IF(Q601="Other dry cargo",L601*Alukset_fx!$B$71,IF(OR(Q601="Dry bulk",Q601="Bulk carrier"),L601*Alukset_fx!$B$69,IF(Q601="Tugboat",L601*Alukset_fx!$B$76,IF(OR(Q601="Tanker",Q601="Gas tanker",Q601="Chemical tanker",Q601="Oil tanker"),L601*Alukset_fx!$B$68,IF(OR(Q601="RoRo",Q601="Vehicle carrier"),L601*Alukset_fx!$B$72,IF(Q601="RoPax",L601*Alukset_fx!$B$73,IF(Q601="Container ship",L601*Alukset_fx!$B$70,IF(Q601="Barge",0,L601*Alukset_fx!$B$75))))))))</f>
        <v>0</v>
      </c>
      <c r="S601" s="210">
        <f>IF(L601=0,IF(Q601="Other dry cargo",Alukset_fx!$H$73*(Alukset_Käynnit_Lask!K601^Alukset_fx!$I$73),IF(OR(Q601="Dry Bulk",Q601="Bulk carrier"),Alukset_fx!$H$71*(Alukset_Käynnit_Lask!K601^Alukset_fx!$I$71),IF(Q601="Tugboat",Alukset_fx!$H$78*(Alukset_Käynnit_Lask!K601^Alukset_fx!$I$78),IF(OR(Q601="Tanker",Q601="Gas tanker",Q601="Chemical tanker",Q601="Oil tanker"),Alukset_fx!$H$70*(Alukset_Käynnit_Lask!K601^Alukset_fx!$I$70),IF(Q601="Container ship",Alukset_fx!$H$72*(Alukset_Käynnit_Lask!K601^Alukset_fx!$I$72),IF(Q601="Barge",0,IF(Q601="RoPax",Alukset_fx!$H$75*(Alukset_Käynnit_Lask!K601^Alukset_fx!$I$75),IF(OR(Q601="RoRo",Q601="Vehicle carrier"),Alukset_fx!$H$74*(Alukset_Käynnit_Lask!K601^Alukset_fx!$I$74),Alukset_fx!$H$77*(Alukset_Käynnit_Lask!K601^Alukset_fx!$I$77))))))))),"-")</f>
        <v>0</v>
      </c>
      <c r="T601" s="208">
        <f>IF(R601=0,IF(Q601="Other dry cargo",S601*Alukset_fx!$B$71,IF(OR(Q601="Dry bulk",Q601="Bulk carrier"),S601*Alukset_fx!$B$69,IF(Q601="Tugboat",S601*Alukset_fx!$B$76,IF(OR(Q601="Tanker",Q601="Gas tanker",Q601="Chemical tanker",Q601="Oil tanker"),S601*Alukset_fx!$B$68,IF(OR(Q601="RoRo",Q601="Vehicle carrier"),S601*Alukset_fx!$B$72,IF(Q601="RoPax",S601*Alukset_fx!$B$73,IF(Q601="Container ship",S601*Alukset_fx!$B$70,S601*Alukset_fx!$B$75))))))),"-")</f>
        <v>0</v>
      </c>
      <c r="U601" s="208">
        <f t="shared" si="114"/>
        <v>0</v>
      </c>
      <c r="V601" s="208">
        <f t="shared" si="115"/>
        <v>0</v>
      </c>
      <c r="W601" s="202">
        <f>Alukset_Käynnit!N608</f>
        <v>0</v>
      </c>
      <c r="X601" s="211">
        <f>IF(Q601="Other dry cargo", Alukset_fx!$C$52, IF(OR(Q601="Dry bulk",Q601="Bulk carrier"),Alukset_fx!$C$35,IF(OR(Q601="Tanker",Q601="Gas tanker",Q601="Oil tanker"),Alukset_fx!$C$57,IF(Q601="Chemical tanker",Alukset_fx!$C$56,IF(OR(Q601="Tugboat",Q601="Barge"),0,IF(Q601="Other vessel",Alukset_fx!$C$54,IF(Q601="Container ship",Alukset_fx!$C$37,IF(OR(Q601="RoPax",Q601="RoRo",Q601="Vehicle carrier"),Alukset_fx!$C$55,0))))))))</f>
        <v>0</v>
      </c>
      <c r="Y601" s="211">
        <f>IF(Q601="Other dry cargo", Alukset_fx!$Q$52, IF(OR(Q601="Dry bulk",Q601="Bulk carrier"),Alukset_fx!$Q$35,IF(OR(Q601="Tanker",Q601="Gas tanker",Q601="Oil tanker"),Alukset_fx!$Q$57,IF(Q601="Chemical tanker",Alukset_fx!$Q$56,IF(OR(Q601="Tugboat",Q601="Barge"),0,IF(Q601="Other vessel",Alukset_fx!$Q$54,IF(Q601="Container ship",Alukset_fx!$Q$37,IF(OR(Q601="RoPax",Q601="RoRo",Q601="Vehicle carrier"),Alukset_fx!$Q$55,0))))))))</f>
        <v>0</v>
      </c>
      <c r="Z601" t="str">
        <f t="shared" si="116"/>
        <v>MDO/MGO</v>
      </c>
      <c r="AA601" t="str">
        <f t="shared" si="117"/>
        <v>MSD</v>
      </c>
      <c r="AB601" t="str">
        <f t="shared" si="118"/>
        <v>MDO/MGO</v>
      </c>
      <c r="AC601" t="str">
        <f t="shared" si="119"/>
        <v>MSD</v>
      </c>
      <c r="AD601" t="str">
        <f t="shared" si="120"/>
        <v>MDO/MGO</v>
      </c>
      <c r="AE601" t="str">
        <f t="shared" si="121"/>
        <v>ST</v>
      </c>
      <c r="AG601">
        <f>Alukset_Käynnit!O608</f>
        <v>0</v>
      </c>
      <c r="AH601" s="207">
        <f>IF(AA601="SSD",((U601*Alukset_fx!$B$24)*Alukset_Käynnit_Lask!W601*(Alukset_fx!$K$49)/1000),IF(AA601="MSD",((U601*Alukset_fx!$B$24)*Alukset_Käynnit_Lask!W601*(Alukset_fx!$K$52)/1000),IF(AA601="HSD",((U601*Alukset_fx!$B$24)*Alukset_Käynnit_Lask!W601*(Alukset_fx!$K$55)/1000),0)))</f>
        <v>0</v>
      </c>
      <c r="AI601" s="207">
        <f>IF(AC601="MSD",((V601*Alukset_fx!$B$25)*Alukset_Käynnit_Lask!W601*(Alukset_fx!$L$52)/1000),IF(AC601="HSD",((V601*Alukset_fx!$B$25)*Alukset_Käynnit_Lask!W601*(Alukset_fx!$L$55)/1000),0))</f>
        <v>0</v>
      </c>
      <c r="AJ601" s="207">
        <f>X601*W601*Alukset_fx!$K$61/1000</f>
        <v>0</v>
      </c>
      <c r="AK601">
        <v>0</v>
      </c>
      <c r="AL601" s="207">
        <f>IF(AG601="Käytetty",0,IF(AC601="MSD",((V601*Alukset_fx!$O$25)*Alukset_Käynnit_Lask!O601*(Alukset_fx!$L$52)/1000),IF(AC601="HSD",((V601*Alukset_fx!$O$25)*Alukset_Käynnit_Lask!O601*(Alukset_fx!$L$55)/1000),0)))</f>
        <v>0</v>
      </c>
      <c r="AM601" s="207">
        <f>IF(AG601="Käytetty",0,Y601*O601*Alukset_fx!$K$61/1000)</f>
        <v>0</v>
      </c>
      <c r="AN601" s="213">
        <f t="shared" si="122"/>
        <v>0</v>
      </c>
    </row>
    <row r="602" spans="1:40" x14ac:dyDescent="0.25">
      <c r="A602" s="203">
        <f>Alukset_Käynnit!A609</f>
        <v>0</v>
      </c>
      <c r="B602" s="203">
        <f>Alukset_Käynnit!B609</f>
        <v>0</v>
      </c>
      <c r="C602" s="262">
        <f>Alukset_Käynnit!C609</f>
        <v>0</v>
      </c>
      <c r="D602" s="266">
        <f>Alukset_Käynnit!D609</f>
        <v>0</v>
      </c>
      <c r="E602" s="262">
        <f>Alukset_Käynnit!E609</f>
        <v>0</v>
      </c>
      <c r="F602" s="262">
        <f>Alukset_Käynnit!F609</f>
        <v>0</v>
      </c>
      <c r="G602" s="262">
        <f>Alukset_Käynnit!G609</f>
        <v>0</v>
      </c>
      <c r="H602" s="262">
        <f>Alukset_Käynnit!H609</f>
        <v>0</v>
      </c>
      <c r="I602" s="262">
        <f>Alukset_Käynnit!I609</f>
        <v>0</v>
      </c>
      <c r="J602" s="262">
        <f>Alukset_Käynnit!J609</f>
        <v>0</v>
      </c>
      <c r="K602" s="262">
        <f>Alukset_Käynnit!K609</f>
        <v>0</v>
      </c>
      <c r="L602" s="205">
        <f>Alukset_Käynnit!L609</f>
        <v>0</v>
      </c>
      <c r="N602" s="273">
        <f t="shared" si="123"/>
        <v>0</v>
      </c>
      <c r="O602" s="274">
        <f t="shared" si="124"/>
        <v>0</v>
      </c>
      <c r="Q602" s="204">
        <f t="shared" si="113"/>
        <v>0</v>
      </c>
      <c r="R602" s="202">
        <f>IF(Q602="Other dry cargo",L602*Alukset_fx!$B$71,IF(OR(Q602="Dry bulk",Q602="Bulk carrier"),L602*Alukset_fx!$B$69,IF(Q602="Tugboat",L602*Alukset_fx!$B$76,IF(OR(Q602="Tanker",Q602="Gas tanker",Q602="Chemical tanker",Q602="Oil tanker"),L602*Alukset_fx!$B$68,IF(OR(Q602="RoRo",Q602="Vehicle carrier"),L602*Alukset_fx!$B$72,IF(Q602="RoPax",L602*Alukset_fx!$B$73,IF(Q602="Container ship",L602*Alukset_fx!$B$70,IF(Q602="Barge",0,L602*Alukset_fx!$B$75))))))))</f>
        <v>0</v>
      </c>
      <c r="S602" s="210">
        <f>IF(L602=0,IF(Q602="Other dry cargo",Alukset_fx!$H$73*(Alukset_Käynnit_Lask!K602^Alukset_fx!$I$73),IF(OR(Q602="Dry Bulk",Q602="Bulk carrier"),Alukset_fx!$H$71*(Alukset_Käynnit_Lask!K602^Alukset_fx!$I$71),IF(Q602="Tugboat",Alukset_fx!$H$78*(Alukset_Käynnit_Lask!K602^Alukset_fx!$I$78),IF(OR(Q602="Tanker",Q602="Gas tanker",Q602="Chemical tanker",Q602="Oil tanker"),Alukset_fx!$H$70*(Alukset_Käynnit_Lask!K602^Alukset_fx!$I$70),IF(Q602="Container ship",Alukset_fx!$H$72*(Alukset_Käynnit_Lask!K602^Alukset_fx!$I$72),IF(Q602="Barge",0,IF(Q602="RoPax",Alukset_fx!$H$75*(Alukset_Käynnit_Lask!K602^Alukset_fx!$I$75),IF(OR(Q602="RoRo",Q602="Vehicle carrier"),Alukset_fx!$H$74*(Alukset_Käynnit_Lask!K602^Alukset_fx!$I$74),Alukset_fx!$H$77*(Alukset_Käynnit_Lask!K602^Alukset_fx!$I$77))))))))),"-")</f>
        <v>0</v>
      </c>
      <c r="T602" s="208">
        <f>IF(R602=0,IF(Q602="Other dry cargo",S602*Alukset_fx!$B$71,IF(OR(Q602="Dry bulk",Q602="Bulk carrier"),S602*Alukset_fx!$B$69,IF(Q602="Tugboat",S602*Alukset_fx!$B$76,IF(OR(Q602="Tanker",Q602="Gas tanker",Q602="Chemical tanker",Q602="Oil tanker"),S602*Alukset_fx!$B$68,IF(OR(Q602="RoRo",Q602="Vehicle carrier"),S602*Alukset_fx!$B$72,IF(Q602="RoPax",S602*Alukset_fx!$B$73,IF(Q602="Container ship",S602*Alukset_fx!$B$70,S602*Alukset_fx!$B$75))))))),"-")</f>
        <v>0</v>
      </c>
      <c r="U602" s="208">
        <f t="shared" si="114"/>
        <v>0</v>
      </c>
      <c r="V602" s="208">
        <f t="shared" si="115"/>
        <v>0</v>
      </c>
      <c r="W602" s="202">
        <f>Alukset_Käynnit!N609</f>
        <v>0</v>
      </c>
      <c r="X602" s="211">
        <f>IF(Q602="Other dry cargo", Alukset_fx!$C$52, IF(OR(Q602="Dry bulk",Q602="Bulk carrier"),Alukset_fx!$C$35,IF(OR(Q602="Tanker",Q602="Gas tanker",Q602="Oil tanker"),Alukset_fx!$C$57,IF(Q602="Chemical tanker",Alukset_fx!$C$56,IF(OR(Q602="Tugboat",Q602="Barge"),0,IF(Q602="Other vessel",Alukset_fx!$C$54,IF(Q602="Container ship",Alukset_fx!$C$37,IF(OR(Q602="RoPax",Q602="RoRo",Q602="Vehicle carrier"),Alukset_fx!$C$55,0))))))))</f>
        <v>0</v>
      </c>
      <c r="Y602" s="211">
        <f>IF(Q602="Other dry cargo", Alukset_fx!$Q$52, IF(OR(Q602="Dry bulk",Q602="Bulk carrier"),Alukset_fx!$Q$35,IF(OR(Q602="Tanker",Q602="Gas tanker",Q602="Oil tanker"),Alukset_fx!$Q$57,IF(Q602="Chemical tanker",Alukset_fx!$Q$56,IF(OR(Q602="Tugboat",Q602="Barge"),0,IF(Q602="Other vessel",Alukset_fx!$Q$54,IF(Q602="Container ship",Alukset_fx!$Q$37,IF(OR(Q602="RoPax",Q602="RoRo",Q602="Vehicle carrier"),Alukset_fx!$Q$55,0))))))))</f>
        <v>0</v>
      </c>
      <c r="Z602" t="str">
        <f t="shared" si="116"/>
        <v>MDO/MGO</v>
      </c>
      <c r="AA602" t="str">
        <f t="shared" si="117"/>
        <v>MSD</v>
      </c>
      <c r="AB602" t="str">
        <f t="shared" si="118"/>
        <v>MDO/MGO</v>
      </c>
      <c r="AC602" t="str">
        <f t="shared" si="119"/>
        <v>MSD</v>
      </c>
      <c r="AD602" t="str">
        <f t="shared" si="120"/>
        <v>MDO/MGO</v>
      </c>
      <c r="AE602" t="str">
        <f t="shared" si="121"/>
        <v>ST</v>
      </c>
      <c r="AG602">
        <f>Alukset_Käynnit!O609</f>
        <v>0</v>
      </c>
      <c r="AH602" s="207">
        <f>IF(AA602="SSD",((U602*Alukset_fx!$B$24)*Alukset_Käynnit_Lask!W602*(Alukset_fx!$K$49)/1000),IF(AA602="MSD",((U602*Alukset_fx!$B$24)*Alukset_Käynnit_Lask!W602*(Alukset_fx!$K$52)/1000),IF(AA602="HSD",((U602*Alukset_fx!$B$24)*Alukset_Käynnit_Lask!W602*(Alukset_fx!$K$55)/1000),0)))</f>
        <v>0</v>
      </c>
      <c r="AI602" s="207">
        <f>IF(AC602="MSD",((V602*Alukset_fx!$B$25)*Alukset_Käynnit_Lask!W602*(Alukset_fx!$L$52)/1000),IF(AC602="HSD",((V602*Alukset_fx!$B$25)*Alukset_Käynnit_Lask!W602*(Alukset_fx!$L$55)/1000),0))</f>
        <v>0</v>
      </c>
      <c r="AJ602" s="207">
        <f>X602*W602*Alukset_fx!$K$61/1000</f>
        <v>0</v>
      </c>
      <c r="AK602">
        <v>0</v>
      </c>
      <c r="AL602" s="207">
        <f>IF(AG602="Käytetty",0,IF(AC602="MSD",((V602*Alukset_fx!$O$25)*Alukset_Käynnit_Lask!O602*(Alukset_fx!$L$52)/1000),IF(AC602="HSD",((V602*Alukset_fx!$O$25)*Alukset_Käynnit_Lask!O602*(Alukset_fx!$L$55)/1000),0)))</f>
        <v>0</v>
      </c>
      <c r="AM602" s="207">
        <f>IF(AG602="Käytetty",0,Y602*O602*Alukset_fx!$K$61/1000)</f>
        <v>0</v>
      </c>
      <c r="AN602" s="213">
        <f t="shared" si="122"/>
        <v>0</v>
      </c>
    </row>
    <row r="603" spans="1:40" x14ac:dyDescent="0.25">
      <c r="A603" s="203">
        <f>Alukset_Käynnit!A610</f>
        <v>0</v>
      </c>
      <c r="B603" s="203">
        <f>Alukset_Käynnit!B610</f>
        <v>0</v>
      </c>
      <c r="C603" s="262">
        <f>Alukset_Käynnit!C610</f>
        <v>0</v>
      </c>
      <c r="D603" s="266">
        <f>Alukset_Käynnit!D610</f>
        <v>0</v>
      </c>
      <c r="E603" s="262">
        <f>Alukset_Käynnit!E610</f>
        <v>0</v>
      </c>
      <c r="F603" s="262">
        <f>Alukset_Käynnit!F610</f>
        <v>0</v>
      </c>
      <c r="G603" s="262">
        <f>Alukset_Käynnit!G610</f>
        <v>0</v>
      </c>
      <c r="H603" s="262">
        <f>Alukset_Käynnit!H610</f>
        <v>0</v>
      </c>
      <c r="I603" s="262">
        <f>Alukset_Käynnit!I610</f>
        <v>0</v>
      </c>
      <c r="J603" s="262">
        <f>Alukset_Käynnit!J610</f>
        <v>0</v>
      </c>
      <c r="K603" s="262">
        <f>Alukset_Käynnit!K610</f>
        <v>0</v>
      </c>
      <c r="L603" s="205">
        <f>Alukset_Käynnit!L610</f>
        <v>0</v>
      </c>
      <c r="N603" s="273">
        <f t="shared" si="123"/>
        <v>0</v>
      </c>
      <c r="O603" s="274">
        <f t="shared" si="124"/>
        <v>0</v>
      </c>
      <c r="Q603" s="204">
        <f t="shared" si="113"/>
        <v>0</v>
      </c>
      <c r="R603" s="202">
        <f>IF(Q603="Other dry cargo",L603*Alukset_fx!$B$71,IF(OR(Q603="Dry bulk",Q603="Bulk carrier"),L603*Alukset_fx!$B$69,IF(Q603="Tugboat",L603*Alukset_fx!$B$76,IF(OR(Q603="Tanker",Q603="Gas tanker",Q603="Chemical tanker",Q603="Oil tanker"),L603*Alukset_fx!$B$68,IF(OR(Q603="RoRo",Q603="Vehicle carrier"),L603*Alukset_fx!$B$72,IF(Q603="RoPax",L603*Alukset_fx!$B$73,IF(Q603="Container ship",L603*Alukset_fx!$B$70,IF(Q603="Barge",0,L603*Alukset_fx!$B$75))))))))</f>
        <v>0</v>
      </c>
      <c r="S603" s="210">
        <f>IF(L603=0,IF(Q603="Other dry cargo",Alukset_fx!$H$73*(Alukset_Käynnit_Lask!K603^Alukset_fx!$I$73),IF(OR(Q603="Dry Bulk",Q603="Bulk carrier"),Alukset_fx!$H$71*(Alukset_Käynnit_Lask!K603^Alukset_fx!$I$71),IF(Q603="Tugboat",Alukset_fx!$H$78*(Alukset_Käynnit_Lask!K603^Alukset_fx!$I$78),IF(OR(Q603="Tanker",Q603="Gas tanker",Q603="Chemical tanker",Q603="Oil tanker"),Alukset_fx!$H$70*(Alukset_Käynnit_Lask!K603^Alukset_fx!$I$70),IF(Q603="Container ship",Alukset_fx!$H$72*(Alukset_Käynnit_Lask!K603^Alukset_fx!$I$72),IF(Q603="Barge",0,IF(Q603="RoPax",Alukset_fx!$H$75*(Alukset_Käynnit_Lask!K603^Alukset_fx!$I$75),IF(OR(Q603="RoRo",Q603="Vehicle carrier"),Alukset_fx!$H$74*(Alukset_Käynnit_Lask!K603^Alukset_fx!$I$74),Alukset_fx!$H$77*(Alukset_Käynnit_Lask!K603^Alukset_fx!$I$77))))))))),"-")</f>
        <v>0</v>
      </c>
      <c r="T603" s="208">
        <f>IF(R603=0,IF(Q603="Other dry cargo",S603*Alukset_fx!$B$71,IF(OR(Q603="Dry bulk",Q603="Bulk carrier"),S603*Alukset_fx!$B$69,IF(Q603="Tugboat",S603*Alukset_fx!$B$76,IF(OR(Q603="Tanker",Q603="Gas tanker",Q603="Chemical tanker",Q603="Oil tanker"),S603*Alukset_fx!$B$68,IF(OR(Q603="RoRo",Q603="Vehicle carrier"),S603*Alukset_fx!$B$72,IF(Q603="RoPax",S603*Alukset_fx!$B$73,IF(Q603="Container ship",S603*Alukset_fx!$B$70,S603*Alukset_fx!$B$75))))))),"-")</f>
        <v>0</v>
      </c>
      <c r="U603" s="208">
        <f t="shared" si="114"/>
        <v>0</v>
      </c>
      <c r="V603" s="208">
        <f t="shared" si="115"/>
        <v>0</v>
      </c>
      <c r="W603" s="202">
        <f>Alukset_Käynnit!N610</f>
        <v>0</v>
      </c>
      <c r="X603" s="211">
        <f>IF(Q603="Other dry cargo", Alukset_fx!$C$52, IF(OR(Q603="Dry bulk",Q603="Bulk carrier"),Alukset_fx!$C$35,IF(OR(Q603="Tanker",Q603="Gas tanker",Q603="Oil tanker"),Alukset_fx!$C$57,IF(Q603="Chemical tanker",Alukset_fx!$C$56,IF(OR(Q603="Tugboat",Q603="Barge"),0,IF(Q603="Other vessel",Alukset_fx!$C$54,IF(Q603="Container ship",Alukset_fx!$C$37,IF(OR(Q603="RoPax",Q603="RoRo",Q603="Vehicle carrier"),Alukset_fx!$C$55,0))))))))</f>
        <v>0</v>
      </c>
      <c r="Y603" s="211">
        <f>IF(Q603="Other dry cargo", Alukset_fx!$Q$52, IF(OR(Q603="Dry bulk",Q603="Bulk carrier"),Alukset_fx!$Q$35,IF(OR(Q603="Tanker",Q603="Gas tanker",Q603="Oil tanker"),Alukset_fx!$Q$57,IF(Q603="Chemical tanker",Alukset_fx!$Q$56,IF(OR(Q603="Tugboat",Q603="Barge"),0,IF(Q603="Other vessel",Alukset_fx!$Q$54,IF(Q603="Container ship",Alukset_fx!$Q$37,IF(OR(Q603="RoPax",Q603="RoRo",Q603="Vehicle carrier"),Alukset_fx!$Q$55,0))))))))</f>
        <v>0</v>
      </c>
      <c r="Z603" t="str">
        <f t="shared" si="116"/>
        <v>MDO/MGO</v>
      </c>
      <c r="AA603" t="str">
        <f t="shared" si="117"/>
        <v>MSD</v>
      </c>
      <c r="AB603" t="str">
        <f t="shared" si="118"/>
        <v>MDO/MGO</v>
      </c>
      <c r="AC603" t="str">
        <f t="shared" si="119"/>
        <v>MSD</v>
      </c>
      <c r="AD603" t="str">
        <f t="shared" si="120"/>
        <v>MDO/MGO</v>
      </c>
      <c r="AE603" t="str">
        <f t="shared" si="121"/>
        <v>ST</v>
      </c>
      <c r="AG603">
        <f>Alukset_Käynnit!O610</f>
        <v>0</v>
      </c>
      <c r="AH603" s="207">
        <f>IF(AA603="SSD",((U603*Alukset_fx!$B$24)*Alukset_Käynnit_Lask!W603*(Alukset_fx!$K$49)/1000),IF(AA603="MSD",((U603*Alukset_fx!$B$24)*Alukset_Käynnit_Lask!W603*(Alukset_fx!$K$52)/1000),IF(AA603="HSD",((U603*Alukset_fx!$B$24)*Alukset_Käynnit_Lask!W603*(Alukset_fx!$K$55)/1000),0)))</f>
        <v>0</v>
      </c>
      <c r="AI603" s="207">
        <f>IF(AC603="MSD",((V603*Alukset_fx!$B$25)*Alukset_Käynnit_Lask!W603*(Alukset_fx!$L$52)/1000),IF(AC603="HSD",((V603*Alukset_fx!$B$25)*Alukset_Käynnit_Lask!W603*(Alukset_fx!$L$55)/1000),0))</f>
        <v>0</v>
      </c>
      <c r="AJ603" s="207">
        <f>X603*W603*Alukset_fx!$K$61/1000</f>
        <v>0</v>
      </c>
      <c r="AK603">
        <v>0</v>
      </c>
      <c r="AL603" s="207">
        <f>IF(AG603="Käytetty",0,IF(AC603="MSD",((V603*Alukset_fx!$O$25)*Alukset_Käynnit_Lask!O603*(Alukset_fx!$L$52)/1000),IF(AC603="HSD",((V603*Alukset_fx!$O$25)*Alukset_Käynnit_Lask!O603*(Alukset_fx!$L$55)/1000),0)))</f>
        <v>0</v>
      </c>
      <c r="AM603" s="207">
        <f>IF(AG603="Käytetty",0,Y603*O603*Alukset_fx!$K$61/1000)</f>
        <v>0</v>
      </c>
      <c r="AN603" s="213">
        <f t="shared" si="122"/>
        <v>0</v>
      </c>
    </row>
    <row r="604" spans="1:40" x14ac:dyDescent="0.25">
      <c r="A604" s="203">
        <f>Alukset_Käynnit!A611</f>
        <v>0</v>
      </c>
      <c r="B604" s="203">
        <f>Alukset_Käynnit!B611</f>
        <v>0</v>
      </c>
      <c r="C604" s="262">
        <f>Alukset_Käynnit!C611</f>
        <v>0</v>
      </c>
      <c r="D604" s="266">
        <f>Alukset_Käynnit!D611</f>
        <v>0</v>
      </c>
      <c r="E604" s="262">
        <f>Alukset_Käynnit!E611</f>
        <v>0</v>
      </c>
      <c r="F604" s="262">
        <f>Alukset_Käynnit!F611</f>
        <v>0</v>
      </c>
      <c r="G604" s="262">
        <f>Alukset_Käynnit!G611</f>
        <v>0</v>
      </c>
      <c r="H604" s="262">
        <f>Alukset_Käynnit!H611</f>
        <v>0</v>
      </c>
      <c r="I604" s="262">
        <f>Alukset_Käynnit!I611</f>
        <v>0</v>
      </c>
      <c r="J604" s="262">
        <f>Alukset_Käynnit!J611</f>
        <v>0</v>
      </c>
      <c r="K604" s="262">
        <f>Alukset_Käynnit!K611</f>
        <v>0</v>
      </c>
      <c r="L604" s="205">
        <f>Alukset_Käynnit!L611</f>
        <v>0</v>
      </c>
      <c r="N604" s="273">
        <f t="shared" si="123"/>
        <v>0</v>
      </c>
      <c r="O604" s="274">
        <f t="shared" si="124"/>
        <v>0</v>
      </c>
      <c r="Q604" s="204">
        <f t="shared" si="113"/>
        <v>0</v>
      </c>
      <c r="R604" s="202">
        <f>IF(Q604="Other dry cargo",L604*Alukset_fx!$B$71,IF(OR(Q604="Dry bulk",Q604="Bulk carrier"),L604*Alukset_fx!$B$69,IF(Q604="Tugboat",L604*Alukset_fx!$B$76,IF(OR(Q604="Tanker",Q604="Gas tanker",Q604="Chemical tanker",Q604="Oil tanker"),L604*Alukset_fx!$B$68,IF(OR(Q604="RoRo",Q604="Vehicle carrier"),L604*Alukset_fx!$B$72,IF(Q604="RoPax",L604*Alukset_fx!$B$73,IF(Q604="Container ship",L604*Alukset_fx!$B$70,IF(Q604="Barge",0,L604*Alukset_fx!$B$75))))))))</f>
        <v>0</v>
      </c>
      <c r="S604" s="210">
        <f>IF(L604=0,IF(Q604="Other dry cargo",Alukset_fx!$H$73*(Alukset_Käynnit_Lask!K604^Alukset_fx!$I$73),IF(OR(Q604="Dry Bulk",Q604="Bulk carrier"),Alukset_fx!$H$71*(Alukset_Käynnit_Lask!K604^Alukset_fx!$I$71),IF(Q604="Tugboat",Alukset_fx!$H$78*(Alukset_Käynnit_Lask!K604^Alukset_fx!$I$78),IF(OR(Q604="Tanker",Q604="Gas tanker",Q604="Chemical tanker",Q604="Oil tanker"),Alukset_fx!$H$70*(Alukset_Käynnit_Lask!K604^Alukset_fx!$I$70),IF(Q604="Container ship",Alukset_fx!$H$72*(Alukset_Käynnit_Lask!K604^Alukset_fx!$I$72),IF(Q604="Barge",0,IF(Q604="RoPax",Alukset_fx!$H$75*(Alukset_Käynnit_Lask!K604^Alukset_fx!$I$75),IF(OR(Q604="RoRo",Q604="Vehicle carrier"),Alukset_fx!$H$74*(Alukset_Käynnit_Lask!K604^Alukset_fx!$I$74),Alukset_fx!$H$77*(Alukset_Käynnit_Lask!K604^Alukset_fx!$I$77))))))))),"-")</f>
        <v>0</v>
      </c>
      <c r="T604" s="208">
        <f>IF(R604=0,IF(Q604="Other dry cargo",S604*Alukset_fx!$B$71,IF(OR(Q604="Dry bulk",Q604="Bulk carrier"),S604*Alukset_fx!$B$69,IF(Q604="Tugboat",S604*Alukset_fx!$B$76,IF(OR(Q604="Tanker",Q604="Gas tanker",Q604="Chemical tanker",Q604="Oil tanker"),S604*Alukset_fx!$B$68,IF(OR(Q604="RoRo",Q604="Vehicle carrier"),S604*Alukset_fx!$B$72,IF(Q604="RoPax",S604*Alukset_fx!$B$73,IF(Q604="Container ship",S604*Alukset_fx!$B$70,S604*Alukset_fx!$B$75))))))),"-")</f>
        <v>0</v>
      </c>
      <c r="U604" s="208">
        <f t="shared" si="114"/>
        <v>0</v>
      </c>
      <c r="V604" s="208">
        <f t="shared" si="115"/>
        <v>0</v>
      </c>
      <c r="W604" s="202">
        <f>Alukset_Käynnit!N611</f>
        <v>0</v>
      </c>
      <c r="X604" s="211">
        <f>IF(Q604="Other dry cargo", Alukset_fx!$C$52, IF(OR(Q604="Dry bulk",Q604="Bulk carrier"),Alukset_fx!$C$35,IF(OR(Q604="Tanker",Q604="Gas tanker",Q604="Oil tanker"),Alukset_fx!$C$57,IF(Q604="Chemical tanker",Alukset_fx!$C$56,IF(OR(Q604="Tugboat",Q604="Barge"),0,IF(Q604="Other vessel",Alukset_fx!$C$54,IF(Q604="Container ship",Alukset_fx!$C$37,IF(OR(Q604="RoPax",Q604="RoRo",Q604="Vehicle carrier"),Alukset_fx!$C$55,0))))))))</f>
        <v>0</v>
      </c>
      <c r="Y604" s="211">
        <f>IF(Q604="Other dry cargo", Alukset_fx!$Q$52, IF(OR(Q604="Dry bulk",Q604="Bulk carrier"),Alukset_fx!$Q$35,IF(OR(Q604="Tanker",Q604="Gas tanker",Q604="Oil tanker"),Alukset_fx!$Q$57,IF(Q604="Chemical tanker",Alukset_fx!$Q$56,IF(OR(Q604="Tugboat",Q604="Barge"),0,IF(Q604="Other vessel",Alukset_fx!$Q$54,IF(Q604="Container ship",Alukset_fx!$Q$37,IF(OR(Q604="RoPax",Q604="RoRo",Q604="Vehicle carrier"),Alukset_fx!$Q$55,0))))))))</f>
        <v>0</v>
      </c>
      <c r="Z604" t="str">
        <f t="shared" si="116"/>
        <v>MDO/MGO</v>
      </c>
      <c r="AA604" t="str">
        <f t="shared" si="117"/>
        <v>MSD</v>
      </c>
      <c r="AB604" t="str">
        <f t="shared" si="118"/>
        <v>MDO/MGO</v>
      </c>
      <c r="AC604" t="str">
        <f t="shared" si="119"/>
        <v>MSD</v>
      </c>
      <c r="AD604" t="str">
        <f t="shared" si="120"/>
        <v>MDO/MGO</v>
      </c>
      <c r="AE604" t="str">
        <f t="shared" si="121"/>
        <v>ST</v>
      </c>
      <c r="AG604">
        <f>Alukset_Käynnit!O611</f>
        <v>0</v>
      </c>
      <c r="AH604" s="207">
        <f>IF(AA604="SSD",((U604*Alukset_fx!$B$24)*Alukset_Käynnit_Lask!W604*(Alukset_fx!$K$49)/1000),IF(AA604="MSD",((U604*Alukset_fx!$B$24)*Alukset_Käynnit_Lask!W604*(Alukset_fx!$K$52)/1000),IF(AA604="HSD",((U604*Alukset_fx!$B$24)*Alukset_Käynnit_Lask!W604*(Alukset_fx!$K$55)/1000),0)))</f>
        <v>0</v>
      </c>
      <c r="AI604" s="207">
        <f>IF(AC604="MSD",((V604*Alukset_fx!$B$25)*Alukset_Käynnit_Lask!W604*(Alukset_fx!$L$52)/1000),IF(AC604="HSD",((V604*Alukset_fx!$B$25)*Alukset_Käynnit_Lask!W604*(Alukset_fx!$L$55)/1000),0))</f>
        <v>0</v>
      </c>
      <c r="AJ604" s="207">
        <f>X604*W604*Alukset_fx!$K$61/1000</f>
        <v>0</v>
      </c>
      <c r="AK604">
        <v>0</v>
      </c>
      <c r="AL604" s="207">
        <f>IF(AG604="Käytetty",0,IF(AC604="MSD",((V604*Alukset_fx!$O$25)*Alukset_Käynnit_Lask!O604*(Alukset_fx!$L$52)/1000),IF(AC604="HSD",((V604*Alukset_fx!$O$25)*Alukset_Käynnit_Lask!O604*(Alukset_fx!$L$55)/1000),0)))</f>
        <v>0</v>
      </c>
      <c r="AM604" s="207">
        <f>IF(AG604="Käytetty",0,Y604*O604*Alukset_fx!$K$61/1000)</f>
        <v>0</v>
      </c>
      <c r="AN604" s="213">
        <f t="shared" si="122"/>
        <v>0</v>
      </c>
    </row>
    <row r="605" spans="1:40" x14ac:dyDescent="0.25">
      <c r="A605" s="203">
        <f>Alukset_Käynnit!A612</f>
        <v>0</v>
      </c>
      <c r="B605" s="203">
        <f>Alukset_Käynnit!B612</f>
        <v>0</v>
      </c>
      <c r="C605" s="262">
        <f>Alukset_Käynnit!C612</f>
        <v>0</v>
      </c>
      <c r="D605" s="266">
        <f>Alukset_Käynnit!D612</f>
        <v>0</v>
      </c>
      <c r="E605" s="262">
        <f>Alukset_Käynnit!E612</f>
        <v>0</v>
      </c>
      <c r="F605" s="262">
        <f>Alukset_Käynnit!F612</f>
        <v>0</v>
      </c>
      <c r="G605" s="262">
        <f>Alukset_Käynnit!G612</f>
        <v>0</v>
      </c>
      <c r="H605" s="262">
        <f>Alukset_Käynnit!H612</f>
        <v>0</v>
      </c>
      <c r="I605" s="262">
        <f>Alukset_Käynnit!I612</f>
        <v>0</v>
      </c>
      <c r="J605" s="262">
        <f>Alukset_Käynnit!J612</f>
        <v>0</v>
      </c>
      <c r="K605" s="262">
        <f>Alukset_Käynnit!K612</f>
        <v>0</v>
      </c>
      <c r="L605" s="205">
        <f>Alukset_Käynnit!L612</f>
        <v>0</v>
      </c>
      <c r="N605" s="273">
        <f t="shared" si="123"/>
        <v>0</v>
      </c>
      <c r="O605" s="274">
        <f t="shared" si="124"/>
        <v>0</v>
      </c>
      <c r="Q605" s="204">
        <f t="shared" si="113"/>
        <v>0</v>
      </c>
      <c r="R605" s="202">
        <f>IF(Q605="Other dry cargo",L605*Alukset_fx!$B$71,IF(OR(Q605="Dry bulk",Q605="Bulk carrier"),L605*Alukset_fx!$B$69,IF(Q605="Tugboat",L605*Alukset_fx!$B$76,IF(OR(Q605="Tanker",Q605="Gas tanker",Q605="Chemical tanker",Q605="Oil tanker"),L605*Alukset_fx!$B$68,IF(OR(Q605="RoRo",Q605="Vehicle carrier"),L605*Alukset_fx!$B$72,IF(Q605="RoPax",L605*Alukset_fx!$B$73,IF(Q605="Container ship",L605*Alukset_fx!$B$70,IF(Q605="Barge",0,L605*Alukset_fx!$B$75))))))))</f>
        <v>0</v>
      </c>
      <c r="S605" s="210">
        <f>IF(L605=0,IF(Q605="Other dry cargo",Alukset_fx!$H$73*(Alukset_Käynnit_Lask!K605^Alukset_fx!$I$73),IF(OR(Q605="Dry Bulk",Q605="Bulk carrier"),Alukset_fx!$H$71*(Alukset_Käynnit_Lask!K605^Alukset_fx!$I$71),IF(Q605="Tugboat",Alukset_fx!$H$78*(Alukset_Käynnit_Lask!K605^Alukset_fx!$I$78),IF(OR(Q605="Tanker",Q605="Gas tanker",Q605="Chemical tanker",Q605="Oil tanker"),Alukset_fx!$H$70*(Alukset_Käynnit_Lask!K605^Alukset_fx!$I$70),IF(Q605="Container ship",Alukset_fx!$H$72*(Alukset_Käynnit_Lask!K605^Alukset_fx!$I$72),IF(Q605="Barge",0,IF(Q605="RoPax",Alukset_fx!$H$75*(Alukset_Käynnit_Lask!K605^Alukset_fx!$I$75),IF(OR(Q605="RoRo",Q605="Vehicle carrier"),Alukset_fx!$H$74*(Alukset_Käynnit_Lask!K605^Alukset_fx!$I$74),Alukset_fx!$H$77*(Alukset_Käynnit_Lask!K605^Alukset_fx!$I$77))))))))),"-")</f>
        <v>0</v>
      </c>
      <c r="T605" s="208">
        <f>IF(R605=0,IF(Q605="Other dry cargo",S605*Alukset_fx!$B$71,IF(OR(Q605="Dry bulk",Q605="Bulk carrier"),S605*Alukset_fx!$B$69,IF(Q605="Tugboat",S605*Alukset_fx!$B$76,IF(OR(Q605="Tanker",Q605="Gas tanker",Q605="Chemical tanker",Q605="Oil tanker"),S605*Alukset_fx!$B$68,IF(OR(Q605="RoRo",Q605="Vehicle carrier"),S605*Alukset_fx!$B$72,IF(Q605="RoPax",S605*Alukset_fx!$B$73,IF(Q605="Container ship",S605*Alukset_fx!$B$70,S605*Alukset_fx!$B$75))))))),"-")</f>
        <v>0</v>
      </c>
      <c r="U605" s="208">
        <f t="shared" si="114"/>
        <v>0</v>
      </c>
      <c r="V605" s="208">
        <f t="shared" si="115"/>
        <v>0</v>
      </c>
      <c r="W605" s="202">
        <f>Alukset_Käynnit!N612</f>
        <v>0</v>
      </c>
      <c r="X605" s="211">
        <f>IF(Q605="Other dry cargo", Alukset_fx!$C$52, IF(OR(Q605="Dry bulk",Q605="Bulk carrier"),Alukset_fx!$C$35,IF(OR(Q605="Tanker",Q605="Gas tanker",Q605="Oil tanker"),Alukset_fx!$C$57,IF(Q605="Chemical tanker",Alukset_fx!$C$56,IF(OR(Q605="Tugboat",Q605="Barge"),0,IF(Q605="Other vessel",Alukset_fx!$C$54,IF(Q605="Container ship",Alukset_fx!$C$37,IF(OR(Q605="RoPax",Q605="RoRo",Q605="Vehicle carrier"),Alukset_fx!$C$55,0))))))))</f>
        <v>0</v>
      </c>
      <c r="Y605" s="211">
        <f>IF(Q605="Other dry cargo", Alukset_fx!$Q$52, IF(OR(Q605="Dry bulk",Q605="Bulk carrier"),Alukset_fx!$Q$35,IF(OR(Q605="Tanker",Q605="Gas tanker",Q605="Oil tanker"),Alukset_fx!$Q$57,IF(Q605="Chemical tanker",Alukset_fx!$Q$56,IF(OR(Q605="Tugboat",Q605="Barge"),0,IF(Q605="Other vessel",Alukset_fx!$Q$54,IF(Q605="Container ship",Alukset_fx!$Q$37,IF(OR(Q605="RoPax",Q605="RoRo",Q605="Vehicle carrier"),Alukset_fx!$Q$55,0))))))))</f>
        <v>0</v>
      </c>
      <c r="Z605" t="str">
        <f t="shared" si="116"/>
        <v>MDO/MGO</v>
      </c>
      <c r="AA605" t="str">
        <f t="shared" si="117"/>
        <v>MSD</v>
      </c>
      <c r="AB605" t="str">
        <f t="shared" si="118"/>
        <v>MDO/MGO</v>
      </c>
      <c r="AC605" t="str">
        <f t="shared" si="119"/>
        <v>MSD</v>
      </c>
      <c r="AD605" t="str">
        <f t="shared" si="120"/>
        <v>MDO/MGO</v>
      </c>
      <c r="AE605" t="str">
        <f t="shared" si="121"/>
        <v>ST</v>
      </c>
      <c r="AG605">
        <f>Alukset_Käynnit!O612</f>
        <v>0</v>
      </c>
      <c r="AH605" s="207">
        <f>IF(AA605="SSD",((U605*Alukset_fx!$B$24)*Alukset_Käynnit_Lask!W605*(Alukset_fx!$K$49)/1000),IF(AA605="MSD",((U605*Alukset_fx!$B$24)*Alukset_Käynnit_Lask!W605*(Alukset_fx!$K$52)/1000),IF(AA605="HSD",((U605*Alukset_fx!$B$24)*Alukset_Käynnit_Lask!W605*(Alukset_fx!$K$55)/1000),0)))</f>
        <v>0</v>
      </c>
      <c r="AI605" s="207">
        <f>IF(AC605="MSD",((V605*Alukset_fx!$B$25)*Alukset_Käynnit_Lask!W605*(Alukset_fx!$L$52)/1000),IF(AC605="HSD",((V605*Alukset_fx!$B$25)*Alukset_Käynnit_Lask!W605*(Alukset_fx!$L$55)/1000),0))</f>
        <v>0</v>
      </c>
      <c r="AJ605" s="207">
        <f>X605*W605*Alukset_fx!$K$61/1000</f>
        <v>0</v>
      </c>
      <c r="AK605">
        <v>0</v>
      </c>
      <c r="AL605" s="207">
        <f>IF(AG605="Käytetty",0,IF(AC605="MSD",((V605*Alukset_fx!$O$25)*Alukset_Käynnit_Lask!O605*(Alukset_fx!$L$52)/1000),IF(AC605="HSD",((V605*Alukset_fx!$O$25)*Alukset_Käynnit_Lask!O605*(Alukset_fx!$L$55)/1000),0)))</f>
        <v>0</v>
      </c>
      <c r="AM605" s="207">
        <f>IF(AG605="Käytetty",0,Y605*O605*Alukset_fx!$K$61/1000)</f>
        <v>0</v>
      </c>
      <c r="AN605" s="213">
        <f t="shared" si="122"/>
        <v>0</v>
      </c>
    </row>
    <row r="606" spans="1:40" x14ac:dyDescent="0.25">
      <c r="A606" s="203">
        <f>Alukset_Käynnit!A613</f>
        <v>0</v>
      </c>
      <c r="B606" s="203">
        <f>Alukset_Käynnit!B613</f>
        <v>0</v>
      </c>
      <c r="C606" s="262">
        <f>Alukset_Käynnit!C613</f>
        <v>0</v>
      </c>
      <c r="D606" s="266">
        <f>Alukset_Käynnit!D613</f>
        <v>0</v>
      </c>
      <c r="E606" s="262">
        <f>Alukset_Käynnit!E613</f>
        <v>0</v>
      </c>
      <c r="F606" s="262">
        <f>Alukset_Käynnit!F613</f>
        <v>0</v>
      </c>
      <c r="G606" s="262">
        <f>Alukset_Käynnit!G613</f>
        <v>0</v>
      </c>
      <c r="H606" s="262">
        <f>Alukset_Käynnit!H613</f>
        <v>0</v>
      </c>
      <c r="I606" s="262">
        <f>Alukset_Käynnit!I613</f>
        <v>0</v>
      </c>
      <c r="J606" s="262">
        <f>Alukset_Käynnit!J613</f>
        <v>0</v>
      </c>
      <c r="K606" s="262">
        <f>Alukset_Käynnit!K613</f>
        <v>0</v>
      </c>
      <c r="L606" s="205">
        <f>Alukset_Käynnit!L613</f>
        <v>0</v>
      </c>
      <c r="N606" s="273">
        <f t="shared" si="123"/>
        <v>0</v>
      </c>
      <c r="O606" s="274">
        <f t="shared" si="124"/>
        <v>0</v>
      </c>
      <c r="Q606" s="204">
        <f t="shared" si="113"/>
        <v>0</v>
      </c>
      <c r="R606" s="202">
        <f>IF(Q606="Other dry cargo",L606*Alukset_fx!$B$71,IF(OR(Q606="Dry bulk",Q606="Bulk carrier"),L606*Alukset_fx!$B$69,IF(Q606="Tugboat",L606*Alukset_fx!$B$76,IF(OR(Q606="Tanker",Q606="Gas tanker",Q606="Chemical tanker",Q606="Oil tanker"),L606*Alukset_fx!$B$68,IF(OR(Q606="RoRo",Q606="Vehicle carrier"),L606*Alukset_fx!$B$72,IF(Q606="RoPax",L606*Alukset_fx!$B$73,IF(Q606="Container ship",L606*Alukset_fx!$B$70,IF(Q606="Barge",0,L606*Alukset_fx!$B$75))))))))</f>
        <v>0</v>
      </c>
      <c r="S606" s="210">
        <f>IF(L606=0,IF(Q606="Other dry cargo",Alukset_fx!$H$73*(Alukset_Käynnit_Lask!K606^Alukset_fx!$I$73),IF(OR(Q606="Dry Bulk",Q606="Bulk carrier"),Alukset_fx!$H$71*(Alukset_Käynnit_Lask!K606^Alukset_fx!$I$71),IF(Q606="Tugboat",Alukset_fx!$H$78*(Alukset_Käynnit_Lask!K606^Alukset_fx!$I$78),IF(OR(Q606="Tanker",Q606="Gas tanker",Q606="Chemical tanker",Q606="Oil tanker"),Alukset_fx!$H$70*(Alukset_Käynnit_Lask!K606^Alukset_fx!$I$70),IF(Q606="Container ship",Alukset_fx!$H$72*(Alukset_Käynnit_Lask!K606^Alukset_fx!$I$72),IF(Q606="Barge",0,IF(Q606="RoPax",Alukset_fx!$H$75*(Alukset_Käynnit_Lask!K606^Alukset_fx!$I$75),IF(OR(Q606="RoRo",Q606="Vehicle carrier"),Alukset_fx!$H$74*(Alukset_Käynnit_Lask!K606^Alukset_fx!$I$74),Alukset_fx!$H$77*(Alukset_Käynnit_Lask!K606^Alukset_fx!$I$77))))))))),"-")</f>
        <v>0</v>
      </c>
      <c r="T606" s="208">
        <f>IF(R606=0,IF(Q606="Other dry cargo",S606*Alukset_fx!$B$71,IF(OR(Q606="Dry bulk",Q606="Bulk carrier"),S606*Alukset_fx!$B$69,IF(Q606="Tugboat",S606*Alukset_fx!$B$76,IF(OR(Q606="Tanker",Q606="Gas tanker",Q606="Chemical tanker",Q606="Oil tanker"),S606*Alukset_fx!$B$68,IF(OR(Q606="RoRo",Q606="Vehicle carrier"),S606*Alukset_fx!$B$72,IF(Q606="RoPax",S606*Alukset_fx!$B$73,IF(Q606="Container ship",S606*Alukset_fx!$B$70,S606*Alukset_fx!$B$75))))))),"-")</f>
        <v>0</v>
      </c>
      <c r="U606" s="208">
        <f t="shared" si="114"/>
        <v>0</v>
      </c>
      <c r="V606" s="208">
        <f t="shared" si="115"/>
        <v>0</v>
      </c>
      <c r="W606" s="202">
        <f>Alukset_Käynnit!N613</f>
        <v>0</v>
      </c>
      <c r="X606" s="211">
        <f>IF(Q606="Other dry cargo", Alukset_fx!$C$52, IF(OR(Q606="Dry bulk",Q606="Bulk carrier"),Alukset_fx!$C$35,IF(OR(Q606="Tanker",Q606="Gas tanker",Q606="Oil tanker"),Alukset_fx!$C$57,IF(Q606="Chemical tanker",Alukset_fx!$C$56,IF(OR(Q606="Tugboat",Q606="Barge"),0,IF(Q606="Other vessel",Alukset_fx!$C$54,IF(Q606="Container ship",Alukset_fx!$C$37,IF(OR(Q606="RoPax",Q606="RoRo",Q606="Vehicle carrier"),Alukset_fx!$C$55,0))))))))</f>
        <v>0</v>
      </c>
      <c r="Y606" s="211">
        <f>IF(Q606="Other dry cargo", Alukset_fx!$Q$52, IF(OR(Q606="Dry bulk",Q606="Bulk carrier"),Alukset_fx!$Q$35,IF(OR(Q606="Tanker",Q606="Gas tanker",Q606="Oil tanker"),Alukset_fx!$Q$57,IF(Q606="Chemical tanker",Alukset_fx!$Q$56,IF(OR(Q606="Tugboat",Q606="Barge"),0,IF(Q606="Other vessel",Alukset_fx!$Q$54,IF(Q606="Container ship",Alukset_fx!$Q$37,IF(OR(Q606="RoPax",Q606="RoRo",Q606="Vehicle carrier"),Alukset_fx!$Q$55,0))))))))</f>
        <v>0</v>
      </c>
      <c r="Z606" t="str">
        <f t="shared" si="116"/>
        <v>MDO/MGO</v>
      </c>
      <c r="AA606" t="str">
        <f t="shared" si="117"/>
        <v>MSD</v>
      </c>
      <c r="AB606" t="str">
        <f t="shared" si="118"/>
        <v>MDO/MGO</v>
      </c>
      <c r="AC606" t="str">
        <f t="shared" si="119"/>
        <v>MSD</v>
      </c>
      <c r="AD606" t="str">
        <f t="shared" si="120"/>
        <v>MDO/MGO</v>
      </c>
      <c r="AE606" t="str">
        <f t="shared" si="121"/>
        <v>ST</v>
      </c>
      <c r="AG606">
        <f>Alukset_Käynnit!O613</f>
        <v>0</v>
      </c>
      <c r="AH606" s="207">
        <f>IF(AA606="SSD",((U606*Alukset_fx!$B$24)*Alukset_Käynnit_Lask!W606*(Alukset_fx!$K$49)/1000),IF(AA606="MSD",((U606*Alukset_fx!$B$24)*Alukset_Käynnit_Lask!W606*(Alukset_fx!$K$52)/1000),IF(AA606="HSD",((U606*Alukset_fx!$B$24)*Alukset_Käynnit_Lask!W606*(Alukset_fx!$K$55)/1000),0)))</f>
        <v>0</v>
      </c>
      <c r="AI606" s="207">
        <f>IF(AC606="MSD",((V606*Alukset_fx!$B$25)*Alukset_Käynnit_Lask!W606*(Alukset_fx!$L$52)/1000),IF(AC606="HSD",((V606*Alukset_fx!$B$25)*Alukset_Käynnit_Lask!W606*(Alukset_fx!$L$55)/1000),0))</f>
        <v>0</v>
      </c>
      <c r="AJ606" s="207">
        <f>X606*W606*Alukset_fx!$K$61/1000</f>
        <v>0</v>
      </c>
      <c r="AK606">
        <v>0</v>
      </c>
      <c r="AL606" s="207">
        <f>IF(AG606="Käytetty",0,IF(AC606="MSD",((V606*Alukset_fx!$O$25)*Alukset_Käynnit_Lask!O606*(Alukset_fx!$L$52)/1000),IF(AC606="HSD",((V606*Alukset_fx!$O$25)*Alukset_Käynnit_Lask!O606*(Alukset_fx!$L$55)/1000),0)))</f>
        <v>0</v>
      </c>
      <c r="AM606" s="207">
        <f>IF(AG606="Käytetty",0,Y606*O606*Alukset_fx!$K$61/1000)</f>
        <v>0</v>
      </c>
      <c r="AN606" s="213">
        <f t="shared" si="122"/>
        <v>0</v>
      </c>
    </row>
    <row r="607" spans="1:40" x14ac:dyDescent="0.25">
      <c r="A607" s="203">
        <f>Alukset_Käynnit!A614</f>
        <v>0</v>
      </c>
      <c r="B607" s="203">
        <f>Alukset_Käynnit!B614</f>
        <v>0</v>
      </c>
      <c r="C607" s="262">
        <f>Alukset_Käynnit!C614</f>
        <v>0</v>
      </c>
      <c r="D607" s="266">
        <f>Alukset_Käynnit!D614</f>
        <v>0</v>
      </c>
      <c r="E607" s="262">
        <f>Alukset_Käynnit!E614</f>
        <v>0</v>
      </c>
      <c r="F607" s="262">
        <f>Alukset_Käynnit!F614</f>
        <v>0</v>
      </c>
      <c r="G607" s="262">
        <f>Alukset_Käynnit!G614</f>
        <v>0</v>
      </c>
      <c r="H607" s="262">
        <f>Alukset_Käynnit!H614</f>
        <v>0</v>
      </c>
      <c r="I607" s="262">
        <f>Alukset_Käynnit!I614</f>
        <v>0</v>
      </c>
      <c r="J607" s="262">
        <f>Alukset_Käynnit!J614</f>
        <v>0</v>
      </c>
      <c r="K607" s="262">
        <f>Alukset_Käynnit!K614</f>
        <v>0</v>
      </c>
      <c r="L607" s="205">
        <f>Alukset_Käynnit!L614</f>
        <v>0</v>
      </c>
      <c r="N607" s="273">
        <f t="shared" si="123"/>
        <v>0</v>
      </c>
      <c r="O607" s="274">
        <f t="shared" si="124"/>
        <v>0</v>
      </c>
      <c r="Q607" s="204">
        <f t="shared" si="113"/>
        <v>0</v>
      </c>
      <c r="R607" s="202">
        <f>IF(Q607="Other dry cargo",L607*Alukset_fx!$B$71,IF(OR(Q607="Dry bulk",Q607="Bulk carrier"),L607*Alukset_fx!$B$69,IF(Q607="Tugboat",L607*Alukset_fx!$B$76,IF(OR(Q607="Tanker",Q607="Gas tanker",Q607="Chemical tanker",Q607="Oil tanker"),L607*Alukset_fx!$B$68,IF(OR(Q607="RoRo",Q607="Vehicle carrier"),L607*Alukset_fx!$B$72,IF(Q607="RoPax",L607*Alukset_fx!$B$73,IF(Q607="Container ship",L607*Alukset_fx!$B$70,IF(Q607="Barge",0,L607*Alukset_fx!$B$75))))))))</f>
        <v>0</v>
      </c>
      <c r="S607" s="210">
        <f>IF(L607=0,IF(Q607="Other dry cargo",Alukset_fx!$H$73*(Alukset_Käynnit_Lask!K607^Alukset_fx!$I$73),IF(OR(Q607="Dry Bulk",Q607="Bulk carrier"),Alukset_fx!$H$71*(Alukset_Käynnit_Lask!K607^Alukset_fx!$I$71),IF(Q607="Tugboat",Alukset_fx!$H$78*(Alukset_Käynnit_Lask!K607^Alukset_fx!$I$78),IF(OR(Q607="Tanker",Q607="Gas tanker",Q607="Chemical tanker",Q607="Oil tanker"),Alukset_fx!$H$70*(Alukset_Käynnit_Lask!K607^Alukset_fx!$I$70),IF(Q607="Container ship",Alukset_fx!$H$72*(Alukset_Käynnit_Lask!K607^Alukset_fx!$I$72),IF(Q607="Barge",0,IF(Q607="RoPax",Alukset_fx!$H$75*(Alukset_Käynnit_Lask!K607^Alukset_fx!$I$75),IF(OR(Q607="RoRo",Q607="Vehicle carrier"),Alukset_fx!$H$74*(Alukset_Käynnit_Lask!K607^Alukset_fx!$I$74),Alukset_fx!$H$77*(Alukset_Käynnit_Lask!K607^Alukset_fx!$I$77))))))))),"-")</f>
        <v>0</v>
      </c>
      <c r="T607" s="208">
        <f>IF(R607=0,IF(Q607="Other dry cargo",S607*Alukset_fx!$B$71,IF(OR(Q607="Dry bulk",Q607="Bulk carrier"),S607*Alukset_fx!$B$69,IF(Q607="Tugboat",S607*Alukset_fx!$B$76,IF(OR(Q607="Tanker",Q607="Gas tanker",Q607="Chemical tanker",Q607="Oil tanker"),S607*Alukset_fx!$B$68,IF(OR(Q607="RoRo",Q607="Vehicle carrier"),S607*Alukset_fx!$B$72,IF(Q607="RoPax",S607*Alukset_fx!$B$73,IF(Q607="Container ship",S607*Alukset_fx!$B$70,S607*Alukset_fx!$B$75))))))),"-")</f>
        <v>0</v>
      </c>
      <c r="U607" s="208">
        <f t="shared" si="114"/>
        <v>0</v>
      </c>
      <c r="V607" s="208">
        <f t="shared" si="115"/>
        <v>0</v>
      </c>
      <c r="W607" s="202">
        <f>Alukset_Käynnit!N614</f>
        <v>0</v>
      </c>
      <c r="X607" s="211">
        <f>IF(Q607="Other dry cargo", Alukset_fx!$C$52, IF(OR(Q607="Dry bulk",Q607="Bulk carrier"),Alukset_fx!$C$35,IF(OR(Q607="Tanker",Q607="Gas tanker",Q607="Oil tanker"),Alukset_fx!$C$57,IF(Q607="Chemical tanker",Alukset_fx!$C$56,IF(OR(Q607="Tugboat",Q607="Barge"),0,IF(Q607="Other vessel",Alukset_fx!$C$54,IF(Q607="Container ship",Alukset_fx!$C$37,IF(OR(Q607="RoPax",Q607="RoRo",Q607="Vehicle carrier"),Alukset_fx!$C$55,0))))))))</f>
        <v>0</v>
      </c>
      <c r="Y607" s="211">
        <f>IF(Q607="Other dry cargo", Alukset_fx!$Q$52, IF(OR(Q607="Dry bulk",Q607="Bulk carrier"),Alukset_fx!$Q$35,IF(OR(Q607="Tanker",Q607="Gas tanker",Q607="Oil tanker"),Alukset_fx!$Q$57,IF(Q607="Chemical tanker",Alukset_fx!$Q$56,IF(OR(Q607="Tugboat",Q607="Barge"),0,IF(Q607="Other vessel",Alukset_fx!$Q$54,IF(Q607="Container ship",Alukset_fx!$Q$37,IF(OR(Q607="RoPax",Q607="RoRo",Q607="Vehicle carrier"),Alukset_fx!$Q$55,0))))))))</f>
        <v>0</v>
      </c>
      <c r="Z607" t="str">
        <f t="shared" si="116"/>
        <v>MDO/MGO</v>
      </c>
      <c r="AA607" t="str">
        <f t="shared" si="117"/>
        <v>MSD</v>
      </c>
      <c r="AB607" t="str">
        <f t="shared" si="118"/>
        <v>MDO/MGO</v>
      </c>
      <c r="AC607" t="str">
        <f t="shared" si="119"/>
        <v>MSD</v>
      </c>
      <c r="AD607" t="str">
        <f t="shared" si="120"/>
        <v>MDO/MGO</v>
      </c>
      <c r="AE607" t="str">
        <f t="shared" si="121"/>
        <v>ST</v>
      </c>
      <c r="AG607">
        <f>Alukset_Käynnit!O614</f>
        <v>0</v>
      </c>
      <c r="AH607" s="207">
        <f>IF(AA607="SSD",((U607*Alukset_fx!$B$24)*Alukset_Käynnit_Lask!W607*(Alukset_fx!$K$49)/1000),IF(AA607="MSD",((U607*Alukset_fx!$B$24)*Alukset_Käynnit_Lask!W607*(Alukset_fx!$K$52)/1000),IF(AA607="HSD",((U607*Alukset_fx!$B$24)*Alukset_Käynnit_Lask!W607*(Alukset_fx!$K$55)/1000),0)))</f>
        <v>0</v>
      </c>
      <c r="AI607" s="207">
        <f>IF(AC607="MSD",((V607*Alukset_fx!$B$25)*Alukset_Käynnit_Lask!W607*(Alukset_fx!$L$52)/1000),IF(AC607="HSD",((V607*Alukset_fx!$B$25)*Alukset_Käynnit_Lask!W607*(Alukset_fx!$L$55)/1000),0))</f>
        <v>0</v>
      </c>
      <c r="AJ607" s="207">
        <f>X607*W607*Alukset_fx!$K$61/1000</f>
        <v>0</v>
      </c>
      <c r="AK607">
        <v>0</v>
      </c>
      <c r="AL607" s="207">
        <f>IF(AG607="Käytetty",0,IF(AC607="MSD",((V607*Alukset_fx!$O$25)*Alukset_Käynnit_Lask!O607*(Alukset_fx!$L$52)/1000),IF(AC607="HSD",((V607*Alukset_fx!$O$25)*Alukset_Käynnit_Lask!O607*(Alukset_fx!$L$55)/1000),0)))</f>
        <v>0</v>
      </c>
      <c r="AM607" s="207">
        <f>IF(AG607="Käytetty",0,Y607*O607*Alukset_fx!$K$61/1000)</f>
        <v>0</v>
      </c>
      <c r="AN607" s="213">
        <f t="shared" si="122"/>
        <v>0</v>
      </c>
    </row>
    <row r="608" spans="1:40" x14ac:dyDescent="0.25">
      <c r="A608" s="203">
        <f>Alukset_Käynnit!A615</f>
        <v>0</v>
      </c>
      <c r="B608" s="203">
        <f>Alukset_Käynnit!B615</f>
        <v>0</v>
      </c>
      <c r="C608" s="262">
        <f>Alukset_Käynnit!C615</f>
        <v>0</v>
      </c>
      <c r="D608" s="266">
        <f>Alukset_Käynnit!D615</f>
        <v>0</v>
      </c>
      <c r="E608" s="262">
        <f>Alukset_Käynnit!E615</f>
        <v>0</v>
      </c>
      <c r="F608" s="262">
        <f>Alukset_Käynnit!F615</f>
        <v>0</v>
      </c>
      <c r="G608" s="262">
        <f>Alukset_Käynnit!G615</f>
        <v>0</v>
      </c>
      <c r="H608" s="262">
        <f>Alukset_Käynnit!H615</f>
        <v>0</v>
      </c>
      <c r="I608" s="262">
        <f>Alukset_Käynnit!I615</f>
        <v>0</v>
      </c>
      <c r="J608" s="262">
        <f>Alukset_Käynnit!J615</f>
        <v>0</v>
      </c>
      <c r="K608" s="262">
        <f>Alukset_Käynnit!K615</f>
        <v>0</v>
      </c>
      <c r="L608" s="205">
        <f>Alukset_Käynnit!L615</f>
        <v>0</v>
      </c>
      <c r="N608" s="273">
        <f t="shared" si="123"/>
        <v>0</v>
      </c>
      <c r="O608" s="274">
        <f t="shared" si="124"/>
        <v>0</v>
      </c>
      <c r="Q608" s="204">
        <f t="shared" si="113"/>
        <v>0</v>
      </c>
      <c r="R608" s="202">
        <f>IF(Q608="Other dry cargo",L608*Alukset_fx!$B$71,IF(OR(Q608="Dry bulk",Q608="Bulk carrier"),L608*Alukset_fx!$B$69,IF(Q608="Tugboat",L608*Alukset_fx!$B$76,IF(OR(Q608="Tanker",Q608="Gas tanker",Q608="Chemical tanker",Q608="Oil tanker"),L608*Alukset_fx!$B$68,IF(OR(Q608="RoRo",Q608="Vehicle carrier"),L608*Alukset_fx!$B$72,IF(Q608="RoPax",L608*Alukset_fx!$B$73,IF(Q608="Container ship",L608*Alukset_fx!$B$70,IF(Q608="Barge",0,L608*Alukset_fx!$B$75))))))))</f>
        <v>0</v>
      </c>
      <c r="S608" s="210">
        <f>IF(L608=0,IF(Q608="Other dry cargo",Alukset_fx!$H$73*(Alukset_Käynnit_Lask!K608^Alukset_fx!$I$73),IF(OR(Q608="Dry Bulk",Q608="Bulk carrier"),Alukset_fx!$H$71*(Alukset_Käynnit_Lask!K608^Alukset_fx!$I$71),IF(Q608="Tugboat",Alukset_fx!$H$78*(Alukset_Käynnit_Lask!K608^Alukset_fx!$I$78),IF(OR(Q608="Tanker",Q608="Gas tanker",Q608="Chemical tanker",Q608="Oil tanker"),Alukset_fx!$H$70*(Alukset_Käynnit_Lask!K608^Alukset_fx!$I$70),IF(Q608="Container ship",Alukset_fx!$H$72*(Alukset_Käynnit_Lask!K608^Alukset_fx!$I$72),IF(Q608="Barge",0,IF(Q608="RoPax",Alukset_fx!$H$75*(Alukset_Käynnit_Lask!K608^Alukset_fx!$I$75),IF(OR(Q608="RoRo",Q608="Vehicle carrier"),Alukset_fx!$H$74*(Alukset_Käynnit_Lask!K608^Alukset_fx!$I$74),Alukset_fx!$H$77*(Alukset_Käynnit_Lask!K608^Alukset_fx!$I$77))))))))),"-")</f>
        <v>0</v>
      </c>
      <c r="T608" s="208">
        <f>IF(R608=0,IF(Q608="Other dry cargo",S608*Alukset_fx!$B$71,IF(OR(Q608="Dry bulk",Q608="Bulk carrier"),S608*Alukset_fx!$B$69,IF(Q608="Tugboat",S608*Alukset_fx!$B$76,IF(OR(Q608="Tanker",Q608="Gas tanker",Q608="Chemical tanker",Q608="Oil tanker"),S608*Alukset_fx!$B$68,IF(OR(Q608="RoRo",Q608="Vehicle carrier"),S608*Alukset_fx!$B$72,IF(Q608="RoPax",S608*Alukset_fx!$B$73,IF(Q608="Container ship",S608*Alukset_fx!$B$70,S608*Alukset_fx!$B$75))))))),"-")</f>
        <v>0</v>
      </c>
      <c r="U608" s="208">
        <f t="shared" si="114"/>
        <v>0</v>
      </c>
      <c r="V608" s="208">
        <f t="shared" si="115"/>
        <v>0</v>
      </c>
      <c r="W608" s="202">
        <f>Alukset_Käynnit!N615</f>
        <v>0</v>
      </c>
      <c r="X608" s="211">
        <f>IF(Q608="Other dry cargo", Alukset_fx!$C$52, IF(OR(Q608="Dry bulk",Q608="Bulk carrier"),Alukset_fx!$C$35,IF(OR(Q608="Tanker",Q608="Gas tanker",Q608="Oil tanker"),Alukset_fx!$C$57,IF(Q608="Chemical tanker",Alukset_fx!$C$56,IF(OR(Q608="Tugboat",Q608="Barge"),0,IF(Q608="Other vessel",Alukset_fx!$C$54,IF(Q608="Container ship",Alukset_fx!$C$37,IF(OR(Q608="RoPax",Q608="RoRo",Q608="Vehicle carrier"),Alukset_fx!$C$55,0))))))))</f>
        <v>0</v>
      </c>
      <c r="Y608" s="211">
        <f>IF(Q608="Other dry cargo", Alukset_fx!$Q$52, IF(OR(Q608="Dry bulk",Q608="Bulk carrier"),Alukset_fx!$Q$35,IF(OR(Q608="Tanker",Q608="Gas tanker",Q608="Oil tanker"),Alukset_fx!$Q$57,IF(Q608="Chemical tanker",Alukset_fx!$Q$56,IF(OR(Q608="Tugboat",Q608="Barge"),0,IF(Q608="Other vessel",Alukset_fx!$Q$54,IF(Q608="Container ship",Alukset_fx!$Q$37,IF(OR(Q608="RoPax",Q608="RoRo",Q608="Vehicle carrier"),Alukset_fx!$Q$55,0))))))))</f>
        <v>0</v>
      </c>
      <c r="Z608" t="str">
        <f t="shared" si="116"/>
        <v>MDO/MGO</v>
      </c>
      <c r="AA608" t="str">
        <f t="shared" si="117"/>
        <v>MSD</v>
      </c>
      <c r="AB608" t="str">
        <f t="shared" si="118"/>
        <v>MDO/MGO</v>
      </c>
      <c r="AC608" t="str">
        <f t="shared" si="119"/>
        <v>MSD</v>
      </c>
      <c r="AD608" t="str">
        <f t="shared" si="120"/>
        <v>MDO/MGO</v>
      </c>
      <c r="AE608" t="str">
        <f t="shared" si="121"/>
        <v>ST</v>
      </c>
      <c r="AG608">
        <f>Alukset_Käynnit!O615</f>
        <v>0</v>
      </c>
      <c r="AH608" s="207">
        <f>IF(AA608="SSD",((U608*Alukset_fx!$B$24)*Alukset_Käynnit_Lask!W608*(Alukset_fx!$K$49)/1000),IF(AA608="MSD",((U608*Alukset_fx!$B$24)*Alukset_Käynnit_Lask!W608*(Alukset_fx!$K$52)/1000),IF(AA608="HSD",((U608*Alukset_fx!$B$24)*Alukset_Käynnit_Lask!W608*(Alukset_fx!$K$55)/1000),0)))</f>
        <v>0</v>
      </c>
      <c r="AI608" s="207">
        <f>IF(AC608="MSD",((V608*Alukset_fx!$B$25)*Alukset_Käynnit_Lask!W608*(Alukset_fx!$L$52)/1000),IF(AC608="HSD",((V608*Alukset_fx!$B$25)*Alukset_Käynnit_Lask!W608*(Alukset_fx!$L$55)/1000),0))</f>
        <v>0</v>
      </c>
      <c r="AJ608" s="207">
        <f>X608*W608*Alukset_fx!$K$61/1000</f>
        <v>0</v>
      </c>
      <c r="AK608">
        <v>0</v>
      </c>
      <c r="AL608" s="207">
        <f>IF(AG608="Käytetty",0,IF(AC608="MSD",((V608*Alukset_fx!$O$25)*Alukset_Käynnit_Lask!O608*(Alukset_fx!$L$52)/1000),IF(AC608="HSD",((V608*Alukset_fx!$O$25)*Alukset_Käynnit_Lask!O608*(Alukset_fx!$L$55)/1000),0)))</f>
        <v>0</v>
      </c>
      <c r="AM608" s="207">
        <f>IF(AG608="Käytetty",0,Y608*O608*Alukset_fx!$K$61/1000)</f>
        <v>0</v>
      </c>
      <c r="AN608" s="213">
        <f t="shared" si="122"/>
        <v>0</v>
      </c>
    </row>
    <row r="609" spans="1:40" x14ac:dyDescent="0.25">
      <c r="A609" s="203">
        <f>Alukset_Käynnit!A616</f>
        <v>0</v>
      </c>
      <c r="B609" s="203">
        <f>Alukset_Käynnit!B616</f>
        <v>0</v>
      </c>
      <c r="C609" s="262">
        <f>Alukset_Käynnit!C616</f>
        <v>0</v>
      </c>
      <c r="D609" s="266">
        <f>Alukset_Käynnit!D616</f>
        <v>0</v>
      </c>
      <c r="E609" s="262">
        <f>Alukset_Käynnit!E616</f>
        <v>0</v>
      </c>
      <c r="F609" s="262">
        <f>Alukset_Käynnit!F616</f>
        <v>0</v>
      </c>
      <c r="G609" s="262">
        <f>Alukset_Käynnit!G616</f>
        <v>0</v>
      </c>
      <c r="H609" s="262">
        <f>Alukset_Käynnit!H616</f>
        <v>0</v>
      </c>
      <c r="I609" s="262">
        <f>Alukset_Käynnit!I616</f>
        <v>0</v>
      </c>
      <c r="J609" s="262">
        <f>Alukset_Käynnit!J616</f>
        <v>0</v>
      </c>
      <c r="K609" s="262">
        <f>Alukset_Käynnit!K616</f>
        <v>0</v>
      </c>
      <c r="L609" s="205">
        <f>Alukset_Käynnit!L616</f>
        <v>0</v>
      </c>
      <c r="N609" s="273">
        <f t="shared" si="123"/>
        <v>0</v>
      </c>
      <c r="O609" s="274">
        <f t="shared" si="124"/>
        <v>0</v>
      </c>
      <c r="Q609" s="204">
        <f t="shared" si="113"/>
        <v>0</v>
      </c>
      <c r="R609" s="202">
        <f>IF(Q609="Other dry cargo",L609*Alukset_fx!$B$71,IF(OR(Q609="Dry bulk",Q609="Bulk carrier"),L609*Alukset_fx!$B$69,IF(Q609="Tugboat",L609*Alukset_fx!$B$76,IF(OR(Q609="Tanker",Q609="Gas tanker",Q609="Chemical tanker",Q609="Oil tanker"),L609*Alukset_fx!$B$68,IF(OR(Q609="RoRo",Q609="Vehicle carrier"),L609*Alukset_fx!$B$72,IF(Q609="RoPax",L609*Alukset_fx!$B$73,IF(Q609="Container ship",L609*Alukset_fx!$B$70,IF(Q609="Barge",0,L609*Alukset_fx!$B$75))))))))</f>
        <v>0</v>
      </c>
      <c r="S609" s="210">
        <f>IF(L609=0,IF(Q609="Other dry cargo",Alukset_fx!$H$73*(Alukset_Käynnit_Lask!K609^Alukset_fx!$I$73),IF(OR(Q609="Dry Bulk",Q609="Bulk carrier"),Alukset_fx!$H$71*(Alukset_Käynnit_Lask!K609^Alukset_fx!$I$71),IF(Q609="Tugboat",Alukset_fx!$H$78*(Alukset_Käynnit_Lask!K609^Alukset_fx!$I$78),IF(OR(Q609="Tanker",Q609="Gas tanker",Q609="Chemical tanker",Q609="Oil tanker"),Alukset_fx!$H$70*(Alukset_Käynnit_Lask!K609^Alukset_fx!$I$70),IF(Q609="Container ship",Alukset_fx!$H$72*(Alukset_Käynnit_Lask!K609^Alukset_fx!$I$72),IF(Q609="Barge",0,IF(Q609="RoPax",Alukset_fx!$H$75*(Alukset_Käynnit_Lask!K609^Alukset_fx!$I$75),IF(OR(Q609="RoRo",Q609="Vehicle carrier"),Alukset_fx!$H$74*(Alukset_Käynnit_Lask!K609^Alukset_fx!$I$74),Alukset_fx!$H$77*(Alukset_Käynnit_Lask!K609^Alukset_fx!$I$77))))))))),"-")</f>
        <v>0</v>
      </c>
      <c r="T609" s="208">
        <f>IF(R609=0,IF(Q609="Other dry cargo",S609*Alukset_fx!$B$71,IF(OR(Q609="Dry bulk",Q609="Bulk carrier"),S609*Alukset_fx!$B$69,IF(Q609="Tugboat",S609*Alukset_fx!$B$76,IF(OR(Q609="Tanker",Q609="Gas tanker",Q609="Chemical tanker",Q609="Oil tanker"),S609*Alukset_fx!$B$68,IF(OR(Q609="RoRo",Q609="Vehicle carrier"),S609*Alukset_fx!$B$72,IF(Q609="RoPax",S609*Alukset_fx!$B$73,IF(Q609="Container ship",S609*Alukset_fx!$B$70,S609*Alukset_fx!$B$75))))))),"-")</f>
        <v>0</v>
      </c>
      <c r="U609" s="208">
        <f t="shared" si="114"/>
        <v>0</v>
      </c>
      <c r="V609" s="208">
        <f t="shared" si="115"/>
        <v>0</v>
      </c>
      <c r="W609" s="202">
        <f>Alukset_Käynnit!N616</f>
        <v>0</v>
      </c>
      <c r="X609" s="211">
        <f>IF(Q609="Other dry cargo", Alukset_fx!$C$52, IF(OR(Q609="Dry bulk",Q609="Bulk carrier"),Alukset_fx!$C$35,IF(OR(Q609="Tanker",Q609="Gas tanker",Q609="Oil tanker"),Alukset_fx!$C$57,IF(Q609="Chemical tanker",Alukset_fx!$C$56,IF(OR(Q609="Tugboat",Q609="Barge"),0,IF(Q609="Other vessel",Alukset_fx!$C$54,IF(Q609="Container ship",Alukset_fx!$C$37,IF(OR(Q609="RoPax",Q609="RoRo",Q609="Vehicle carrier"),Alukset_fx!$C$55,0))))))))</f>
        <v>0</v>
      </c>
      <c r="Y609" s="211">
        <f>IF(Q609="Other dry cargo", Alukset_fx!$Q$52, IF(OR(Q609="Dry bulk",Q609="Bulk carrier"),Alukset_fx!$Q$35,IF(OR(Q609="Tanker",Q609="Gas tanker",Q609="Oil tanker"),Alukset_fx!$Q$57,IF(Q609="Chemical tanker",Alukset_fx!$Q$56,IF(OR(Q609="Tugboat",Q609="Barge"),0,IF(Q609="Other vessel",Alukset_fx!$Q$54,IF(Q609="Container ship",Alukset_fx!$Q$37,IF(OR(Q609="RoPax",Q609="RoRo",Q609="Vehicle carrier"),Alukset_fx!$Q$55,0))))))))</f>
        <v>0</v>
      </c>
      <c r="Z609" t="str">
        <f t="shared" si="116"/>
        <v>MDO/MGO</v>
      </c>
      <c r="AA609" t="str">
        <f t="shared" si="117"/>
        <v>MSD</v>
      </c>
      <c r="AB609" t="str">
        <f t="shared" si="118"/>
        <v>MDO/MGO</v>
      </c>
      <c r="AC609" t="str">
        <f t="shared" si="119"/>
        <v>MSD</v>
      </c>
      <c r="AD609" t="str">
        <f t="shared" si="120"/>
        <v>MDO/MGO</v>
      </c>
      <c r="AE609" t="str">
        <f t="shared" si="121"/>
        <v>ST</v>
      </c>
      <c r="AG609">
        <f>Alukset_Käynnit!O616</f>
        <v>0</v>
      </c>
      <c r="AH609" s="207">
        <f>IF(AA609="SSD",((U609*Alukset_fx!$B$24)*Alukset_Käynnit_Lask!W609*(Alukset_fx!$K$49)/1000),IF(AA609="MSD",((U609*Alukset_fx!$B$24)*Alukset_Käynnit_Lask!W609*(Alukset_fx!$K$52)/1000),IF(AA609="HSD",((U609*Alukset_fx!$B$24)*Alukset_Käynnit_Lask!W609*(Alukset_fx!$K$55)/1000),0)))</f>
        <v>0</v>
      </c>
      <c r="AI609" s="207">
        <f>IF(AC609="MSD",((V609*Alukset_fx!$B$25)*Alukset_Käynnit_Lask!W609*(Alukset_fx!$L$52)/1000),IF(AC609="HSD",((V609*Alukset_fx!$B$25)*Alukset_Käynnit_Lask!W609*(Alukset_fx!$L$55)/1000),0))</f>
        <v>0</v>
      </c>
      <c r="AJ609" s="207">
        <f>X609*W609*Alukset_fx!$K$61/1000</f>
        <v>0</v>
      </c>
      <c r="AK609">
        <v>0</v>
      </c>
      <c r="AL609" s="207">
        <f>IF(AG609="Käytetty",0,IF(AC609="MSD",((V609*Alukset_fx!$O$25)*Alukset_Käynnit_Lask!O609*(Alukset_fx!$L$52)/1000),IF(AC609="HSD",((V609*Alukset_fx!$O$25)*Alukset_Käynnit_Lask!O609*(Alukset_fx!$L$55)/1000),0)))</f>
        <v>0</v>
      </c>
      <c r="AM609" s="207">
        <f>IF(AG609="Käytetty",0,Y609*O609*Alukset_fx!$K$61/1000)</f>
        <v>0</v>
      </c>
      <c r="AN609" s="213">
        <f t="shared" si="122"/>
        <v>0</v>
      </c>
    </row>
    <row r="610" spans="1:40" x14ac:dyDescent="0.25">
      <c r="A610" s="203">
        <f>Alukset_Käynnit!A617</f>
        <v>0</v>
      </c>
      <c r="B610" s="203">
        <f>Alukset_Käynnit!B617</f>
        <v>0</v>
      </c>
      <c r="C610" s="262">
        <f>Alukset_Käynnit!C617</f>
        <v>0</v>
      </c>
      <c r="D610" s="266">
        <f>Alukset_Käynnit!D617</f>
        <v>0</v>
      </c>
      <c r="E610" s="262">
        <f>Alukset_Käynnit!E617</f>
        <v>0</v>
      </c>
      <c r="F610" s="262">
        <f>Alukset_Käynnit!F617</f>
        <v>0</v>
      </c>
      <c r="G610" s="262">
        <f>Alukset_Käynnit!G617</f>
        <v>0</v>
      </c>
      <c r="H610" s="262">
        <f>Alukset_Käynnit!H617</f>
        <v>0</v>
      </c>
      <c r="I610" s="262">
        <f>Alukset_Käynnit!I617</f>
        <v>0</v>
      </c>
      <c r="J610" s="262">
        <f>Alukset_Käynnit!J617</f>
        <v>0</v>
      </c>
      <c r="K610" s="262">
        <f>Alukset_Käynnit!K617</f>
        <v>0</v>
      </c>
      <c r="L610" s="205">
        <f>Alukset_Käynnit!L617</f>
        <v>0</v>
      </c>
      <c r="N610" s="273">
        <f t="shared" si="123"/>
        <v>0</v>
      </c>
      <c r="O610" s="274">
        <f t="shared" si="124"/>
        <v>0</v>
      </c>
      <c r="Q610" s="204">
        <f t="shared" si="113"/>
        <v>0</v>
      </c>
      <c r="R610" s="202">
        <f>IF(Q610="Other dry cargo",L610*Alukset_fx!$B$71,IF(OR(Q610="Dry bulk",Q610="Bulk carrier"),L610*Alukset_fx!$B$69,IF(Q610="Tugboat",L610*Alukset_fx!$B$76,IF(OR(Q610="Tanker",Q610="Gas tanker",Q610="Chemical tanker",Q610="Oil tanker"),L610*Alukset_fx!$B$68,IF(OR(Q610="RoRo",Q610="Vehicle carrier"),L610*Alukset_fx!$B$72,IF(Q610="RoPax",L610*Alukset_fx!$B$73,IF(Q610="Container ship",L610*Alukset_fx!$B$70,IF(Q610="Barge",0,L610*Alukset_fx!$B$75))))))))</f>
        <v>0</v>
      </c>
      <c r="S610" s="210">
        <f>IF(L610=0,IF(Q610="Other dry cargo",Alukset_fx!$H$73*(Alukset_Käynnit_Lask!K610^Alukset_fx!$I$73),IF(OR(Q610="Dry Bulk",Q610="Bulk carrier"),Alukset_fx!$H$71*(Alukset_Käynnit_Lask!K610^Alukset_fx!$I$71),IF(Q610="Tugboat",Alukset_fx!$H$78*(Alukset_Käynnit_Lask!K610^Alukset_fx!$I$78),IF(OR(Q610="Tanker",Q610="Gas tanker",Q610="Chemical tanker",Q610="Oil tanker"),Alukset_fx!$H$70*(Alukset_Käynnit_Lask!K610^Alukset_fx!$I$70),IF(Q610="Container ship",Alukset_fx!$H$72*(Alukset_Käynnit_Lask!K610^Alukset_fx!$I$72),IF(Q610="Barge",0,IF(Q610="RoPax",Alukset_fx!$H$75*(Alukset_Käynnit_Lask!K610^Alukset_fx!$I$75),IF(OR(Q610="RoRo",Q610="Vehicle carrier"),Alukset_fx!$H$74*(Alukset_Käynnit_Lask!K610^Alukset_fx!$I$74),Alukset_fx!$H$77*(Alukset_Käynnit_Lask!K610^Alukset_fx!$I$77))))))))),"-")</f>
        <v>0</v>
      </c>
      <c r="T610" s="208">
        <f>IF(R610=0,IF(Q610="Other dry cargo",S610*Alukset_fx!$B$71,IF(OR(Q610="Dry bulk",Q610="Bulk carrier"),S610*Alukset_fx!$B$69,IF(Q610="Tugboat",S610*Alukset_fx!$B$76,IF(OR(Q610="Tanker",Q610="Gas tanker",Q610="Chemical tanker",Q610="Oil tanker"),S610*Alukset_fx!$B$68,IF(OR(Q610="RoRo",Q610="Vehicle carrier"),S610*Alukset_fx!$B$72,IF(Q610="RoPax",S610*Alukset_fx!$B$73,IF(Q610="Container ship",S610*Alukset_fx!$B$70,S610*Alukset_fx!$B$75))))))),"-")</f>
        <v>0</v>
      </c>
      <c r="U610" s="208">
        <f t="shared" si="114"/>
        <v>0</v>
      </c>
      <c r="V610" s="208">
        <f t="shared" si="115"/>
        <v>0</v>
      </c>
      <c r="W610" s="202">
        <f>Alukset_Käynnit!N617</f>
        <v>0</v>
      </c>
      <c r="X610" s="211">
        <f>IF(Q610="Other dry cargo", Alukset_fx!$C$52, IF(OR(Q610="Dry bulk",Q610="Bulk carrier"),Alukset_fx!$C$35,IF(OR(Q610="Tanker",Q610="Gas tanker",Q610="Oil tanker"),Alukset_fx!$C$57,IF(Q610="Chemical tanker",Alukset_fx!$C$56,IF(OR(Q610="Tugboat",Q610="Barge"),0,IF(Q610="Other vessel",Alukset_fx!$C$54,IF(Q610="Container ship",Alukset_fx!$C$37,IF(OR(Q610="RoPax",Q610="RoRo",Q610="Vehicle carrier"),Alukset_fx!$C$55,0))))))))</f>
        <v>0</v>
      </c>
      <c r="Y610" s="211">
        <f>IF(Q610="Other dry cargo", Alukset_fx!$Q$52, IF(OR(Q610="Dry bulk",Q610="Bulk carrier"),Alukset_fx!$Q$35,IF(OR(Q610="Tanker",Q610="Gas tanker",Q610="Oil tanker"),Alukset_fx!$Q$57,IF(Q610="Chemical tanker",Alukset_fx!$Q$56,IF(OR(Q610="Tugboat",Q610="Barge"),0,IF(Q610="Other vessel",Alukset_fx!$Q$54,IF(Q610="Container ship",Alukset_fx!$Q$37,IF(OR(Q610="RoPax",Q610="RoRo",Q610="Vehicle carrier"),Alukset_fx!$Q$55,0))))))))</f>
        <v>0</v>
      </c>
      <c r="Z610" t="str">
        <f t="shared" si="116"/>
        <v>MDO/MGO</v>
      </c>
      <c r="AA610" t="str">
        <f t="shared" si="117"/>
        <v>MSD</v>
      </c>
      <c r="AB610" t="str">
        <f t="shared" si="118"/>
        <v>MDO/MGO</v>
      </c>
      <c r="AC610" t="str">
        <f t="shared" si="119"/>
        <v>MSD</v>
      </c>
      <c r="AD610" t="str">
        <f t="shared" si="120"/>
        <v>MDO/MGO</v>
      </c>
      <c r="AE610" t="str">
        <f t="shared" si="121"/>
        <v>ST</v>
      </c>
      <c r="AG610">
        <f>Alukset_Käynnit!O617</f>
        <v>0</v>
      </c>
      <c r="AH610" s="207">
        <f>IF(AA610="SSD",((U610*Alukset_fx!$B$24)*Alukset_Käynnit_Lask!W610*(Alukset_fx!$K$49)/1000),IF(AA610="MSD",((U610*Alukset_fx!$B$24)*Alukset_Käynnit_Lask!W610*(Alukset_fx!$K$52)/1000),IF(AA610="HSD",((U610*Alukset_fx!$B$24)*Alukset_Käynnit_Lask!W610*(Alukset_fx!$K$55)/1000),0)))</f>
        <v>0</v>
      </c>
      <c r="AI610" s="207">
        <f>IF(AC610="MSD",((V610*Alukset_fx!$B$25)*Alukset_Käynnit_Lask!W610*(Alukset_fx!$L$52)/1000),IF(AC610="HSD",((V610*Alukset_fx!$B$25)*Alukset_Käynnit_Lask!W610*(Alukset_fx!$L$55)/1000),0))</f>
        <v>0</v>
      </c>
      <c r="AJ610" s="207">
        <f>X610*W610*Alukset_fx!$K$61/1000</f>
        <v>0</v>
      </c>
      <c r="AK610">
        <v>0</v>
      </c>
      <c r="AL610" s="207">
        <f>IF(AG610="Käytetty",0,IF(AC610="MSD",((V610*Alukset_fx!$O$25)*Alukset_Käynnit_Lask!O610*(Alukset_fx!$L$52)/1000),IF(AC610="HSD",((V610*Alukset_fx!$O$25)*Alukset_Käynnit_Lask!O610*(Alukset_fx!$L$55)/1000),0)))</f>
        <v>0</v>
      </c>
      <c r="AM610" s="207">
        <f>IF(AG610="Käytetty",0,Y610*O610*Alukset_fx!$K$61/1000)</f>
        <v>0</v>
      </c>
      <c r="AN610" s="213">
        <f t="shared" si="122"/>
        <v>0</v>
      </c>
    </row>
    <row r="611" spans="1:40" x14ac:dyDescent="0.25">
      <c r="A611" s="203">
        <f>Alukset_Käynnit!A618</f>
        <v>0</v>
      </c>
      <c r="B611" s="203">
        <f>Alukset_Käynnit!B618</f>
        <v>0</v>
      </c>
      <c r="C611" s="262">
        <f>Alukset_Käynnit!C618</f>
        <v>0</v>
      </c>
      <c r="D611" s="266">
        <f>Alukset_Käynnit!D618</f>
        <v>0</v>
      </c>
      <c r="E611" s="262">
        <f>Alukset_Käynnit!E618</f>
        <v>0</v>
      </c>
      <c r="F611" s="262">
        <f>Alukset_Käynnit!F618</f>
        <v>0</v>
      </c>
      <c r="G611" s="262">
        <f>Alukset_Käynnit!G618</f>
        <v>0</v>
      </c>
      <c r="H611" s="262">
        <f>Alukset_Käynnit!H618</f>
        <v>0</v>
      </c>
      <c r="I611" s="262">
        <f>Alukset_Käynnit!I618</f>
        <v>0</v>
      </c>
      <c r="J611" s="262">
        <f>Alukset_Käynnit!J618</f>
        <v>0</v>
      </c>
      <c r="K611" s="262">
        <f>Alukset_Käynnit!K618</f>
        <v>0</v>
      </c>
      <c r="L611" s="205">
        <f>Alukset_Käynnit!L618</f>
        <v>0</v>
      </c>
      <c r="N611" s="273">
        <f t="shared" si="123"/>
        <v>0</v>
      </c>
      <c r="O611" s="274">
        <f t="shared" si="124"/>
        <v>0</v>
      </c>
      <c r="Q611" s="204">
        <f t="shared" si="113"/>
        <v>0</v>
      </c>
      <c r="R611" s="202">
        <f>IF(Q611="Other dry cargo",L611*Alukset_fx!$B$71,IF(OR(Q611="Dry bulk",Q611="Bulk carrier"),L611*Alukset_fx!$B$69,IF(Q611="Tugboat",L611*Alukset_fx!$B$76,IF(OR(Q611="Tanker",Q611="Gas tanker",Q611="Chemical tanker",Q611="Oil tanker"),L611*Alukset_fx!$B$68,IF(OR(Q611="RoRo",Q611="Vehicle carrier"),L611*Alukset_fx!$B$72,IF(Q611="RoPax",L611*Alukset_fx!$B$73,IF(Q611="Container ship",L611*Alukset_fx!$B$70,IF(Q611="Barge",0,L611*Alukset_fx!$B$75))))))))</f>
        <v>0</v>
      </c>
      <c r="S611" s="210">
        <f>IF(L611=0,IF(Q611="Other dry cargo",Alukset_fx!$H$73*(Alukset_Käynnit_Lask!K611^Alukset_fx!$I$73),IF(OR(Q611="Dry Bulk",Q611="Bulk carrier"),Alukset_fx!$H$71*(Alukset_Käynnit_Lask!K611^Alukset_fx!$I$71),IF(Q611="Tugboat",Alukset_fx!$H$78*(Alukset_Käynnit_Lask!K611^Alukset_fx!$I$78),IF(OR(Q611="Tanker",Q611="Gas tanker",Q611="Chemical tanker",Q611="Oil tanker"),Alukset_fx!$H$70*(Alukset_Käynnit_Lask!K611^Alukset_fx!$I$70),IF(Q611="Container ship",Alukset_fx!$H$72*(Alukset_Käynnit_Lask!K611^Alukset_fx!$I$72),IF(Q611="Barge",0,IF(Q611="RoPax",Alukset_fx!$H$75*(Alukset_Käynnit_Lask!K611^Alukset_fx!$I$75),IF(OR(Q611="RoRo",Q611="Vehicle carrier"),Alukset_fx!$H$74*(Alukset_Käynnit_Lask!K611^Alukset_fx!$I$74),Alukset_fx!$H$77*(Alukset_Käynnit_Lask!K611^Alukset_fx!$I$77))))))))),"-")</f>
        <v>0</v>
      </c>
      <c r="T611" s="208">
        <f>IF(R611=0,IF(Q611="Other dry cargo",S611*Alukset_fx!$B$71,IF(OR(Q611="Dry bulk",Q611="Bulk carrier"),S611*Alukset_fx!$B$69,IF(Q611="Tugboat",S611*Alukset_fx!$B$76,IF(OR(Q611="Tanker",Q611="Gas tanker",Q611="Chemical tanker",Q611="Oil tanker"),S611*Alukset_fx!$B$68,IF(OR(Q611="RoRo",Q611="Vehicle carrier"),S611*Alukset_fx!$B$72,IF(Q611="RoPax",S611*Alukset_fx!$B$73,IF(Q611="Container ship",S611*Alukset_fx!$B$70,S611*Alukset_fx!$B$75))))))),"-")</f>
        <v>0</v>
      </c>
      <c r="U611" s="208">
        <f t="shared" si="114"/>
        <v>0</v>
      </c>
      <c r="V611" s="208">
        <f t="shared" si="115"/>
        <v>0</v>
      </c>
      <c r="W611" s="202">
        <f>Alukset_Käynnit!N618</f>
        <v>0</v>
      </c>
      <c r="X611" s="211">
        <f>IF(Q611="Other dry cargo", Alukset_fx!$C$52, IF(OR(Q611="Dry bulk",Q611="Bulk carrier"),Alukset_fx!$C$35,IF(OR(Q611="Tanker",Q611="Gas tanker",Q611="Oil tanker"),Alukset_fx!$C$57,IF(Q611="Chemical tanker",Alukset_fx!$C$56,IF(OR(Q611="Tugboat",Q611="Barge"),0,IF(Q611="Other vessel",Alukset_fx!$C$54,IF(Q611="Container ship",Alukset_fx!$C$37,IF(OR(Q611="RoPax",Q611="RoRo",Q611="Vehicle carrier"),Alukset_fx!$C$55,0))))))))</f>
        <v>0</v>
      </c>
      <c r="Y611" s="211">
        <f>IF(Q611="Other dry cargo", Alukset_fx!$Q$52, IF(OR(Q611="Dry bulk",Q611="Bulk carrier"),Alukset_fx!$Q$35,IF(OR(Q611="Tanker",Q611="Gas tanker",Q611="Oil tanker"),Alukset_fx!$Q$57,IF(Q611="Chemical tanker",Alukset_fx!$Q$56,IF(OR(Q611="Tugboat",Q611="Barge"),0,IF(Q611="Other vessel",Alukset_fx!$Q$54,IF(Q611="Container ship",Alukset_fx!$Q$37,IF(OR(Q611="RoPax",Q611="RoRo",Q611="Vehicle carrier"),Alukset_fx!$Q$55,0))))))))</f>
        <v>0</v>
      </c>
      <c r="Z611" t="str">
        <f t="shared" si="116"/>
        <v>MDO/MGO</v>
      </c>
      <c r="AA611" t="str">
        <f t="shared" si="117"/>
        <v>MSD</v>
      </c>
      <c r="AB611" t="str">
        <f t="shared" si="118"/>
        <v>MDO/MGO</v>
      </c>
      <c r="AC611" t="str">
        <f t="shared" si="119"/>
        <v>MSD</v>
      </c>
      <c r="AD611" t="str">
        <f t="shared" si="120"/>
        <v>MDO/MGO</v>
      </c>
      <c r="AE611" t="str">
        <f t="shared" si="121"/>
        <v>ST</v>
      </c>
      <c r="AG611">
        <f>Alukset_Käynnit!O618</f>
        <v>0</v>
      </c>
      <c r="AH611" s="207">
        <f>IF(AA611="SSD",((U611*Alukset_fx!$B$24)*Alukset_Käynnit_Lask!W611*(Alukset_fx!$K$49)/1000),IF(AA611="MSD",((U611*Alukset_fx!$B$24)*Alukset_Käynnit_Lask!W611*(Alukset_fx!$K$52)/1000),IF(AA611="HSD",((U611*Alukset_fx!$B$24)*Alukset_Käynnit_Lask!W611*(Alukset_fx!$K$55)/1000),0)))</f>
        <v>0</v>
      </c>
      <c r="AI611" s="207">
        <f>IF(AC611="MSD",((V611*Alukset_fx!$B$25)*Alukset_Käynnit_Lask!W611*(Alukset_fx!$L$52)/1000),IF(AC611="HSD",((V611*Alukset_fx!$B$25)*Alukset_Käynnit_Lask!W611*(Alukset_fx!$L$55)/1000),0))</f>
        <v>0</v>
      </c>
      <c r="AJ611" s="207">
        <f>X611*W611*Alukset_fx!$K$61/1000</f>
        <v>0</v>
      </c>
      <c r="AK611">
        <v>0</v>
      </c>
      <c r="AL611" s="207">
        <f>IF(AG611="Käytetty",0,IF(AC611="MSD",((V611*Alukset_fx!$O$25)*Alukset_Käynnit_Lask!O611*(Alukset_fx!$L$52)/1000),IF(AC611="HSD",((V611*Alukset_fx!$O$25)*Alukset_Käynnit_Lask!O611*(Alukset_fx!$L$55)/1000),0)))</f>
        <v>0</v>
      </c>
      <c r="AM611" s="207">
        <f>IF(AG611="Käytetty",0,Y611*O611*Alukset_fx!$K$61/1000)</f>
        <v>0</v>
      </c>
      <c r="AN611" s="213">
        <f t="shared" si="122"/>
        <v>0</v>
      </c>
    </row>
    <row r="612" spans="1:40" x14ac:dyDescent="0.25">
      <c r="A612" s="203">
        <f>Alukset_Käynnit!A619</f>
        <v>0</v>
      </c>
      <c r="B612" s="203">
        <f>Alukset_Käynnit!B619</f>
        <v>0</v>
      </c>
      <c r="C612" s="262">
        <f>Alukset_Käynnit!C619</f>
        <v>0</v>
      </c>
      <c r="D612" s="266">
        <f>Alukset_Käynnit!D619</f>
        <v>0</v>
      </c>
      <c r="E612" s="262">
        <f>Alukset_Käynnit!E619</f>
        <v>0</v>
      </c>
      <c r="F612" s="262">
        <f>Alukset_Käynnit!F619</f>
        <v>0</v>
      </c>
      <c r="G612" s="262">
        <f>Alukset_Käynnit!G619</f>
        <v>0</v>
      </c>
      <c r="H612" s="262">
        <f>Alukset_Käynnit!H619</f>
        <v>0</v>
      </c>
      <c r="I612" s="262">
        <f>Alukset_Käynnit!I619</f>
        <v>0</v>
      </c>
      <c r="J612" s="262">
        <f>Alukset_Käynnit!J619</f>
        <v>0</v>
      </c>
      <c r="K612" s="262">
        <f>Alukset_Käynnit!K619</f>
        <v>0</v>
      </c>
      <c r="L612" s="205">
        <f>Alukset_Käynnit!L619</f>
        <v>0</v>
      </c>
      <c r="N612" s="273">
        <f t="shared" si="123"/>
        <v>0</v>
      </c>
      <c r="O612" s="274">
        <f t="shared" si="124"/>
        <v>0</v>
      </c>
      <c r="Q612" s="204">
        <f t="shared" si="113"/>
        <v>0</v>
      </c>
      <c r="R612" s="202">
        <f>IF(Q612="Other dry cargo",L612*Alukset_fx!$B$71,IF(OR(Q612="Dry bulk",Q612="Bulk carrier"),L612*Alukset_fx!$B$69,IF(Q612="Tugboat",L612*Alukset_fx!$B$76,IF(OR(Q612="Tanker",Q612="Gas tanker",Q612="Chemical tanker",Q612="Oil tanker"),L612*Alukset_fx!$B$68,IF(OR(Q612="RoRo",Q612="Vehicle carrier"),L612*Alukset_fx!$B$72,IF(Q612="RoPax",L612*Alukset_fx!$B$73,IF(Q612="Container ship",L612*Alukset_fx!$B$70,IF(Q612="Barge",0,L612*Alukset_fx!$B$75))))))))</f>
        <v>0</v>
      </c>
      <c r="S612" s="210">
        <f>IF(L612=0,IF(Q612="Other dry cargo",Alukset_fx!$H$73*(Alukset_Käynnit_Lask!K612^Alukset_fx!$I$73),IF(OR(Q612="Dry Bulk",Q612="Bulk carrier"),Alukset_fx!$H$71*(Alukset_Käynnit_Lask!K612^Alukset_fx!$I$71),IF(Q612="Tugboat",Alukset_fx!$H$78*(Alukset_Käynnit_Lask!K612^Alukset_fx!$I$78),IF(OR(Q612="Tanker",Q612="Gas tanker",Q612="Chemical tanker",Q612="Oil tanker"),Alukset_fx!$H$70*(Alukset_Käynnit_Lask!K612^Alukset_fx!$I$70),IF(Q612="Container ship",Alukset_fx!$H$72*(Alukset_Käynnit_Lask!K612^Alukset_fx!$I$72),IF(Q612="Barge",0,IF(Q612="RoPax",Alukset_fx!$H$75*(Alukset_Käynnit_Lask!K612^Alukset_fx!$I$75),IF(OR(Q612="RoRo",Q612="Vehicle carrier"),Alukset_fx!$H$74*(Alukset_Käynnit_Lask!K612^Alukset_fx!$I$74),Alukset_fx!$H$77*(Alukset_Käynnit_Lask!K612^Alukset_fx!$I$77))))))))),"-")</f>
        <v>0</v>
      </c>
      <c r="T612" s="208">
        <f>IF(R612=0,IF(Q612="Other dry cargo",S612*Alukset_fx!$B$71,IF(OR(Q612="Dry bulk",Q612="Bulk carrier"),S612*Alukset_fx!$B$69,IF(Q612="Tugboat",S612*Alukset_fx!$B$76,IF(OR(Q612="Tanker",Q612="Gas tanker",Q612="Chemical tanker",Q612="Oil tanker"),S612*Alukset_fx!$B$68,IF(OR(Q612="RoRo",Q612="Vehicle carrier"),S612*Alukset_fx!$B$72,IF(Q612="RoPax",S612*Alukset_fx!$B$73,IF(Q612="Container ship",S612*Alukset_fx!$B$70,S612*Alukset_fx!$B$75))))))),"-")</f>
        <v>0</v>
      </c>
      <c r="U612" s="208">
        <f t="shared" si="114"/>
        <v>0</v>
      </c>
      <c r="V612" s="208">
        <f t="shared" si="115"/>
        <v>0</v>
      </c>
      <c r="W612" s="202">
        <f>Alukset_Käynnit!N619</f>
        <v>0</v>
      </c>
      <c r="X612" s="211">
        <f>IF(Q612="Other dry cargo", Alukset_fx!$C$52, IF(OR(Q612="Dry bulk",Q612="Bulk carrier"),Alukset_fx!$C$35,IF(OR(Q612="Tanker",Q612="Gas tanker",Q612="Oil tanker"),Alukset_fx!$C$57,IF(Q612="Chemical tanker",Alukset_fx!$C$56,IF(OR(Q612="Tugboat",Q612="Barge"),0,IF(Q612="Other vessel",Alukset_fx!$C$54,IF(Q612="Container ship",Alukset_fx!$C$37,IF(OR(Q612="RoPax",Q612="RoRo",Q612="Vehicle carrier"),Alukset_fx!$C$55,0))))))))</f>
        <v>0</v>
      </c>
      <c r="Y612" s="211">
        <f>IF(Q612="Other dry cargo", Alukset_fx!$Q$52, IF(OR(Q612="Dry bulk",Q612="Bulk carrier"),Alukset_fx!$Q$35,IF(OR(Q612="Tanker",Q612="Gas tanker",Q612="Oil tanker"),Alukset_fx!$Q$57,IF(Q612="Chemical tanker",Alukset_fx!$Q$56,IF(OR(Q612="Tugboat",Q612="Barge"),0,IF(Q612="Other vessel",Alukset_fx!$Q$54,IF(Q612="Container ship",Alukset_fx!$Q$37,IF(OR(Q612="RoPax",Q612="RoRo",Q612="Vehicle carrier"),Alukset_fx!$Q$55,0))))))))</f>
        <v>0</v>
      </c>
      <c r="Z612" t="str">
        <f t="shared" si="116"/>
        <v>MDO/MGO</v>
      </c>
      <c r="AA612" t="str">
        <f t="shared" si="117"/>
        <v>MSD</v>
      </c>
      <c r="AB612" t="str">
        <f t="shared" si="118"/>
        <v>MDO/MGO</v>
      </c>
      <c r="AC612" t="str">
        <f t="shared" si="119"/>
        <v>MSD</v>
      </c>
      <c r="AD612" t="str">
        <f t="shared" si="120"/>
        <v>MDO/MGO</v>
      </c>
      <c r="AE612" t="str">
        <f t="shared" si="121"/>
        <v>ST</v>
      </c>
      <c r="AG612">
        <f>Alukset_Käynnit!O619</f>
        <v>0</v>
      </c>
      <c r="AH612" s="207">
        <f>IF(AA612="SSD",((U612*Alukset_fx!$B$24)*Alukset_Käynnit_Lask!W612*(Alukset_fx!$K$49)/1000),IF(AA612="MSD",((U612*Alukset_fx!$B$24)*Alukset_Käynnit_Lask!W612*(Alukset_fx!$K$52)/1000),IF(AA612="HSD",((U612*Alukset_fx!$B$24)*Alukset_Käynnit_Lask!W612*(Alukset_fx!$K$55)/1000),0)))</f>
        <v>0</v>
      </c>
      <c r="AI612" s="207">
        <f>IF(AC612="MSD",((V612*Alukset_fx!$B$25)*Alukset_Käynnit_Lask!W612*(Alukset_fx!$L$52)/1000),IF(AC612="HSD",((V612*Alukset_fx!$B$25)*Alukset_Käynnit_Lask!W612*(Alukset_fx!$L$55)/1000),0))</f>
        <v>0</v>
      </c>
      <c r="AJ612" s="207">
        <f>X612*W612*Alukset_fx!$K$61/1000</f>
        <v>0</v>
      </c>
      <c r="AK612">
        <v>0</v>
      </c>
      <c r="AL612" s="207">
        <f>IF(AG612="Käytetty",0,IF(AC612="MSD",((V612*Alukset_fx!$O$25)*Alukset_Käynnit_Lask!O612*(Alukset_fx!$L$52)/1000),IF(AC612="HSD",((V612*Alukset_fx!$O$25)*Alukset_Käynnit_Lask!O612*(Alukset_fx!$L$55)/1000),0)))</f>
        <v>0</v>
      </c>
      <c r="AM612" s="207">
        <f>IF(AG612="Käytetty",0,Y612*O612*Alukset_fx!$K$61/1000)</f>
        <v>0</v>
      </c>
      <c r="AN612" s="213">
        <f t="shared" si="122"/>
        <v>0</v>
      </c>
    </row>
    <row r="613" spans="1:40" x14ac:dyDescent="0.25">
      <c r="A613" s="203">
        <f>Alukset_Käynnit!A620</f>
        <v>0</v>
      </c>
      <c r="B613" s="203">
        <f>Alukset_Käynnit!B620</f>
        <v>0</v>
      </c>
      <c r="C613" s="262">
        <f>Alukset_Käynnit!C620</f>
        <v>0</v>
      </c>
      <c r="D613" s="266">
        <f>Alukset_Käynnit!D620</f>
        <v>0</v>
      </c>
      <c r="E613" s="262">
        <f>Alukset_Käynnit!E620</f>
        <v>0</v>
      </c>
      <c r="F613" s="262">
        <f>Alukset_Käynnit!F620</f>
        <v>0</v>
      </c>
      <c r="G613" s="262">
        <f>Alukset_Käynnit!G620</f>
        <v>0</v>
      </c>
      <c r="H613" s="262">
        <f>Alukset_Käynnit!H620</f>
        <v>0</v>
      </c>
      <c r="I613" s="262">
        <f>Alukset_Käynnit!I620</f>
        <v>0</v>
      </c>
      <c r="J613" s="262">
        <f>Alukset_Käynnit!J620</f>
        <v>0</v>
      </c>
      <c r="K613" s="262">
        <f>Alukset_Käynnit!K620</f>
        <v>0</v>
      </c>
      <c r="L613" s="205">
        <f>Alukset_Käynnit!L620</f>
        <v>0</v>
      </c>
      <c r="N613" s="273">
        <f t="shared" si="123"/>
        <v>0</v>
      </c>
      <c r="O613" s="274">
        <f t="shared" si="124"/>
        <v>0</v>
      </c>
      <c r="Q613" s="204">
        <f t="shared" si="113"/>
        <v>0</v>
      </c>
      <c r="R613" s="202">
        <f>IF(Q613="Other dry cargo",L613*Alukset_fx!$B$71,IF(OR(Q613="Dry bulk",Q613="Bulk carrier"),L613*Alukset_fx!$B$69,IF(Q613="Tugboat",L613*Alukset_fx!$B$76,IF(OR(Q613="Tanker",Q613="Gas tanker",Q613="Chemical tanker",Q613="Oil tanker"),L613*Alukset_fx!$B$68,IF(OR(Q613="RoRo",Q613="Vehicle carrier"),L613*Alukset_fx!$B$72,IF(Q613="RoPax",L613*Alukset_fx!$B$73,IF(Q613="Container ship",L613*Alukset_fx!$B$70,IF(Q613="Barge",0,L613*Alukset_fx!$B$75))))))))</f>
        <v>0</v>
      </c>
      <c r="S613" s="210">
        <f>IF(L613=0,IF(Q613="Other dry cargo",Alukset_fx!$H$73*(Alukset_Käynnit_Lask!K613^Alukset_fx!$I$73),IF(OR(Q613="Dry Bulk",Q613="Bulk carrier"),Alukset_fx!$H$71*(Alukset_Käynnit_Lask!K613^Alukset_fx!$I$71),IF(Q613="Tugboat",Alukset_fx!$H$78*(Alukset_Käynnit_Lask!K613^Alukset_fx!$I$78),IF(OR(Q613="Tanker",Q613="Gas tanker",Q613="Chemical tanker",Q613="Oil tanker"),Alukset_fx!$H$70*(Alukset_Käynnit_Lask!K613^Alukset_fx!$I$70),IF(Q613="Container ship",Alukset_fx!$H$72*(Alukset_Käynnit_Lask!K613^Alukset_fx!$I$72),IF(Q613="Barge",0,IF(Q613="RoPax",Alukset_fx!$H$75*(Alukset_Käynnit_Lask!K613^Alukset_fx!$I$75),IF(OR(Q613="RoRo",Q613="Vehicle carrier"),Alukset_fx!$H$74*(Alukset_Käynnit_Lask!K613^Alukset_fx!$I$74),Alukset_fx!$H$77*(Alukset_Käynnit_Lask!K613^Alukset_fx!$I$77))))))))),"-")</f>
        <v>0</v>
      </c>
      <c r="T613" s="208">
        <f>IF(R613=0,IF(Q613="Other dry cargo",S613*Alukset_fx!$B$71,IF(OR(Q613="Dry bulk",Q613="Bulk carrier"),S613*Alukset_fx!$B$69,IF(Q613="Tugboat",S613*Alukset_fx!$B$76,IF(OR(Q613="Tanker",Q613="Gas tanker",Q613="Chemical tanker",Q613="Oil tanker"),S613*Alukset_fx!$B$68,IF(OR(Q613="RoRo",Q613="Vehicle carrier"),S613*Alukset_fx!$B$72,IF(Q613="RoPax",S613*Alukset_fx!$B$73,IF(Q613="Container ship",S613*Alukset_fx!$B$70,S613*Alukset_fx!$B$75))))))),"-")</f>
        <v>0</v>
      </c>
      <c r="U613" s="208">
        <f t="shared" si="114"/>
        <v>0</v>
      </c>
      <c r="V613" s="208">
        <f t="shared" si="115"/>
        <v>0</v>
      </c>
      <c r="W613" s="202">
        <f>Alukset_Käynnit!N620</f>
        <v>0</v>
      </c>
      <c r="X613" s="211">
        <f>IF(Q613="Other dry cargo", Alukset_fx!$C$52, IF(OR(Q613="Dry bulk",Q613="Bulk carrier"),Alukset_fx!$C$35,IF(OR(Q613="Tanker",Q613="Gas tanker",Q613="Oil tanker"),Alukset_fx!$C$57,IF(Q613="Chemical tanker",Alukset_fx!$C$56,IF(OR(Q613="Tugboat",Q613="Barge"),0,IF(Q613="Other vessel",Alukset_fx!$C$54,IF(Q613="Container ship",Alukset_fx!$C$37,IF(OR(Q613="RoPax",Q613="RoRo",Q613="Vehicle carrier"),Alukset_fx!$C$55,0))))))))</f>
        <v>0</v>
      </c>
      <c r="Y613" s="211">
        <f>IF(Q613="Other dry cargo", Alukset_fx!$Q$52, IF(OR(Q613="Dry bulk",Q613="Bulk carrier"),Alukset_fx!$Q$35,IF(OR(Q613="Tanker",Q613="Gas tanker",Q613="Oil tanker"),Alukset_fx!$Q$57,IF(Q613="Chemical tanker",Alukset_fx!$Q$56,IF(OR(Q613="Tugboat",Q613="Barge"),0,IF(Q613="Other vessel",Alukset_fx!$Q$54,IF(Q613="Container ship",Alukset_fx!$Q$37,IF(OR(Q613="RoPax",Q613="RoRo",Q613="Vehicle carrier"),Alukset_fx!$Q$55,0))))))))</f>
        <v>0</v>
      </c>
      <c r="Z613" t="str">
        <f t="shared" si="116"/>
        <v>MDO/MGO</v>
      </c>
      <c r="AA613" t="str">
        <f t="shared" si="117"/>
        <v>MSD</v>
      </c>
      <c r="AB613" t="str">
        <f t="shared" si="118"/>
        <v>MDO/MGO</v>
      </c>
      <c r="AC613" t="str">
        <f t="shared" si="119"/>
        <v>MSD</v>
      </c>
      <c r="AD613" t="str">
        <f t="shared" si="120"/>
        <v>MDO/MGO</v>
      </c>
      <c r="AE613" t="str">
        <f t="shared" si="121"/>
        <v>ST</v>
      </c>
      <c r="AG613">
        <f>Alukset_Käynnit!O620</f>
        <v>0</v>
      </c>
      <c r="AH613" s="207">
        <f>IF(AA613="SSD",((U613*Alukset_fx!$B$24)*Alukset_Käynnit_Lask!W613*(Alukset_fx!$K$49)/1000),IF(AA613="MSD",((U613*Alukset_fx!$B$24)*Alukset_Käynnit_Lask!W613*(Alukset_fx!$K$52)/1000),IF(AA613="HSD",((U613*Alukset_fx!$B$24)*Alukset_Käynnit_Lask!W613*(Alukset_fx!$K$55)/1000),0)))</f>
        <v>0</v>
      </c>
      <c r="AI613" s="207">
        <f>IF(AC613="MSD",((V613*Alukset_fx!$B$25)*Alukset_Käynnit_Lask!W613*(Alukset_fx!$L$52)/1000),IF(AC613="HSD",((V613*Alukset_fx!$B$25)*Alukset_Käynnit_Lask!W613*(Alukset_fx!$L$55)/1000),0))</f>
        <v>0</v>
      </c>
      <c r="AJ613" s="207">
        <f>X613*W613*Alukset_fx!$K$61/1000</f>
        <v>0</v>
      </c>
      <c r="AK613">
        <v>0</v>
      </c>
      <c r="AL613" s="207">
        <f>IF(AG613="Käytetty",0,IF(AC613="MSD",((V613*Alukset_fx!$O$25)*Alukset_Käynnit_Lask!O613*(Alukset_fx!$L$52)/1000),IF(AC613="HSD",((V613*Alukset_fx!$O$25)*Alukset_Käynnit_Lask!O613*(Alukset_fx!$L$55)/1000),0)))</f>
        <v>0</v>
      </c>
      <c r="AM613" s="207">
        <f>IF(AG613="Käytetty",0,Y613*O613*Alukset_fx!$K$61/1000)</f>
        <v>0</v>
      </c>
      <c r="AN613" s="213">
        <f t="shared" si="122"/>
        <v>0</v>
      </c>
    </row>
    <row r="614" spans="1:40" x14ac:dyDescent="0.25">
      <c r="A614" s="203">
        <f>Alukset_Käynnit!A621</f>
        <v>0</v>
      </c>
      <c r="B614" s="203">
        <f>Alukset_Käynnit!B621</f>
        <v>0</v>
      </c>
      <c r="C614" s="262">
        <f>Alukset_Käynnit!C621</f>
        <v>0</v>
      </c>
      <c r="D614" s="266">
        <f>Alukset_Käynnit!D621</f>
        <v>0</v>
      </c>
      <c r="E614" s="262">
        <f>Alukset_Käynnit!E621</f>
        <v>0</v>
      </c>
      <c r="F614" s="262">
        <f>Alukset_Käynnit!F621</f>
        <v>0</v>
      </c>
      <c r="G614" s="262">
        <f>Alukset_Käynnit!G621</f>
        <v>0</v>
      </c>
      <c r="H614" s="262">
        <f>Alukset_Käynnit!H621</f>
        <v>0</v>
      </c>
      <c r="I614" s="262">
        <f>Alukset_Käynnit!I621</f>
        <v>0</v>
      </c>
      <c r="J614" s="262">
        <f>Alukset_Käynnit!J621</f>
        <v>0</v>
      </c>
      <c r="K614" s="262">
        <f>Alukset_Käynnit!K621</f>
        <v>0</v>
      </c>
      <c r="L614" s="205">
        <f>Alukset_Käynnit!L621</f>
        <v>0</v>
      </c>
      <c r="N614" s="273">
        <f t="shared" si="123"/>
        <v>0</v>
      </c>
      <c r="O614" s="274">
        <f t="shared" si="124"/>
        <v>0</v>
      </c>
      <c r="Q614" s="204">
        <f t="shared" si="113"/>
        <v>0</v>
      </c>
      <c r="R614" s="202">
        <f>IF(Q614="Other dry cargo",L614*Alukset_fx!$B$71,IF(OR(Q614="Dry bulk",Q614="Bulk carrier"),L614*Alukset_fx!$B$69,IF(Q614="Tugboat",L614*Alukset_fx!$B$76,IF(OR(Q614="Tanker",Q614="Gas tanker",Q614="Chemical tanker",Q614="Oil tanker"),L614*Alukset_fx!$B$68,IF(OR(Q614="RoRo",Q614="Vehicle carrier"),L614*Alukset_fx!$B$72,IF(Q614="RoPax",L614*Alukset_fx!$B$73,IF(Q614="Container ship",L614*Alukset_fx!$B$70,IF(Q614="Barge",0,L614*Alukset_fx!$B$75))))))))</f>
        <v>0</v>
      </c>
      <c r="S614" s="210">
        <f>IF(L614=0,IF(Q614="Other dry cargo",Alukset_fx!$H$73*(Alukset_Käynnit_Lask!K614^Alukset_fx!$I$73),IF(OR(Q614="Dry Bulk",Q614="Bulk carrier"),Alukset_fx!$H$71*(Alukset_Käynnit_Lask!K614^Alukset_fx!$I$71),IF(Q614="Tugboat",Alukset_fx!$H$78*(Alukset_Käynnit_Lask!K614^Alukset_fx!$I$78),IF(OR(Q614="Tanker",Q614="Gas tanker",Q614="Chemical tanker",Q614="Oil tanker"),Alukset_fx!$H$70*(Alukset_Käynnit_Lask!K614^Alukset_fx!$I$70),IF(Q614="Container ship",Alukset_fx!$H$72*(Alukset_Käynnit_Lask!K614^Alukset_fx!$I$72),IF(Q614="Barge",0,IF(Q614="RoPax",Alukset_fx!$H$75*(Alukset_Käynnit_Lask!K614^Alukset_fx!$I$75),IF(OR(Q614="RoRo",Q614="Vehicle carrier"),Alukset_fx!$H$74*(Alukset_Käynnit_Lask!K614^Alukset_fx!$I$74),Alukset_fx!$H$77*(Alukset_Käynnit_Lask!K614^Alukset_fx!$I$77))))))))),"-")</f>
        <v>0</v>
      </c>
      <c r="T614" s="208">
        <f>IF(R614=0,IF(Q614="Other dry cargo",S614*Alukset_fx!$B$71,IF(OR(Q614="Dry bulk",Q614="Bulk carrier"),S614*Alukset_fx!$B$69,IF(Q614="Tugboat",S614*Alukset_fx!$B$76,IF(OR(Q614="Tanker",Q614="Gas tanker",Q614="Chemical tanker",Q614="Oil tanker"),S614*Alukset_fx!$B$68,IF(OR(Q614="RoRo",Q614="Vehicle carrier"),S614*Alukset_fx!$B$72,IF(Q614="RoPax",S614*Alukset_fx!$B$73,IF(Q614="Container ship",S614*Alukset_fx!$B$70,S614*Alukset_fx!$B$75))))))),"-")</f>
        <v>0</v>
      </c>
      <c r="U614" s="208">
        <f t="shared" si="114"/>
        <v>0</v>
      </c>
      <c r="V614" s="208">
        <f t="shared" si="115"/>
        <v>0</v>
      </c>
      <c r="W614" s="202">
        <f>Alukset_Käynnit!N621</f>
        <v>0</v>
      </c>
      <c r="X614" s="211">
        <f>IF(Q614="Other dry cargo", Alukset_fx!$C$52, IF(OR(Q614="Dry bulk",Q614="Bulk carrier"),Alukset_fx!$C$35,IF(OR(Q614="Tanker",Q614="Gas tanker",Q614="Oil tanker"),Alukset_fx!$C$57,IF(Q614="Chemical tanker",Alukset_fx!$C$56,IF(OR(Q614="Tugboat",Q614="Barge"),0,IF(Q614="Other vessel",Alukset_fx!$C$54,IF(Q614="Container ship",Alukset_fx!$C$37,IF(OR(Q614="RoPax",Q614="RoRo",Q614="Vehicle carrier"),Alukset_fx!$C$55,0))))))))</f>
        <v>0</v>
      </c>
      <c r="Y614" s="211">
        <f>IF(Q614="Other dry cargo", Alukset_fx!$Q$52, IF(OR(Q614="Dry bulk",Q614="Bulk carrier"),Alukset_fx!$Q$35,IF(OR(Q614="Tanker",Q614="Gas tanker",Q614="Oil tanker"),Alukset_fx!$Q$57,IF(Q614="Chemical tanker",Alukset_fx!$Q$56,IF(OR(Q614="Tugboat",Q614="Barge"),0,IF(Q614="Other vessel",Alukset_fx!$Q$54,IF(Q614="Container ship",Alukset_fx!$Q$37,IF(OR(Q614="RoPax",Q614="RoRo",Q614="Vehicle carrier"),Alukset_fx!$Q$55,0))))))))</f>
        <v>0</v>
      </c>
      <c r="Z614" t="str">
        <f t="shared" si="116"/>
        <v>MDO/MGO</v>
      </c>
      <c r="AA614" t="str">
        <f t="shared" si="117"/>
        <v>MSD</v>
      </c>
      <c r="AB614" t="str">
        <f t="shared" si="118"/>
        <v>MDO/MGO</v>
      </c>
      <c r="AC614" t="str">
        <f t="shared" si="119"/>
        <v>MSD</v>
      </c>
      <c r="AD614" t="str">
        <f t="shared" si="120"/>
        <v>MDO/MGO</v>
      </c>
      <c r="AE614" t="str">
        <f t="shared" si="121"/>
        <v>ST</v>
      </c>
      <c r="AG614">
        <f>Alukset_Käynnit!O621</f>
        <v>0</v>
      </c>
      <c r="AH614" s="207">
        <f>IF(AA614="SSD",((U614*Alukset_fx!$B$24)*Alukset_Käynnit_Lask!W614*(Alukset_fx!$K$49)/1000),IF(AA614="MSD",((U614*Alukset_fx!$B$24)*Alukset_Käynnit_Lask!W614*(Alukset_fx!$K$52)/1000),IF(AA614="HSD",((U614*Alukset_fx!$B$24)*Alukset_Käynnit_Lask!W614*(Alukset_fx!$K$55)/1000),0)))</f>
        <v>0</v>
      </c>
      <c r="AI614" s="207">
        <f>IF(AC614="MSD",((V614*Alukset_fx!$B$25)*Alukset_Käynnit_Lask!W614*(Alukset_fx!$L$52)/1000),IF(AC614="HSD",((V614*Alukset_fx!$B$25)*Alukset_Käynnit_Lask!W614*(Alukset_fx!$L$55)/1000),0))</f>
        <v>0</v>
      </c>
      <c r="AJ614" s="207">
        <f>X614*W614*Alukset_fx!$K$61/1000</f>
        <v>0</v>
      </c>
      <c r="AK614">
        <v>0</v>
      </c>
      <c r="AL614" s="207">
        <f>IF(AG614="Käytetty",0,IF(AC614="MSD",((V614*Alukset_fx!$O$25)*Alukset_Käynnit_Lask!O614*(Alukset_fx!$L$52)/1000),IF(AC614="HSD",((V614*Alukset_fx!$O$25)*Alukset_Käynnit_Lask!O614*(Alukset_fx!$L$55)/1000),0)))</f>
        <v>0</v>
      </c>
      <c r="AM614" s="207">
        <f>IF(AG614="Käytetty",0,Y614*O614*Alukset_fx!$K$61/1000)</f>
        <v>0</v>
      </c>
      <c r="AN614" s="213">
        <f t="shared" si="122"/>
        <v>0</v>
      </c>
    </row>
    <row r="615" spans="1:40" x14ac:dyDescent="0.25">
      <c r="A615" s="203">
        <f>Alukset_Käynnit!A622</f>
        <v>0</v>
      </c>
      <c r="B615" s="203">
        <f>Alukset_Käynnit!B622</f>
        <v>0</v>
      </c>
      <c r="C615" s="262">
        <f>Alukset_Käynnit!C622</f>
        <v>0</v>
      </c>
      <c r="D615" s="266">
        <f>Alukset_Käynnit!D622</f>
        <v>0</v>
      </c>
      <c r="E615" s="262">
        <f>Alukset_Käynnit!E622</f>
        <v>0</v>
      </c>
      <c r="F615" s="262">
        <f>Alukset_Käynnit!F622</f>
        <v>0</v>
      </c>
      <c r="G615" s="262">
        <f>Alukset_Käynnit!G622</f>
        <v>0</v>
      </c>
      <c r="H615" s="262">
        <f>Alukset_Käynnit!H622</f>
        <v>0</v>
      </c>
      <c r="I615" s="262">
        <f>Alukset_Käynnit!I622</f>
        <v>0</v>
      </c>
      <c r="J615" s="262">
        <f>Alukset_Käynnit!J622</f>
        <v>0</v>
      </c>
      <c r="K615" s="262">
        <f>Alukset_Käynnit!K622</f>
        <v>0</v>
      </c>
      <c r="L615" s="205">
        <f>Alukset_Käynnit!L622</f>
        <v>0</v>
      </c>
      <c r="N615" s="273">
        <f t="shared" si="123"/>
        <v>0</v>
      </c>
      <c r="O615" s="274">
        <f t="shared" si="124"/>
        <v>0</v>
      </c>
      <c r="Q615" s="204">
        <f t="shared" si="113"/>
        <v>0</v>
      </c>
      <c r="R615" s="202">
        <f>IF(Q615="Other dry cargo",L615*Alukset_fx!$B$71,IF(OR(Q615="Dry bulk",Q615="Bulk carrier"),L615*Alukset_fx!$B$69,IF(Q615="Tugboat",L615*Alukset_fx!$B$76,IF(OR(Q615="Tanker",Q615="Gas tanker",Q615="Chemical tanker",Q615="Oil tanker"),L615*Alukset_fx!$B$68,IF(OR(Q615="RoRo",Q615="Vehicle carrier"),L615*Alukset_fx!$B$72,IF(Q615="RoPax",L615*Alukset_fx!$B$73,IF(Q615="Container ship",L615*Alukset_fx!$B$70,IF(Q615="Barge",0,L615*Alukset_fx!$B$75))))))))</f>
        <v>0</v>
      </c>
      <c r="S615" s="210">
        <f>IF(L615=0,IF(Q615="Other dry cargo",Alukset_fx!$H$73*(Alukset_Käynnit_Lask!K615^Alukset_fx!$I$73),IF(OR(Q615="Dry Bulk",Q615="Bulk carrier"),Alukset_fx!$H$71*(Alukset_Käynnit_Lask!K615^Alukset_fx!$I$71),IF(Q615="Tugboat",Alukset_fx!$H$78*(Alukset_Käynnit_Lask!K615^Alukset_fx!$I$78),IF(OR(Q615="Tanker",Q615="Gas tanker",Q615="Chemical tanker",Q615="Oil tanker"),Alukset_fx!$H$70*(Alukset_Käynnit_Lask!K615^Alukset_fx!$I$70),IF(Q615="Container ship",Alukset_fx!$H$72*(Alukset_Käynnit_Lask!K615^Alukset_fx!$I$72),IF(Q615="Barge",0,IF(Q615="RoPax",Alukset_fx!$H$75*(Alukset_Käynnit_Lask!K615^Alukset_fx!$I$75),IF(OR(Q615="RoRo",Q615="Vehicle carrier"),Alukset_fx!$H$74*(Alukset_Käynnit_Lask!K615^Alukset_fx!$I$74),Alukset_fx!$H$77*(Alukset_Käynnit_Lask!K615^Alukset_fx!$I$77))))))))),"-")</f>
        <v>0</v>
      </c>
      <c r="T615" s="208">
        <f>IF(R615=0,IF(Q615="Other dry cargo",S615*Alukset_fx!$B$71,IF(OR(Q615="Dry bulk",Q615="Bulk carrier"),S615*Alukset_fx!$B$69,IF(Q615="Tugboat",S615*Alukset_fx!$B$76,IF(OR(Q615="Tanker",Q615="Gas tanker",Q615="Chemical tanker",Q615="Oil tanker"),S615*Alukset_fx!$B$68,IF(OR(Q615="RoRo",Q615="Vehicle carrier"),S615*Alukset_fx!$B$72,IF(Q615="RoPax",S615*Alukset_fx!$B$73,IF(Q615="Container ship",S615*Alukset_fx!$B$70,S615*Alukset_fx!$B$75))))))),"-")</f>
        <v>0</v>
      </c>
      <c r="U615" s="208">
        <f t="shared" si="114"/>
        <v>0</v>
      </c>
      <c r="V615" s="208">
        <f t="shared" si="115"/>
        <v>0</v>
      </c>
      <c r="W615" s="202">
        <f>Alukset_Käynnit!N622</f>
        <v>0</v>
      </c>
      <c r="X615" s="211">
        <f>IF(Q615="Other dry cargo", Alukset_fx!$C$52, IF(OR(Q615="Dry bulk",Q615="Bulk carrier"),Alukset_fx!$C$35,IF(OR(Q615="Tanker",Q615="Gas tanker",Q615="Oil tanker"),Alukset_fx!$C$57,IF(Q615="Chemical tanker",Alukset_fx!$C$56,IF(OR(Q615="Tugboat",Q615="Barge"),0,IF(Q615="Other vessel",Alukset_fx!$C$54,IF(Q615="Container ship",Alukset_fx!$C$37,IF(OR(Q615="RoPax",Q615="RoRo",Q615="Vehicle carrier"),Alukset_fx!$C$55,0))))))))</f>
        <v>0</v>
      </c>
      <c r="Y615" s="211">
        <f>IF(Q615="Other dry cargo", Alukset_fx!$Q$52, IF(OR(Q615="Dry bulk",Q615="Bulk carrier"),Alukset_fx!$Q$35,IF(OR(Q615="Tanker",Q615="Gas tanker",Q615="Oil tanker"),Alukset_fx!$Q$57,IF(Q615="Chemical tanker",Alukset_fx!$Q$56,IF(OR(Q615="Tugboat",Q615="Barge"),0,IF(Q615="Other vessel",Alukset_fx!$Q$54,IF(Q615="Container ship",Alukset_fx!$Q$37,IF(OR(Q615="RoPax",Q615="RoRo",Q615="Vehicle carrier"),Alukset_fx!$Q$55,0))))))))</f>
        <v>0</v>
      </c>
      <c r="Z615" t="str">
        <f t="shared" si="116"/>
        <v>MDO/MGO</v>
      </c>
      <c r="AA615" t="str">
        <f t="shared" si="117"/>
        <v>MSD</v>
      </c>
      <c r="AB615" t="str">
        <f t="shared" si="118"/>
        <v>MDO/MGO</v>
      </c>
      <c r="AC615" t="str">
        <f t="shared" si="119"/>
        <v>MSD</v>
      </c>
      <c r="AD615" t="str">
        <f t="shared" si="120"/>
        <v>MDO/MGO</v>
      </c>
      <c r="AE615" t="str">
        <f t="shared" si="121"/>
        <v>ST</v>
      </c>
      <c r="AG615">
        <f>Alukset_Käynnit!O622</f>
        <v>0</v>
      </c>
      <c r="AH615" s="207">
        <f>IF(AA615="SSD",((U615*Alukset_fx!$B$24)*Alukset_Käynnit_Lask!W615*(Alukset_fx!$K$49)/1000),IF(AA615="MSD",((U615*Alukset_fx!$B$24)*Alukset_Käynnit_Lask!W615*(Alukset_fx!$K$52)/1000),IF(AA615="HSD",((U615*Alukset_fx!$B$24)*Alukset_Käynnit_Lask!W615*(Alukset_fx!$K$55)/1000),0)))</f>
        <v>0</v>
      </c>
      <c r="AI615" s="207">
        <f>IF(AC615="MSD",((V615*Alukset_fx!$B$25)*Alukset_Käynnit_Lask!W615*(Alukset_fx!$L$52)/1000),IF(AC615="HSD",((V615*Alukset_fx!$B$25)*Alukset_Käynnit_Lask!W615*(Alukset_fx!$L$55)/1000),0))</f>
        <v>0</v>
      </c>
      <c r="AJ615" s="207">
        <f>X615*W615*Alukset_fx!$K$61/1000</f>
        <v>0</v>
      </c>
      <c r="AK615">
        <v>0</v>
      </c>
      <c r="AL615" s="207">
        <f>IF(AG615="Käytetty",0,IF(AC615="MSD",((V615*Alukset_fx!$O$25)*Alukset_Käynnit_Lask!O615*(Alukset_fx!$L$52)/1000),IF(AC615="HSD",((V615*Alukset_fx!$O$25)*Alukset_Käynnit_Lask!O615*(Alukset_fx!$L$55)/1000),0)))</f>
        <v>0</v>
      </c>
      <c r="AM615" s="207">
        <f>IF(AG615="Käytetty",0,Y615*O615*Alukset_fx!$K$61/1000)</f>
        <v>0</v>
      </c>
      <c r="AN615" s="213">
        <f t="shared" si="122"/>
        <v>0</v>
      </c>
    </row>
    <row r="616" spans="1:40" x14ac:dyDescent="0.25">
      <c r="A616" s="203">
        <f>Alukset_Käynnit!A623</f>
        <v>0</v>
      </c>
      <c r="B616" s="203">
        <f>Alukset_Käynnit!B623</f>
        <v>0</v>
      </c>
      <c r="C616" s="262">
        <f>Alukset_Käynnit!C623</f>
        <v>0</v>
      </c>
      <c r="D616" s="266">
        <f>Alukset_Käynnit!D623</f>
        <v>0</v>
      </c>
      <c r="E616" s="262">
        <f>Alukset_Käynnit!E623</f>
        <v>0</v>
      </c>
      <c r="F616" s="262">
        <f>Alukset_Käynnit!F623</f>
        <v>0</v>
      </c>
      <c r="G616" s="262">
        <f>Alukset_Käynnit!G623</f>
        <v>0</v>
      </c>
      <c r="H616" s="262">
        <f>Alukset_Käynnit!H623</f>
        <v>0</v>
      </c>
      <c r="I616" s="262">
        <f>Alukset_Käynnit!I623</f>
        <v>0</v>
      </c>
      <c r="J616" s="262">
        <f>Alukset_Käynnit!J623</f>
        <v>0</v>
      </c>
      <c r="K616" s="262">
        <f>Alukset_Käynnit!K623</f>
        <v>0</v>
      </c>
      <c r="L616" s="205">
        <f>Alukset_Käynnit!L623</f>
        <v>0</v>
      </c>
      <c r="N616" s="273">
        <f t="shared" si="123"/>
        <v>0</v>
      </c>
      <c r="O616" s="274">
        <f t="shared" si="124"/>
        <v>0</v>
      </c>
      <c r="Q616" s="204">
        <f t="shared" si="113"/>
        <v>0</v>
      </c>
      <c r="R616" s="202">
        <f>IF(Q616="Other dry cargo",L616*Alukset_fx!$B$71,IF(OR(Q616="Dry bulk",Q616="Bulk carrier"),L616*Alukset_fx!$B$69,IF(Q616="Tugboat",L616*Alukset_fx!$B$76,IF(OR(Q616="Tanker",Q616="Gas tanker",Q616="Chemical tanker",Q616="Oil tanker"),L616*Alukset_fx!$B$68,IF(OR(Q616="RoRo",Q616="Vehicle carrier"),L616*Alukset_fx!$B$72,IF(Q616="RoPax",L616*Alukset_fx!$B$73,IF(Q616="Container ship",L616*Alukset_fx!$B$70,IF(Q616="Barge",0,L616*Alukset_fx!$B$75))))))))</f>
        <v>0</v>
      </c>
      <c r="S616" s="210">
        <f>IF(L616=0,IF(Q616="Other dry cargo",Alukset_fx!$H$73*(Alukset_Käynnit_Lask!K616^Alukset_fx!$I$73),IF(OR(Q616="Dry Bulk",Q616="Bulk carrier"),Alukset_fx!$H$71*(Alukset_Käynnit_Lask!K616^Alukset_fx!$I$71),IF(Q616="Tugboat",Alukset_fx!$H$78*(Alukset_Käynnit_Lask!K616^Alukset_fx!$I$78),IF(OR(Q616="Tanker",Q616="Gas tanker",Q616="Chemical tanker",Q616="Oil tanker"),Alukset_fx!$H$70*(Alukset_Käynnit_Lask!K616^Alukset_fx!$I$70),IF(Q616="Container ship",Alukset_fx!$H$72*(Alukset_Käynnit_Lask!K616^Alukset_fx!$I$72),IF(Q616="Barge",0,IF(Q616="RoPax",Alukset_fx!$H$75*(Alukset_Käynnit_Lask!K616^Alukset_fx!$I$75),IF(OR(Q616="RoRo",Q616="Vehicle carrier"),Alukset_fx!$H$74*(Alukset_Käynnit_Lask!K616^Alukset_fx!$I$74),Alukset_fx!$H$77*(Alukset_Käynnit_Lask!K616^Alukset_fx!$I$77))))))))),"-")</f>
        <v>0</v>
      </c>
      <c r="T616" s="208">
        <f>IF(R616=0,IF(Q616="Other dry cargo",S616*Alukset_fx!$B$71,IF(OR(Q616="Dry bulk",Q616="Bulk carrier"),S616*Alukset_fx!$B$69,IF(Q616="Tugboat",S616*Alukset_fx!$B$76,IF(OR(Q616="Tanker",Q616="Gas tanker",Q616="Chemical tanker",Q616="Oil tanker"),S616*Alukset_fx!$B$68,IF(OR(Q616="RoRo",Q616="Vehicle carrier"),S616*Alukset_fx!$B$72,IF(Q616="RoPax",S616*Alukset_fx!$B$73,IF(Q616="Container ship",S616*Alukset_fx!$B$70,S616*Alukset_fx!$B$75))))))),"-")</f>
        <v>0</v>
      </c>
      <c r="U616" s="208">
        <f t="shared" si="114"/>
        <v>0</v>
      </c>
      <c r="V616" s="208">
        <f t="shared" si="115"/>
        <v>0</v>
      </c>
      <c r="W616" s="202">
        <f>Alukset_Käynnit!N623</f>
        <v>0</v>
      </c>
      <c r="X616" s="211">
        <f>IF(Q616="Other dry cargo", Alukset_fx!$C$52, IF(OR(Q616="Dry bulk",Q616="Bulk carrier"),Alukset_fx!$C$35,IF(OR(Q616="Tanker",Q616="Gas tanker",Q616="Oil tanker"),Alukset_fx!$C$57,IF(Q616="Chemical tanker",Alukset_fx!$C$56,IF(OR(Q616="Tugboat",Q616="Barge"),0,IF(Q616="Other vessel",Alukset_fx!$C$54,IF(Q616="Container ship",Alukset_fx!$C$37,IF(OR(Q616="RoPax",Q616="RoRo",Q616="Vehicle carrier"),Alukset_fx!$C$55,0))))))))</f>
        <v>0</v>
      </c>
      <c r="Y616" s="211">
        <f>IF(Q616="Other dry cargo", Alukset_fx!$Q$52, IF(OR(Q616="Dry bulk",Q616="Bulk carrier"),Alukset_fx!$Q$35,IF(OR(Q616="Tanker",Q616="Gas tanker",Q616="Oil tanker"),Alukset_fx!$Q$57,IF(Q616="Chemical tanker",Alukset_fx!$Q$56,IF(OR(Q616="Tugboat",Q616="Barge"),0,IF(Q616="Other vessel",Alukset_fx!$Q$54,IF(Q616="Container ship",Alukset_fx!$Q$37,IF(OR(Q616="RoPax",Q616="RoRo",Q616="Vehicle carrier"),Alukset_fx!$Q$55,0))))))))</f>
        <v>0</v>
      </c>
      <c r="Z616" t="str">
        <f t="shared" si="116"/>
        <v>MDO/MGO</v>
      </c>
      <c r="AA616" t="str">
        <f t="shared" si="117"/>
        <v>MSD</v>
      </c>
      <c r="AB616" t="str">
        <f t="shared" si="118"/>
        <v>MDO/MGO</v>
      </c>
      <c r="AC616" t="str">
        <f t="shared" si="119"/>
        <v>MSD</v>
      </c>
      <c r="AD616" t="str">
        <f t="shared" si="120"/>
        <v>MDO/MGO</v>
      </c>
      <c r="AE616" t="str">
        <f t="shared" si="121"/>
        <v>ST</v>
      </c>
      <c r="AG616">
        <f>Alukset_Käynnit!O623</f>
        <v>0</v>
      </c>
      <c r="AH616" s="207">
        <f>IF(AA616="SSD",((U616*Alukset_fx!$B$24)*Alukset_Käynnit_Lask!W616*(Alukset_fx!$K$49)/1000),IF(AA616="MSD",((U616*Alukset_fx!$B$24)*Alukset_Käynnit_Lask!W616*(Alukset_fx!$K$52)/1000),IF(AA616="HSD",((U616*Alukset_fx!$B$24)*Alukset_Käynnit_Lask!W616*(Alukset_fx!$K$55)/1000),0)))</f>
        <v>0</v>
      </c>
      <c r="AI616" s="207">
        <f>IF(AC616="MSD",((V616*Alukset_fx!$B$25)*Alukset_Käynnit_Lask!W616*(Alukset_fx!$L$52)/1000),IF(AC616="HSD",((V616*Alukset_fx!$B$25)*Alukset_Käynnit_Lask!W616*(Alukset_fx!$L$55)/1000),0))</f>
        <v>0</v>
      </c>
      <c r="AJ616" s="207">
        <f>X616*W616*Alukset_fx!$K$61/1000</f>
        <v>0</v>
      </c>
      <c r="AK616">
        <v>0</v>
      </c>
      <c r="AL616" s="207">
        <f>IF(AG616="Käytetty",0,IF(AC616="MSD",((V616*Alukset_fx!$O$25)*Alukset_Käynnit_Lask!O616*(Alukset_fx!$L$52)/1000),IF(AC616="HSD",((V616*Alukset_fx!$O$25)*Alukset_Käynnit_Lask!O616*(Alukset_fx!$L$55)/1000),0)))</f>
        <v>0</v>
      </c>
      <c r="AM616" s="207">
        <f>IF(AG616="Käytetty",0,Y616*O616*Alukset_fx!$K$61/1000)</f>
        <v>0</v>
      </c>
      <c r="AN616" s="213">
        <f t="shared" si="122"/>
        <v>0</v>
      </c>
    </row>
    <row r="617" spans="1:40" x14ac:dyDescent="0.25">
      <c r="A617" s="203">
        <f>Alukset_Käynnit!A624</f>
        <v>0</v>
      </c>
      <c r="B617" s="203">
        <f>Alukset_Käynnit!B624</f>
        <v>0</v>
      </c>
      <c r="C617" s="262">
        <f>Alukset_Käynnit!C624</f>
        <v>0</v>
      </c>
      <c r="D617" s="266">
        <f>Alukset_Käynnit!D624</f>
        <v>0</v>
      </c>
      <c r="E617" s="262">
        <f>Alukset_Käynnit!E624</f>
        <v>0</v>
      </c>
      <c r="F617" s="262">
        <f>Alukset_Käynnit!F624</f>
        <v>0</v>
      </c>
      <c r="G617" s="262">
        <f>Alukset_Käynnit!G624</f>
        <v>0</v>
      </c>
      <c r="H617" s="262">
        <f>Alukset_Käynnit!H624</f>
        <v>0</v>
      </c>
      <c r="I617" s="262">
        <f>Alukset_Käynnit!I624</f>
        <v>0</v>
      </c>
      <c r="J617" s="262">
        <f>Alukset_Käynnit!J624</f>
        <v>0</v>
      </c>
      <c r="K617" s="262">
        <f>Alukset_Käynnit!K624</f>
        <v>0</v>
      </c>
      <c r="L617" s="205">
        <f>Alukset_Käynnit!L624</f>
        <v>0</v>
      </c>
      <c r="N617" s="273">
        <f t="shared" si="123"/>
        <v>0</v>
      </c>
      <c r="O617" s="274">
        <f t="shared" si="124"/>
        <v>0</v>
      </c>
      <c r="Q617" s="204">
        <f t="shared" si="113"/>
        <v>0</v>
      </c>
      <c r="R617" s="202">
        <f>IF(Q617="Other dry cargo",L617*Alukset_fx!$B$71,IF(OR(Q617="Dry bulk",Q617="Bulk carrier"),L617*Alukset_fx!$B$69,IF(Q617="Tugboat",L617*Alukset_fx!$B$76,IF(OR(Q617="Tanker",Q617="Gas tanker",Q617="Chemical tanker",Q617="Oil tanker"),L617*Alukset_fx!$B$68,IF(OR(Q617="RoRo",Q617="Vehicle carrier"),L617*Alukset_fx!$B$72,IF(Q617="RoPax",L617*Alukset_fx!$B$73,IF(Q617="Container ship",L617*Alukset_fx!$B$70,IF(Q617="Barge",0,L617*Alukset_fx!$B$75))))))))</f>
        <v>0</v>
      </c>
      <c r="S617" s="210">
        <f>IF(L617=0,IF(Q617="Other dry cargo",Alukset_fx!$H$73*(Alukset_Käynnit_Lask!K617^Alukset_fx!$I$73),IF(OR(Q617="Dry Bulk",Q617="Bulk carrier"),Alukset_fx!$H$71*(Alukset_Käynnit_Lask!K617^Alukset_fx!$I$71),IF(Q617="Tugboat",Alukset_fx!$H$78*(Alukset_Käynnit_Lask!K617^Alukset_fx!$I$78),IF(OR(Q617="Tanker",Q617="Gas tanker",Q617="Chemical tanker",Q617="Oil tanker"),Alukset_fx!$H$70*(Alukset_Käynnit_Lask!K617^Alukset_fx!$I$70),IF(Q617="Container ship",Alukset_fx!$H$72*(Alukset_Käynnit_Lask!K617^Alukset_fx!$I$72),IF(Q617="Barge",0,IF(Q617="RoPax",Alukset_fx!$H$75*(Alukset_Käynnit_Lask!K617^Alukset_fx!$I$75),IF(OR(Q617="RoRo",Q617="Vehicle carrier"),Alukset_fx!$H$74*(Alukset_Käynnit_Lask!K617^Alukset_fx!$I$74),Alukset_fx!$H$77*(Alukset_Käynnit_Lask!K617^Alukset_fx!$I$77))))))))),"-")</f>
        <v>0</v>
      </c>
      <c r="T617" s="208">
        <f>IF(R617=0,IF(Q617="Other dry cargo",S617*Alukset_fx!$B$71,IF(OR(Q617="Dry bulk",Q617="Bulk carrier"),S617*Alukset_fx!$B$69,IF(Q617="Tugboat",S617*Alukset_fx!$B$76,IF(OR(Q617="Tanker",Q617="Gas tanker",Q617="Chemical tanker",Q617="Oil tanker"),S617*Alukset_fx!$B$68,IF(OR(Q617="RoRo",Q617="Vehicle carrier"),S617*Alukset_fx!$B$72,IF(Q617="RoPax",S617*Alukset_fx!$B$73,IF(Q617="Container ship",S617*Alukset_fx!$B$70,S617*Alukset_fx!$B$75))))))),"-")</f>
        <v>0</v>
      </c>
      <c r="U617" s="208">
        <f t="shared" si="114"/>
        <v>0</v>
      </c>
      <c r="V617" s="208">
        <f t="shared" si="115"/>
        <v>0</v>
      </c>
      <c r="W617" s="202">
        <f>Alukset_Käynnit!N624</f>
        <v>0</v>
      </c>
      <c r="X617" s="211">
        <f>IF(Q617="Other dry cargo", Alukset_fx!$C$52, IF(OR(Q617="Dry bulk",Q617="Bulk carrier"),Alukset_fx!$C$35,IF(OR(Q617="Tanker",Q617="Gas tanker",Q617="Oil tanker"),Alukset_fx!$C$57,IF(Q617="Chemical tanker",Alukset_fx!$C$56,IF(OR(Q617="Tugboat",Q617="Barge"),0,IF(Q617="Other vessel",Alukset_fx!$C$54,IF(Q617="Container ship",Alukset_fx!$C$37,IF(OR(Q617="RoPax",Q617="RoRo",Q617="Vehicle carrier"),Alukset_fx!$C$55,0))))))))</f>
        <v>0</v>
      </c>
      <c r="Y617" s="211">
        <f>IF(Q617="Other dry cargo", Alukset_fx!$Q$52, IF(OR(Q617="Dry bulk",Q617="Bulk carrier"),Alukset_fx!$Q$35,IF(OR(Q617="Tanker",Q617="Gas tanker",Q617="Oil tanker"),Alukset_fx!$Q$57,IF(Q617="Chemical tanker",Alukset_fx!$Q$56,IF(OR(Q617="Tugboat",Q617="Barge"),0,IF(Q617="Other vessel",Alukset_fx!$Q$54,IF(Q617="Container ship",Alukset_fx!$Q$37,IF(OR(Q617="RoPax",Q617="RoRo",Q617="Vehicle carrier"),Alukset_fx!$Q$55,0))))))))</f>
        <v>0</v>
      </c>
      <c r="Z617" t="str">
        <f t="shared" si="116"/>
        <v>MDO/MGO</v>
      </c>
      <c r="AA617" t="str">
        <f t="shared" si="117"/>
        <v>MSD</v>
      </c>
      <c r="AB617" t="str">
        <f t="shared" si="118"/>
        <v>MDO/MGO</v>
      </c>
      <c r="AC617" t="str">
        <f t="shared" si="119"/>
        <v>MSD</v>
      </c>
      <c r="AD617" t="str">
        <f t="shared" si="120"/>
        <v>MDO/MGO</v>
      </c>
      <c r="AE617" t="str">
        <f t="shared" si="121"/>
        <v>ST</v>
      </c>
      <c r="AG617">
        <f>Alukset_Käynnit!O624</f>
        <v>0</v>
      </c>
      <c r="AH617" s="207">
        <f>IF(AA617="SSD",((U617*Alukset_fx!$B$24)*Alukset_Käynnit_Lask!W617*(Alukset_fx!$K$49)/1000),IF(AA617="MSD",((U617*Alukset_fx!$B$24)*Alukset_Käynnit_Lask!W617*(Alukset_fx!$K$52)/1000),IF(AA617="HSD",((U617*Alukset_fx!$B$24)*Alukset_Käynnit_Lask!W617*(Alukset_fx!$K$55)/1000),0)))</f>
        <v>0</v>
      </c>
      <c r="AI617" s="207">
        <f>IF(AC617="MSD",((V617*Alukset_fx!$B$25)*Alukset_Käynnit_Lask!W617*(Alukset_fx!$L$52)/1000),IF(AC617="HSD",((V617*Alukset_fx!$B$25)*Alukset_Käynnit_Lask!W617*(Alukset_fx!$L$55)/1000),0))</f>
        <v>0</v>
      </c>
      <c r="AJ617" s="207">
        <f>X617*W617*Alukset_fx!$K$61/1000</f>
        <v>0</v>
      </c>
      <c r="AK617">
        <v>0</v>
      </c>
      <c r="AL617" s="207">
        <f>IF(AG617="Käytetty",0,IF(AC617="MSD",((V617*Alukset_fx!$O$25)*Alukset_Käynnit_Lask!O617*(Alukset_fx!$L$52)/1000),IF(AC617="HSD",((V617*Alukset_fx!$O$25)*Alukset_Käynnit_Lask!O617*(Alukset_fx!$L$55)/1000),0)))</f>
        <v>0</v>
      </c>
      <c r="AM617" s="207">
        <f>IF(AG617="Käytetty",0,Y617*O617*Alukset_fx!$K$61/1000)</f>
        <v>0</v>
      </c>
      <c r="AN617" s="213">
        <f t="shared" si="122"/>
        <v>0</v>
      </c>
    </row>
    <row r="618" spans="1:40" x14ac:dyDescent="0.25">
      <c r="A618" s="203">
        <f>Alukset_Käynnit!A625</f>
        <v>0</v>
      </c>
      <c r="B618" s="203">
        <f>Alukset_Käynnit!B625</f>
        <v>0</v>
      </c>
      <c r="C618" s="262">
        <f>Alukset_Käynnit!C625</f>
        <v>0</v>
      </c>
      <c r="D618" s="266">
        <f>Alukset_Käynnit!D625</f>
        <v>0</v>
      </c>
      <c r="E618" s="262">
        <f>Alukset_Käynnit!E625</f>
        <v>0</v>
      </c>
      <c r="F618" s="262">
        <f>Alukset_Käynnit!F625</f>
        <v>0</v>
      </c>
      <c r="G618" s="262">
        <f>Alukset_Käynnit!G625</f>
        <v>0</v>
      </c>
      <c r="H618" s="262">
        <f>Alukset_Käynnit!H625</f>
        <v>0</v>
      </c>
      <c r="I618" s="262">
        <f>Alukset_Käynnit!I625</f>
        <v>0</v>
      </c>
      <c r="J618" s="262">
        <f>Alukset_Käynnit!J625</f>
        <v>0</v>
      </c>
      <c r="K618" s="262">
        <f>Alukset_Käynnit!K625</f>
        <v>0</v>
      </c>
      <c r="L618" s="205">
        <f>Alukset_Käynnit!L625</f>
        <v>0</v>
      </c>
      <c r="N618" s="273">
        <f t="shared" si="123"/>
        <v>0</v>
      </c>
      <c r="O618" s="274">
        <f t="shared" si="124"/>
        <v>0</v>
      </c>
      <c r="Q618" s="204">
        <f t="shared" si="113"/>
        <v>0</v>
      </c>
      <c r="R618" s="202">
        <f>IF(Q618="Other dry cargo",L618*Alukset_fx!$B$71,IF(OR(Q618="Dry bulk",Q618="Bulk carrier"),L618*Alukset_fx!$B$69,IF(Q618="Tugboat",L618*Alukset_fx!$B$76,IF(OR(Q618="Tanker",Q618="Gas tanker",Q618="Chemical tanker",Q618="Oil tanker"),L618*Alukset_fx!$B$68,IF(OR(Q618="RoRo",Q618="Vehicle carrier"),L618*Alukset_fx!$B$72,IF(Q618="RoPax",L618*Alukset_fx!$B$73,IF(Q618="Container ship",L618*Alukset_fx!$B$70,IF(Q618="Barge",0,L618*Alukset_fx!$B$75))))))))</f>
        <v>0</v>
      </c>
      <c r="S618" s="210">
        <f>IF(L618=0,IF(Q618="Other dry cargo",Alukset_fx!$H$73*(Alukset_Käynnit_Lask!K618^Alukset_fx!$I$73),IF(OR(Q618="Dry Bulk",Q618="Bulk carrier"),Alukset_fx!$H$71*(Alukset_Käynnit_Lask!K618^Alukset_fx!$I$71),IF(Q618="Tugboat",Alukset_fx!$H$78*(Alukset_Käynnit_Lask!K618^Alukset_fx!$I$78),IF(OR(Q618="Tanker",Q618="Gas tanker",Q618="Chemical tanker",Q618="Oil tanker"),Alukset_fx!$H$70*(Alukset_Käynnit_Lask!K618^Alukset_fx!$I$70),IF(Q618="Container ship",Alukset_fx!$H$72*(Alukset_Käynnit_Lask!K618^Alukset_fx!$I$72),IF(Q618="Barge",0,IF(Q618="RoPax",Alukset_fx!$H$75*(Alukset_Käynnit_Lask!K618^Alukset_fx!$I$75),IF(OR(Q618="RoRo",Q618="Vehicle carrier"),Alukset_fx!$H$74*(Alukset_Käynnit_Lask!K618^Alukset_fx!$I$74),Alukset_fx!$H$77*(Alukset_Käynnit_Lask!K618^Alukset_fx!$I$77))))))))),"-")</f>
        <v>0</v>
      </c>
      <c r="T618" s="208">
        <f>IF(R618=0,IF(Q618="Other dry cargo",S618*Alukset_fx!$B$71,IF(OR(Q618="Dry bulk",Q618="Bulk carrier"),S618*Alukset_fx!$B$69,IF(Q618="Tugboat",S618*Alukset_fx!$B$76,IF(OR(Q618="Tanker",Q618="Gas tanker",Q618="Chemical tanker",Q618="Oil tanker"),S618*Alukset_fx!$B$68,IF(OR(Q618="RoRo",Q618="Vehicle carrier"),S618*Alukset_fx!$B$72,IF(Q618="RoPax",S618*Alukset_fx!$B$73,IF(Q618="Container ship",S618*Alukset_fx!$B$70,S618*Alukset_fx!$B$75))))))),"-")</f>
        <v>0</v>
      </c>
      <c r="U618" s="208">
        <f t="shared" si="114"/>
        <v>0</v>
      </c>
      <c r="V618" s="208">
        <f t="shared" si="115"/>
        <v>0</v>
      </c>
      <c r="W618" s="202">
        <f>Alukset_Käynnit!N625</f>
        <v>0</v>
      </c>
      <c r="X618" s="211">
        <f>IF(Q618="Other dry cargo", Alukset_fx!$C$52, IF(OR(Q618="Dry bulk",Q618="Bulk carrier"),Alukset_fx!$C$35,IF(OR(Q618="Tanker",Q618="Gas tanker",Q618="Oil tanker"),Alukset_fx!$C$57,IF(Q618="Chemical tanker",Alukset_fx!$C$56,IF(OR(Q618="Tugboat",Q618="Barge"),0,IF(Q618="Other vessel",Alukset_fx!$C$54,IF(Q618="Container ship",Alukset_fx!$C$37,IF(OR(Q618="RoPax",Q618="RoRo",Q618="Vehicle carrier"),Alukset_fx!$C$55,0))))))))</f>
        <v>0</v>
      </c>
      <c r="Y618" s="211">
        <f>IF(Q618="Other dry cargo", Alukset_fx!$Q$52, IF(OR(Q618="Dry bulk",Q618="Bulk carrier"),Alukset_fx!$Q$35,IF(OR(Q618="Tanker",Q618="Gas tanker",Q618="Oil tanker"),Alukset_fx!$Q$57,IF(Q618="Chemical tanker",Alukset_fx!$Q$56,IF(OR(Q618="Tugboat",Q618="Barge"),0,IF(Q618="Other vessel",Alukset_fx!$Q$54,IF(Q618="Container ship",Alukset_fx!$Q$37,IF(OR(Q618="RoPax",Q618="RoRo",Q618="Vehicle carrier"),Alukset_fx!$Q$55,0))))))))</f>
        <v>0</v>
      </c>
      <c r="Z618" t="str">
        <f t="shared" si="116"/>
        <v>MDO/MGO</v>
      </c>
      <c r="AA618" t="str">
        <f t="shared" si="117"/>
        <v>MSD</v>
      </c>
      <c r="AB618" t="str">
        <f t="shared" si="118"/>
        <v>MDO/MGO</v>
      </c>
      <c r="AC618" t="str">
        <f t="shared" si="119"/>
        <v>MSD</v>
      </c>
      <c r="AD618" t="str">
        <f t="shared" si="120"/>
        <v>MDO/MGO</v>
      </c>
      <c r="AE618" t="str">
        <f t="shared" si="121"/>
        <v>ST</v>
      </c>
      <c r="AG618">
        <f>Alukset_Käynnit!O625</f>
        <v>0</v>
      </c>
      <c r="AH618" s="207">
        <f>IF(AA618="SSD",((U618*Alukset_fx!$B$24)*Alukset_Käynnit_Lask!W618*(Alukset_fx!$K$49)/1000),IF(AA618="MSD",((U618*Alukset_fx!$B$24)*Alukset_Käynnit_Lask!W618*(Alukset_fx!$K$52)/1000),IF(AA618="HSD",((U618*Alukset_fx!$B$24)*Alukset_Käynnit_Lask!W618*(Alukset_fx!$K$55)/1000),0)))</f>
        <v>0</v>
      </c>
      <c r="AI618" s="207">
        <f>IF(AC618="MSD",((V618*Alukset_fx!$B$25)*Alukset_Käynnit_Lask!W618*(Alukset_fx!$L$52)/1000),IF(AC618="HSD",((V618*Alukset_fx!$B$25)*Alukset_Käynnit_Lask!W618*(Alukset_fx!$L$55)/1000),0))</f>
        <v>0</v>
      </c>
      <c r="AJ618" s="207">
        <f>X618*W618*Alukset_fx!$K$61/1000</f>
        <v>0</v>
      </c>
      <c r="AK618">
        <v>0</v>
      </c>
      <c r="AL618" s="207">
        <f>IF(AG618="Käytetty",0,IF(AC618="MSD",((V618*Alukset_fx!$O$25)*Alukset_Käynnit_Lask!O618*(Alukset_fx!$L$52)/1000),IF(AC618="HSD",((V618*Alukset_fx!$O$25)*Alukset_Käynnit_Lask!O618*(Alukset_fx!$L$55)/1000),0)))</f>
        <v>0</v>
      </c>
      <c r="AM618" s="207">
        <f>IF(AG618="Käytetty",0,Y618*O618*Alukset_fx!$K$61/1000)</f>
        <v>0</v>
      </c>
      <c r="AN618" s="213">
        <f t="shared" si="122"/>
        <v>0</v>
      </c>
    </row>
    <row r="619" spans="1:40" x14ac:dyDescent="0.25">
      <c r="A619" s="203">
        <f>Alukset_Käynnit!A626</f>
        <v>0</v>
      </c>
      <c r="B619" s="203">
        <f>Alukset_Käynnit!B626</f>
        <v>0</v>
      </c>
      <c r="C619" s="262">
        <f>Alukset_Käynnit!C626</f>
        <v>0</v>
      </c>
      <c r="D619" s="266">
        <f>Alukset_Käynnit!D626</f>
        <v>0</v>
      </c>
      <c r="E619" s="262">
        <f>Alukset_Käynnit!E626</f>
        <v>0</v>
      </c>
      <c r="F619" s="262">
        <f>Alukset_Käynnit!F626</f>
        <v>0</v>
      </c>
      <c r="G619" s="262">
        <f>Alukset_Käynnit!G626</f>
        <v>0</v>
      </c>
      <c r="H619" s="262">
        <f>Alukset_Käynnit!H626</f>
        <v>0</v>
      </c>
      <c r="I619" s="262">
        <f>Alukset_Käynnit!I626</f>
        <v>0</v>
      </c>
      <c r="J619" s="262">
        <f>Alukset_Käynnit!J626</f>
        <v>0</v>
      </c>
      <c r="K619" s="262">
        <f>Alukset_Käynnit!K626</f>
        <v>0</v>
      </c>
      <c r="L619" s="205">
        <f>Alukset_Käynnit!L626</f>
        <v>0</v>
      </c>
      <c r="N619" s="273">
        <f t="shared" si="123"/>
        <v>0</v>
      </c>
      <c r="O619" s="274">
        <f t="shared" si="124"/>
        <v>0</v>
      </c>
      <c r="Q619" s="204">
        <f t="shared" si="113"/>
        <v>0</v>
      </c>
      <c r="R619" s="202">
        <f>IF(Q619="Other dry cargo",L619*Alukset_fx!$B$71,IF(OR(Q619="Dry bulk",Q619="Bulk carrier"),L619*Alukset_fx!$B$69,IF(Q619="Tugboat",L619*Alukset_fx!$B$76,IF(OR(Q619="Tanker",Q619="Gas tanker",Q619="Chemical tanker",Q619="Oil tanker"),L619*Alukset_fx!$B$68,IF(OR(Q619="RoRo",Q619="Vehicle carrier"),L619*Alukset_fx!$B$72,IF(Q619="RoPax",L619*Alukset_fx!$B$73,IF(Q619="Container ship",L619*Alukset_fx!$B$70,IF(Q619="Barge",0,L619*Alukset_fx!$B$75))))))))</f>
        <v>0</v>
      </c>
      <c r="S619" s="210">
        <f>IF(L619=0,IF(Q619="Other dry cargo",Alukset_fx!$H$73*(Alukset_Käynnit_Lask!K619^Alukset_fx!$I$73),IF(OR(Q619="Dry Bulk",Q619="Bulk carrier"),Alukset_fx!$H$71*(Alukset_Käynnit_Lask!K619^Alukset_fx!$I$71),IF(Q619="Tugboat",Alukset_fx!$H$78*(Alukset_Käynnit_Lask!K619^Alukset_fx!$I$78),IF(OR(Q619="Tanker",Q619="Gas tanker",Q619="Chemical tanker",Q619="Oil tanker"),Alukset_fx!$H$70*(Alukset_Käynnit_Lask!K619^Alukset_fx!$I$70),IF(Q619="Container ship",Alukset_fx!$H$72*(Alukset_Käynnit_Lask!K619^Alukset_fx!$I$72),IF(Q619="Barge",0,IF(Q619="RoPax",Alukset_fx!$H$75*(Alukset_Käynnit_Lask!K619^Alukset_fx!$I$75),IF(OR(Q619="RoRo",Q619="Vehicle carrier"),Alukset_fx!$H$74*(Alukset_Käynnit_Lask!K619^Alukset_fx!$I$74),Alukset_fx!$H$77*(Alukset_Käynnit_Lask!K619^Alukset_fx!$I$77))))))))),"-")</f>
        <v>0</v>
      </c>
      <c r="T619" s="208">
        <f>IF(R619=0,IF(Q619="Other dry cargo",S619*Alukset_fx!$B$71,IF(OR(Q619="Dry bulk",Q619="Bulk carrier"),S619*Alukset_fx!$B$69,IF(Q619="Tugboat",S619*Alukset_fx!$B$76,IF(OR(Q619="Tanker",Q619="Gas tanker",Q619="Chemical tanker",Q619="Oil tanker"),S619*Alukset_fx!$B$68,IF(OR(Q619="RoRo",Q619="Vehicle carrier"),S619*Alukset_fx!$B$72,IF(Q619="RoPax",S619*Alukset_fx!$B$73,IF(Q619="Container ship",S619*Alukset_fx!$B$70,S619*Alukset_fx!$B$75))))))),"-")</f>
        <v>0</v>
      </c>
      <c r="U619" s="208">
        <f t="shared" si="114"/>
        <v>0</v>
      </c>
      <c r="V619" s="208">
        <f t="shared" si="115"/>
        <v>0</v>
      </c>
      <c r="W619" s="202">
        <f>Alukset_Käynnit!N626</f>
        <v>0</v>
      </c>
      <c r="X619" s="211">
        <f>IF(Q619="Other dry cargo", Alukset_fx!$C$52, IF(OR(Q619="Dry bulk",Q619="Bulk carrier"),Alukset_fx!$C$35,IF(OR(Q619="Tanker",Q619="Gas tanker",Q619="Oil tanker"),Alukset_fx!$C$57,IF(Q619="Chemical tanker",Alukset_fx!$C$56,IF(OR(Q619="Tugboat",Q619="Barge"),0,IF(Q619="Other vessel",Alukset_fx!$C$54,IF(Q619="Container ship",Alukset_fx!$C$37,IF(OR(Q619="RoPax",Q619="RoRo",Q619="Vehicle carrier"),Alukset_fx!$C$55,0))))))))</f>
        <v>0</v>
      </c>
      <c r="Y619" s="211">
        <f>IF(Q619="Other dry cargo", Alukset_fx!$Q$52, IF(OR(Q619="Dry bulk",Q619="Bulk carrier"),Alukset_fx!$Q$35,IF(OR(Q619="Tanker",Q619="Gas tanker",Q619="Oil tanker"),Alukset_fx!$Q$57,IF(Q619="Chemical tanker",Alukset_fx!$Q$56,IF(OR(Q619="Tugboat",Q619="Barge"),0,IF(Q619="Other vessel",Alukset_fx!$Q$54,IF(Q619="Container ship",Alukset_fx!$Q$37,IF(OR(Q619="RoPax",Q619="RoRo",Q619="Vehicle carrier"),Alukset_fx!$Q$55,0))))))))</f>
        <v>0</v>
      </c>
      <c r="Z619" t="str">
        <f t="shared" si="116"/>
        <v>MDO/MGO</v>
      </c>
      <c r="AA619" t="str">
        <f t="shared" si="117"/>
        <v>MSD</v>
      </c>
      <c r="AB619" t="str">
        <f t="shared" si="118"/>
        <v>MDO/MGO</v>
      </c>
      <c r="AC619" t="str">
        <f t="shared" si="119"/>
        <v>MSD</v>
      </c>
      <c r="AD619" t="str">
        <f t="shared" si="120"/>
        <v>MDO/MGO</v>
      </c>
      <c r="AE619" t="str">
        <f t="shared" si="121"/>
        <v>ST</v>
      </c>
      <c r="AG619">
        <f>Alukset_Käynnit!O626</f>
        <v>0</v>
      </c>
      <c r="AH619" s="207">
        <f>IF(AA619="SSD",((U619*Alukset_fx!$B$24)*Alukset_Käynnit_Lask!W619*(Alukset_fx!$K$49)/1000),IF(AA619="MSD",((U619*Alukset_fx!$B$24)*Alukset_Käynnit_Lask!W619*(Alukset_fx!$K$52)/1000),IF(AA619="HSD",((U619*Alukset_fx!$B$24)*Alukset_Käynnit_Lask!W619*(Alukset_fx!$K$55)/1000),0)))</f>
        <v>0</v>
      </c>
      <c r="AI619" s="207">
        <f>IF(AC619="MSD",((V619*Alukset_fx!$B$25)*Alukset_Käynnit_Lask!W619*(Alukset_fx!$L$52)/1000),IF(AC619="HSD",((V619*Alukset_fx!$B$25)*Alukset_Käynnit_Lask!W619*(Alukset_fx!$L$55)/1000),0))</f>
        <v>0</v>
      </c>
      <c r="AJ619" s="207">
        <f>X619*W619*Alukset_fx!$K$61/1000</f>
        <v>0</v>
      </c>
      <c r="AK619">
        <v>0</v>
      </c>
      <c r="AL619" s="207">
        <f>IF(AG619="Käytetty",0,IF(AC619="MSD",((V619*Alukset_fx!$O$25)*Alukset_Käynnit_Lask!O619*(Alukset_fx!$L$52)/1000),IF(AC619="HSD",((V619*Alukset_fx!$O$25)*Alukset_Käynnit_Lask!O619*(Alukset_fx!$L$55)/1000),0)))</f>
        <v>0</v>
      </c>
      <c r="AM619" s="207">
        <f>IF(AG619="Käytetty",0,Y619*O619*Alukset_fx!$K$61/1000)</f>
        <v>0</v>
      </c>
      <c r="AN619" s="213">
        <f t="shared" si="122"/>
        <v>0</v>
      </c>
    </row>
    <row r="620" spans="1:40" x14ac:dyDescent="0.25">
      <c r="A620" s="203">
        <f>Alukset_Käynnit!A627</f>
        <v>0</v>
      </c>
      <c r="B620" s="203">
        <f>Alukset_Käynnit!B627</f>
        <v>0</v>
      </c>
      <c r="C620" s="262">
        <f>Alukset_Käynnit!C627</f>
        <v>0</v>
      </c>
      <c r="D620" s="266">
        <f>Alukset_Käynnit!D627</f>
        <v>0</v>
      </c>
      <c r="E620" s="262">
        <f>Alukset_Käynnit!E627</f>
        <v>0</v>
      </c>
      <c r="F620" s="262">
        <f>Alukset_Käynnit!F627</f>
        <v>0</v>
      </c>
      <c r="G620" s="262">
        <f>Alukset_Käynnit!G627</f>
        <v>0</v>
      </c>
      <c r="H620" s="262">
        <f>Alukset_Käynnit!H627</f>
        <v>0</v>
      </c>
      <c r="I620" s="262">
        <f>Alukset_Käynnit!I627</f>
        <v>0</v>
      </c>
      <c r="J620" s="262">
        <f>Alukset_Käynnit!J627</f>
        <v>0</v>
      </c>
      <c r="K620" s="262">
        <f>Alukset_Käynnit!K627</f>
        <v>0</v>
      </c>
      <c r="L620" s="205">
        <f>Alukset_Käynnit!L627</f>
        <v>0</v>
      </c>
      <c r="N620" s="273">
        <f t="shared" si="123"/>
        <v>0</v>
      </c>
      <c r="O620" s="274">
        <f t="shared" si="124"/>
        <v>0</v>
      </c>
      <c r="Q620" s="204">
        <f t="shared" si="113"/>
        <v>0</v>
      </c>
      <c r="R620" s="202">
        <f>IF(Q620="Other dry cargo",L620*Alukset_fx!$B$71,IF(OR(Q620="Dry bulk",Q620="Bulk carrier"),L620*Alukset_fx!$B$69,IF(Q620="Tugboat",L620*Alukset_fx!$B$76,IF(OR(Q620="Tanker",Q620="Gas tanker",Q620="Chemical tanker",Q620="Oil tanker"),L620*Alukset_fx!$B$68,IF(OR(Q620="RoRo",Q620="Vehicle carrier"),L620*Alukset_fx!$B$72,IF(Q620="RoPax",L620*Alukset_fx!$B$73,IF(Q620="Container ship",L620*Alukset_fx!$B$70,IF(Q620="Barge",0,L620*Alukset_fx!$B$75))))))))</f>
        <v>0</v>
      </c>
      <c r="S620" s="210">
        <f>IF(L620=0,IF(Q620="Other dry cargo",Alukset_fx!$H$73*(Alukset_Käynnit_Lask!K620^Alukset_fx!$I$73),IF(OR(Q620="Dry Bulk",Q620="Bulk carrier"),Alukset_fx!$H$71*(Alukset_Käynnit_Lask!K620^Alukset_fx!$I$71),IF(Q620="Tugboat",Alukset_fx!$H$78*(Alukset_Käynnit_Lask!K620^Alukset_fx!$I$78),IF(OR(Q620="Tanker",Q620="Gas tanker",Q620="Chemical tanker",Q620="Oil tanker"),Alukset_fx!$H$70*(Alukset_Käynnit_Lask!K620^Alukset_fx!$I$70),IF(Q620="Container ship",Alukset_fx!$H$72*(Alukset_Käynnit_Lask!K620^Alukset_fx!$I$72),IF(Q620="Barge",0,IF(Q620="RoPax",Alukset_fx!$H$75*(Alukset_Käynnit_Lask!K620^Alukset_fx!$I$75),IF(OR(Q620="RoRo",Q620="Vehicle carrier"),Alukset_fx!$H$74*(Alukset_Käynnit_Lask!K620^Alukset_fx!$I$74),Alukset_fx!$H$77*(Alukset_Käynnit_Lask!K620^Alukset_fx!$I$77))))))))),"-")</f>
        <v>0</v>
      </c>
      <c r="T620" s="208">
        <f>IF(R620=0,IF(Q620="Other dry cargo",S620*Alukset_fx!$B$71,IF(OR(Q620="Dry bulk",Q620="Bulk carrier"),S620*Alukset_fx!$B$69,IF(Q620="Tugboat",S620*Alukset_fx!$B$76,IF(OR(Q620="Tanker",Q620="Gas tanker",Q620="Chemical tanker",Q620="Oil tanker"),S620*Alukset_fx!$B$68,IF(OR(Q620="RoRo",Q620="Vehicle carrier"),S620*Alukset_fx!$B$72,IF(Q620="RoPax",S620*Alukset_fx!$B$73,IF(Q620="Container ship",S620*Alukset_fx!$B$70,S620*Alukset_fx!$B$75))))))),"-")</f>
        <v>0</v>
      </c>
      <c r="U620" s="208">
        <f t="shared" si="114"/>
        <v>0</v>
      </c>
      <c r="V620" s="208">
        <f t="shared" si="115"/>
        <v>0</v>
      </c>
      <c r="W620" s="202">
        <f>Alukset_Käynnit!N627</f>
        <v>0</v>
      </c>
      <c r="X620" s="211">
        <f>IF(Q620="Other dry cargo", Alukset_fx!$C$52, IF(OR(Q620="Dry bulk",Q620="Bulk carrier"),Alukset_fx!$C$35,IF(OR(Q620="Tanker",Q620="Gas tanker",Q620="Oil tanker"),Alukset_fx!$C$57,IF(Q620="Chemical tanker",Alukset_fx!$C$56,IF(OR(Q620="Tugboat",Q620="Barge"),0,IF(Q620="Other vessel",Alukset_fx!$C$54,IF(Q620="Container ship",Alukset_fx!$C$37,IF(OR(Q620="RoPax",Q620="RoRo",Q620="Vehicle carrier"),Alukset_fx!$C$55,0))))))))</f>
        <v>0</v>
      </c>
      <c r="Y620" s="211">
        <f>IF(Q620="Other dry cargo", Alukset_fx!$Q$52, IF(OR(Q620="Dry bulk",Q620="Bulk carrier"),Alukset_fx!$Q$35,IF(OR(Q620="Tanker",Q620="Gas tanker",Q620="Oil tanker"),Alukset_fx!$Q$57,IF(Q620="Chemical tanker",Alukset_fx!$Q$56,IF(OR(Q620="Tugboat",Q620="Barge"),0,IF(Q620="Other vessel",Alukset_fx!$Q$54,IF(Q620="Container ship",Alukset_fx!$Q$37,IF(OR(Q620="RoPax",Q620="RoRo",Q620="Vehicle carrier"),Alukset_fx!$Q$55,0))))))))</f>
        <v>0</v>
      </c>
      <c r="Z620" t="str">
        <f t="shared" si="116"/>
        <v>MDO/MGO</v>
      </c>
      <c r="AA620" t="str">
        <f t="shared" si="117"/>
        <v>MSD</v>
      </c>
      <c r="AB620" t="str">
        <f t="shared" si="118"/>
        <v>MDO/MGO</v>
      </c>
      <c r="AC620" t="str">
        <f t="shared" si="119"/>
        <v>MSD</v>
      </c>
      <c r="AD620" t="str">
        <f t="shared" si="120"/>
        <v>MDO/MGO</v>
      </c>
      <c r="AE620" t="str">
        <f t="shared" si="121"/>
        <v>ST</v>
      </c>
      <c r="AG620">
        <f>Alukset_Käynnit!O627</f>
        <v>0</v>
      </c>
      <c r="AH620" s="207">
        <f>IF(AA620="SSD",((U620*Alukset_fx!$B$24)*Alukset_Käynnit_Lask!W620*(Alukset_fx!$K$49)/1000),IF(AA620="MSD",((U620*Alukset_fx!$B$24)*Alukset_Käynnit_Lask!W620*(Alukset_fx!$K$52)/1000),IF(AA620="HSD",((U620*Alukset_fx!$B$24)*Alukset_Käynnit_Lask!W620*(Alukset_fx!$K$55)/1000),0)))</f>
        <v>0</v>
      </c>
      <c r="AI620" s="207">
        <f>IF(AC620="MSD",((V620*Alukset_fx!$B$25)*Alukset_Käynnit_Lask!W620*(Alukset_fx!$L$52)/1000),IF(AC620="HSD",((V620*Alukset_fx!$B$25)*Alukset_Käynnit_Lask!W620*(Alukset_fx!$L$55)/1000),0))</f>
        <v>0</v>
      </c>
      <c r="AJ620" s="207">
        <f>X620*W620*Alukset_fx!$K$61/1000</f>
        <v>0</v>
      </c>
      <c r="AK620">
        <v>0</v>
      </c>
      <c r="AL620" s="207">
        <f>IF(AG620="Käytetty",0,IF(AC620="MSD",((V620*Alukset_fx!$O$25)*Alukset_Käynnit_Lask!O620*(Alukset_fx!$L$52)/1000),IF(AC620="HSD",((V620*Alukset_fx!$O$25)*Alukset_Käynnit_Lask!O620*(Alukset_fx!$L$55)/1000),0)))</f>
        <v>0</v>
      </c>
      <c r="AM620" s="207">
        <f>IF(AG620="Käytetty",0,Y620*O620*Alukset_fx!$K$61/1000)</f>
        <v>0</v>
      </c>
      <c r="AN620" s="213">
        <f t="shared" si="122"/>
        <v>0</v>
      </c>
    </row>
    <row r="621" spans="1:40" x14ac:dyDescent="0.25">
      <c r="A621" s="203">
        <f>Alukset_Käynnit!A628</f>
        <v>0</v>
      </c>
      <c r="B621" s="203">
        <f>Alukset_Käynnit!B628</f>
        <v>0</v>
      </c>
      <c r="C621" s="262">
        <f>Alukset_Käynnit!C628</f>
        <v>0</v>
      </c>
      <c r="D621" s="266">
        <f>Alukset_Käynnit!D628</f>
        <v>0</v>
      </c>
      <c r="E621" s="262">
        <f>Alukset_Käynnit!E628</f>
        <v>0</v>
      </c>
      <c r="F621" s="262">
        <f>Alukset_Käynnit!F628</f>
        <v>0</v>
      </c>
      <c r="G621" s="262">
        <f>Alukset_Käynnit!G628</f>
        <v>0</v>
      </c>
      <c r="H621" s="262">
        <f>Alukset_Käynnit!H628</f>
        <v>0</v>
      </c>
      <c r="I621" s="262">
        <f>Alukset_Käynnit!I628</f>
        <v>0</v>
      </c>
      <c r="J621" s="262">
        <f>Alukset_Käynnit!J628</f>
        <v>0</v>
      </c>
      <c r="K621" s="262">
        <f>Alukset_Käynnit!K628</f>
        <v>0</v>
      </c>
      <c r="L621" s="205">
        <f>Alukset_Käynnit!L628</f>
        <v>0</v>
      </c>
      <c r="N621" s="273">
        <f t="shared" si="123"/>
        <v>0</v>
      </c>
      <c r="O621" s="274">
        <f t="shared" si="124"/>
        <v>0</v>
      </c>
      <c r="Q621" s="204">
        <f t="shared" si="113"/>
        <v>0</v>
      </c>
      <c r="R621" s="202">
        <f>IF(Q621="Other dry cargo",L621*Alukset_fx!$B$71,IF(OR(Q621="Dry bulk",Q621="Bulk carrier"),L621*Alukset_fx!$B$69,IF(Q621="Tugboat",L621*Alukset_fx!$B$76,IF(OR(Q621="Tanker",Q621="Gas tanker",Q621="Chemical tanker",Q621="Oil tanker"),L621*Alukset_fx!$B$68,IF(OR(Q621="RoRo",Q621="Vehicle carrier"),L621*Alukset_fx!$B$72,IF(Q621="RoPax",L621*Alukset_fx!$B$73,IF(Q621="Container ship",L621*Alukset_fx!$B$70,IF(Q621="Barge",0,L621*Alukset_fx!$B$75))))))))</f>
        <v>0</v>
      </c>
      <c r="S621" s="210">
        <f>IF(L621=0,IF(Q621="Other dry cargo",Alukset_fx!$H$73*(Alukset_Käynnit_Lask!K621^Alukset_fx!$I$73),IF(OR(Q621="Dry Bulk",Q621="Bulk carrier"),Alukset_fx!$H$71*(Alukset_Käynnit_Lask!K621^Alukset_fx!$I$71),IF(Q621="Tugboat",Alukset_fx!$H$78*(Alukset_Käynnit_Lask!K621^Alukset_fx!$I$78),IF(OR(Q621="Tanker",Q621="Gas tanker",Q621="Chemical tanker",Q621="Oil tanker"),Alukset_fx!$H$70*(Alukset_Käynnit_Lask!K621^Alukset_fx!$I$70),IF(Q621="Container ship",Alukset_fx!$H$72*(Alukset_Käynnit_Lask!K621^Alukset_fx!$I$72),IF(Q621="Barge",0,IF(Q621="RoPax",Alukset_fx!$H$75*(Alukset_Käynnit_Lask!K621^Alukset_fx!$I$75),IF(OR(Q621="RoRo",Q621="Vehicle carrier"),Alukset_fx!$H$74*(Alukset_Käynnit_Lask!K621^Alukset_fx!$I$74),Alukset_fx!$H$77*(Alukset_Käynnit_Lask!K621^Alukset_fx!$I$77))))))))),"-")</f>
        <v>0</v>
      </c>
      <c r="T621" s="208">
        <f>IF(R621=0,IF(Q621="Other dry cargo",S621*Alukset_fx!$B$71,IF(OR(Q621="Dry bulk",Q621="Bulk carrier"),S621*Alukset_fx!$B$69,IF(Q621="Tugboat",S621*Alukset_fx!$B$76,IF(OR(Q621="Tanker",Q621="Gas tanker",Q621="Chemical tanker",Q621="Oil tanker"),S621*Alukset_fx!$B$68,IF(OR(Q621="RoRo",Q621="Vehicle carrier"),S621*Alukset_fx!$B$72,IF(Q621="RoPax",S621*Alukset_fx!$B$73,IF(Q621="Container ship",S621*Alukset_fx!$B$70,S621*Alukset_fx!$B$75))))))),"-")</f>
        <v>0</v>
      </c>
      <c r="U621" s="208">
        <f t="shared" si="114"/>
        <v>0</v>
      </c>
      <c r="V621" s="208">
        <f t="shared" si="115"/>
        <v>0</v>
      </c>
      <c r="W621" s="202">
        <f>Alukset_Käynnit!N628</f>
        <v>0</v>
      </c>
      <c r="X621" s="211">
        <f>IF(Q621="Other dry cargo", Alukset_fx!$C$52, IF(OR(Q621="Dry bulk",Q621="Bulk carrier"),Alukset_fx!$C$35,IF(OR(Q621="Tanker",Q621="Gas tanker",Q621="Oil tanker"),Alukset_fx!$C$57,IF(Q621="Chemical tanker",Alukset_fx!$C$56,IF(OR(Q621="Tugboat",Q621="Barge"),0,IF(Q621="Other vessel",Alukset_fx!$C$54,IF(Q621="Container ship",Alukset_fx!$C$37,IF(OR(Q621="RoPax",Q621="RoRo",Q621="Vehicle carrier"),Alukset_fx!$C$55,0))))))))</f>
        <v>0</v>
      </c>
      <c r="Y621" s="211">
        <f>IF(Q621="Other dry cargo", Alukset_fx!$Q$52, IF(OR(Q621="Dry bulk",Q621="Bulk carrier"),Alukset_fx!$Q$35,IF(OR(Q621="Tanker",Q621="Gas tanker",Q621="Oil tanker"),Alukset_fx!$Q$57,IF(Q621="Chemical tanker",Alukset_fx!$Q$56,IF(OR(Q621="Tugboat",Q621="Barge"),0,IF(Q621="Other vessel",Alukset_fx!$Q$54,IF(Q621="Container ship",Alukset_fx!$Q$37,IF(OR(Q621="RoPax",Q621="RoRo",Q621="Vehicle carrier"),Alukset_fx!$Q$55,0))))))))</f>
        <v>0</v>
      </c>
      <c r="Z621" t="str">
        <f t="shared" si="116"/>
        <v>MDO/MGO</v>
      </c>
      <c r="AA621" t="str">
        <f t="shared" si="117"/>
        <v>MSD</v>
      </c>
      <c r="AB621" t="str">
        <f t="shared" si="118"/>
        <v>MDO/MGO</v>
      </c>
      <c r="AC621" t="str">
        <f t="shared" si="119"/>
        <v>MSD</v>
      </c>
      <c r="AD621" t="str">
        <f t="shared" si="120"/>
        <v>MDO/MGO</v>
      </c>
      <c r="AE621" t="str">
        <f t="shared" si="121"/>
        <v>ST</v>
      </c>
      <c r="AG621">
        <f>Alukset_Käynnit!O628</f>
        <v>0</v>
      </c>
      <c r="AH621" s="207">
        <f>IF(AA621="SSD",((U621*Alukset_fx!$B$24)*Alukset_Käynnit_Lask!W621*(Alukset_fx!$K$49)/1000),IF(AA621="MSD",((U621*Alukset_fx!$B$24)*Alukset_Käynnit_Lask!W621*(Alukset_fx!$K$52)/1000),IF(AA621="HSD",((U621*Alukset_fx!$B$24)*Alukset_Käynnit_Lask!W621*(Alukset_fx!$K$55)/1000),0)))</f>
        <v>0</v>
      </c>
      <c r="AI621" s="207">
        <f>IF(AC621="MSD",((V621*Alukset_fx!$B$25)*Alukset_Käynnit_Lask!W621*(Alukset_fx!$L$52)/1000),IF(AC621="HSD",((V621*Alukset_fx!$B$25)*Alukset_Käynnit_Lask!W621*(Alukset_fx!$L$55)/1000),0))</f>
        <v>0</v>
      </c>
      <c r="AJ621" s="207">
        <f>X621*W621*Alukset_fx!$K$61/1000</f>
        <v>0</v>
      </c>
      <c r="AK621">
        <v>0</v>
      </c>
      <c r="AL621" s="207">
        <f>IF(AG621="Käytetty",0,IF(AC621="MSD",((V621*Alukset_fx!$O$25)*Alukset_Käynnit_Lask!O621*(Alukset_fx!$L$52)/1000),IF(AC621="HSD",((V621*Alukset_fx!$O$25)*Alukset_Käynnit_Lask!O621*(Alukset_fx!$L$55)/1000),0)))</f>
        <v>0</v>
      </c>
      <c r="AM621" s="207">
        <f>IF(AG621="Käytetty",0,Y621*O621*Alukset_fx!$K$61/1000)</f>
        <v>0</v>
      </c>
      <c r="AN621" s="213">
        <f t="shared" si="122"/>
        <v>0</v>
      </c>
    </row>
    <row r="622" spans="1:40" x14ac:dyDescent="0.25">
      <c r="A622" s="203">
        <f>Alukset_Käynnit!A629</f>
        <v>0</v>
      </c>
      <c r="B622" s="203">
        <f>Alukset_Käynnit!B629</f>
        <v>0</v>
      </c>
      <c r="C622" s="262">
        <f>Alukset_Käynnit!C629</f>
        <v>0</v>
      </c>
      <c r="D622" s="266">
        <f>Alukset_Käynnit!D629</f>
        <v>0</v>
      </c>
      <c r="E622" s="262">
        <f>Alukset_Käynnit!E629</f>
        <v>0</v>
      </c>
      <c r="F622" s="262">
        <f>Alukset_Käynnit!F629</f>
        <v>0</v>
      </c>
      <c r="G622" s="262">
        <f>Alukset_Käynnit!G629</f>
        <v>0</v>
      </c>
      <c r="H622" s="262">
        <f>Alukset_Käynnit!H629</f>
        <v>0</v>
      </c>
      <c r="I622" s="262">
        <f>Alukset_Käynnit!I629</f>
        <v>0</v>
      </c>
      <c r="J622" s="262">
        <f>Alukset_Käynnit!J629</f>
        <v>0</v>
      </c>
      <c r="K622" s="262">
        <f>Alukset_Käynnit!K629</f>
        <v>0</v>
      </c>
      <c r="L622" s="205">
        <f>Alukset_Käynnit!L629</f>
        <v>0</v>
      </c>
      <c r="N622" s="273">
        <f t="shared" si="123"/>
        <v>0</v>
      </c>
      <c r="O622" s="274">
        <f t="shared" si="124"/>
        <v>0</v>
      </c>
      <c r="Q622" s="204">
        <f t="shared" si="113"/>
        <v>0</v>
      </c>
      <c r="R622" s="202">
        <f>IF(Q622="Other dry cargo",L622*Alukset_fx!$B$71,IF(OR(Q622="Dry bulk",Q622="Bulk carrier"),L622*Alukset_fx!$B$69,IF(Q622="Tugboat",L622*Alukset_fx!$B$76,IF(OR(Q622="Tanker",Q622="Gas tanker",Q622="Chemical tanker",Q622="Oil tanker"),L622*Alukset_fx!$B$68,IF(OR(Q622="RoRo",Q622="Vehicle carrier"),L622*Alukset_fx!$B$72,IF(Q622="RoPax",L622*Alukset_fx!$B$73,IF(Q622="Container ship",L622*Alukset_fx!$B$70,IF(Q622="Barge",0,L622*Alukset_fx!$B$75))))))))</f>
        <v>0</v>
      </c>
      <c r="S622" s="210">
        <f>IF(L622=0,IF(Q622="Other dry cargo",Alukset_fx!$H$73*(Alukset_Käynnit_Lask!K622^Alukset_fx!$I$73),IF(OR(Q622="Dry Bulk",Q622="Bulk carrier"),Alukset_fx!$H$71*(Alukset_Käynnit_Lask!K622^Alukset_fx!$I$71),IF(Q622="Tugboat",Alukset_fx!$H$78*(Alukset_Käynnit_Lask!K622^Alukset_fx!$I$78),IF(OR(Q622="Tanker",Q622="Gas tanker",Q622="Chemical tanker",Q622="Oil tanker"),Alukset_fx!$H$70*(Alukset_Käynnit_Lask!K622^Alukset_fx!$I$70),IF(Q622="Container ship",Alukset_fx!$H$72*(Alukset_Käynnit_Lask!K622^Alukset_fx!$I$72),IF(Q622="Barge",0,IF(Q622="RoPax",Alukset_fx!$H$75*(Alukset_Käynnit_Lask!K622^Alukset_fx!$I$75),IF(OR(Q622="RoRo",Q622="Vehicle carrier"),Alukset_fx!$H$74*(Alukset_Käynnit_Lask!K622^Alukset_fx!$I$74),Alukset_fx!$H$77*(Alukset_Käynnit_Lask!K622^Alukset_fx!$I$77))))))))),"-")</f>
        <v>0</v>
      </c>
      <c r="T622" s="208">
        <f>IF(R622=0,IF(Q622="Other dry cargo",S622*Alukset_fx!$B$71,IF(OR(Q622="Dry bulk",Q622="Bulk carrier"),S622*Alukset_fx!$B$69,IF(Q622="Tugboat",S622*Alukset_fx!$B$76,IF(OR(Q622="Tanker",Q622="Gas tanker",Q622="Chemical tanker",Q622="Oil tanker"),S622*Alukset_fx!$B$68,IF(OR(Q622="RoRo",Q622="Vehicle carrier"),S622*Alukset_fx!$B$72,IF(Q622="RoPax",S622*Alukset_fx!$B$73,IF(Q622="Container ship",S622*Alukset_fx!$B$70,S622*Alukset_fx!$B$75))))))),"-")</f>
        <v>0</v>
      </c>
      <c r="U622" s="208">
        <f t="shared" si="114"/>
        <v>0</v>
      </c>
      <c r="V622" s="208">
        <f t="shared" si="115"/>
        <v>0</v>
      </c>
      <c r="W622" s="202">
        <f>Alukset_Käynnit!N629</f>
        <v>0</v>
      </c>
      <c r="X622" s="211">
        <f>IF(Q622="Other dry cargo", Alukset_fx!$C$52, IF(OR(Q622="Dry bulk",Q622="Bulk carrier"),Alukset_fx!$C$35,IF(OR(Q622="Tanker",Q622="Gas tanker",Q622="Oil tanker"),Alukset_fx!$C$57,IF(Q622="Chemical tanker",Alukset_fx!$C$56,IF(OR(Q622="Tugboat",Q622="Barge"),0,IF(Q622="Other vessel",Alukset_fx!$C$54,IF(Q622="Container ship",Alukset_fx!$C$37,IF(OR(Q622="RoPax",Q622="RoRo",Q622="Vehicle carrier"),Alukset_fx!$C$55,0))))))))</f>
        <v>0</v>
      </c>
      <c r="Y622" s="211">
        <f>IF(Q622="Other dry cargo", Alukset_fx!$Q$52, IF(OR(Q622="Dry bulk",Q622="Bulk carrier"),Alukset_fx!$Q$35,IF(OR(Q622="Tanker",Q622="Gas tanker",Q622="Oil tanker"),Alukset_fx!$Q$57,IF(Q622="Chemical tanker",Alukset_fx!$Q$56,IF(OR(Q622="Tugboat",Q622="Barge"),0,IF(Q622="Other vessel",Alukset_fx!$Q$54,IF(Q622="Container ship",Alukset_fx!$Q$37,IF(OR(Q622="RoPax",Q622="RoRo",Q622="Vehicle carrier"),Alukset_fx!$Q$55,0))))))))</f>
        <v>0</v>
      </c>
      <c r="Z622" t="str">
        <f t="shared" si="116"/>
        <v>MDO/MGO</v>
      </c>
      <c r="AA622" t="str">
        <f t="shared" si="117"/>
        <v>MSD</v>
      </c>
      <c r="AB622" t="str">
        <f t="shared" si="118"/>
        <v>MDO/MGO</v>
      </c>
      <c r="AC622" t="str">
        <f t="shared" si="119"/>
        <v>MSD</v>
      </c>
      <c r="AD622" t="str">
        <f t="shared" si="120"/>
        <v>MDO/MGO</v>
      </c>
      <c r="AE622" t="str">
        <f t="shared" si="121"/>
        <v>ST</v>
      </c>
      <c r="AG622">
        <f>Alukset_Käynnit!O629</f>
        <v>0</v>
      </c>
      <c r="AH622" s="207">
        <f>IF(AA622="SSD",((U622*Alukset_fx!$B$24)*Alukset_Käynnit_Lask!W622*(Alukset_fx!$K$49)/1000),IF(AA622="MSD",((U622*Alukset_fx!$B$24)*Alukset_Käynnit_Lask!W622*(Alukset_fx!$K$52)/1000),IF(AA622="HSD",((U622*Alukset_fx!$B$24)*Alukset_Käynnit_Lask!W622*(Alukset_fx!$K$55)/1000),0)))</f>
        <v>0</v>
      </c>
      <c r="AI622" s="207">
        <f>IF(AC622="MSD",((V622*Alukset_fx!$B$25)*Alukset_Käynnit_Lask!W622*(Alukset_fx!$L$52)/1000),IF(AC622="HSD",((V622*Alukset_fx!$B$25)*Alukset_Käynnit_Lask!W622*(Alukset_fx!$L$55)/1000),0))</f>
        <v>0</v>
      </c>
      <c r="AJ622" s="207">
        <f>X622*W622*Alukset_fx!$K$61/1000</f>
        <v>0</v>
      </c>
      <c r="AK622">
        <v>0</v>
      </c>
      <c r="AL622" s="207">
        <f>IF(AG622="Käytetty",0,IF(AC622="MSD",((V622*Alukset_fx!$O$25)*Alukset_Käynnit_Lask!O622*(Alukset_fx!$L$52)/1000),IF(AC622="HSD",((V622*Alukset_fx!$O$25)*Alukset_Käynnit_Lask!O622*(Alukset_fx!$L$55)/1000),0)))</f>
        <v>0</v>
      </c>
      <c r="AM622" s="207">
        <f>IF(AG622="Käytetty",0,Y622*O622*Alukset_fx!$K$61/1000)</f>
        <v>0</v>
      </c>
      <c r="AN622" s="213">
        <f t="shared" si="122"/>
        <v>0</v>
      </c>
    </row>
    <row r="623" spans="1:40" x14ac:dyDescent="0.25">
      <c r="A623" s="203">
        <f>Alukset_Käynnit!A630</f>
        <v>0</v>
      </c>
      <c r="B623" s="203">
        <f>Alukset_Käynnit!B630</f>
        <v>0</v>
      </c>
      <c r="C623" s="262">
        <f>Alukset_Käynnit!C630</f>
        <v>0</v>
      </c>
      <c r="D623" s="266">
        <f>Alukset_Käynnit!D630</f>
        <v>0</v>
      </c>
      <c r="E623" s="262">
        <f>Alukset_Käynnit!E630</f>
        <v>0</v>
      </c>
      <c r="F623" s="262">
        <f>Alukset_Käynnit!F630</f>
        <v>0</v>
      </c>
      <c r="G623" s="262">
        <f>Alukset_Käynnit!G630</f>
        <v>0</v>
      </c>
      <c r="H623" s="262">
        <f>Alukset_Käynnit!H630</f>
        <v>0</v>
      </c>
      <c r="I623" s="262">
        <f>Alukset_Käynnit!I630</f>
        <v>0</v>
      </c>
      <c r="J623" s="262">
        <f>Alukset_Käynnit!J630</f>
        <v>0</v>
      </c>
      <c r="K623" s="262">
        <f>Alukset_Käynnit!K630</f>
        <v>0</v>
      </c>
      <c r="L623" s="205">
        <f>Alukset_Käynnit!L630</f>
        <v>0</v>
      </c>
      <c r="N623" s="273">
        <f t="shared" si="123"/>
        <v>0</v>
      </c>
      <c r="O623" s="274">
        <f t="shared" si="124"/>
        <v>0</v>
      </c>
      <c r="Q623" s="204">
        <f t="shared" si="113"/>
        <v>0</v>
      </c>
      <c r="R623" s="202">
        <f>IF(Q623="Other dry cargo",L623*Alukset_fx!$B$71,IF(OR(Q623="Dry bulk",Q623="Bulk carrier"),L623*Alukset_fx!$B$69,IF(Q623="Tugboat",L623*Alukset_fx!$B$76,IF(OR(Q623="Tanker",Q623="Gas tanker",Q623="Chemical tanker",Q623="Oil tanker"),L623*Alukset_fx!$B$68,IF(OR(Q623="RoRo",Q623="Vehicle carrier"),L623*Alukset_fx!$B$72,IF(Q623="RoPax",L623*Alukset_fx!$B$73,IF(Q623="Container ship",L623*Alukset_fx!$B$70,IF(Q623="Barge",0,L623*Alukset_fx!$B$75))))))))</f>
        <v>0</v>
      </c>
      <c r="S623" s="210">
        <f>IF(L623=0,IF(Q623="Other dry cargo",Alukset_fx!$H$73*(Alukset_Käynnit_Lask!K623^Alukset_fx!$I$73),IF(OR(Q623="Dry Bulk",Q623="Bulk carrier"),Alukset_fx!$H$71*(Alukset_Käynnit_Lask!K623^Alukset_fx!$I$71),IF(Q623="Tugboat",Alukset_fx!$H$78*(Alukset_Käynnit_Lask!K623^Alukset_fx!$I$78),IF(OR(Q623="Tanker",Q623="Gas tanker",Q623="Chemical tanker",Q623="Oil tanker"),Alukset_fx!$H$70*(Alukset_Käynnit_Lask!K623^Alukset_fx!$I$70),IF(Q623="Container ship",Alukset_fx!$H$72*(Alukset_Käynnit_Lask!K623^Alukset_fx!$I$72),IF(Q623="Barge",0,IF(Q623="RoPax",Alukset_fx!$H$75*(Alukset_Käynnit_Lask!K623^Alukset_fx!$I$75),IF(OR(Q623="RoRo",Q623="Vehicle carrier"),Alukset_fx!$H$74*(Alukset_Käynnit_Lask!K623^Alukset_fx!$I$74),Alukset_fx!$H$77*(Alukset_Käynnit_Lask!K623^Alukset_fx!$I$77))))))))),"-")</f>
        <v>0</v>
      </c>
      <c r="T623" s="208">
        <f>IF(R623=0,IF(Q623="Other dry cargo",S623*Alukset_fx!$B$71,IF(OR(Q623="Dry bulk",Q623="Bulk carrier"),S623*Alukset_fx!$B$69,IF(Q623="Tugboat",S623*Alukset_fx!$B$76,IF(OR(Q623="Tanker",Q623="Gas tanker",Q623="Chemical tanker",Q623="Oil tanker"),S623*Alukset_fx!$B$68,IF(OR(Q623="RoRo",Q623="Vehicle carrier"),S623*Alukset_fx!$B$72,IF(Q623="RoPax",S623*Alukset_fx!$B$73,IF(Q623="Container ship",S623*Alukset_fx!$B$70,S623*Alukset_fx!$B$75))))))),"-")</f>
        <v>0</v>
      </c>
      <c r="U623" s="208">
        <f t="shared" si="114"/>
        <v>0</v>
      </c>
      <c r="V623" s="208">
        <f t="shared" si="115"/>
        <v>0</v>
      </c>
      <c r="W623" s="202">
        <f>Alukset_Käynnit!N630</f>
        <v>0</v>
      </c>
      <c r="X623" s="211">
        <f>IF(Q623="Other dry cargo", Alukset_fx!$C$52, IF(OR(Q623="Dry bulk",Q623="Bulk carrier"),Alukset_fx!$C$35,IF(OR(Q623="Tanker",Q623="Gas tanker",Q623="Oil tanker"),Alukset_fx!$C$57,IF(Q623="Chemical tanker",Alukset_fx!$C$56,IF(OR(Q623="Tugboat",Q623="Barge"),0,IF(Q623="Other vessel",Alukset_fx!$C$54,IF(Q623="Container ship",Alukset_fx!$C$37,IF(OR(Q623="RoPax",Q623="RoRo",Q623="Vehicle carrier"),Alukset_fx!$C$55,0))))))))</f>
        <v>0</v>
      </c>
      <c r="Y623" s="211">
        <f>IF(Q623="Other dry cargo", Alukset_fx!$Q$52, IF(OR(Q623="Dry bulk",Q623="Bulk carrier"),Alukset_fx!$Q$35,IF(OR(Q623="Tanker",Q623="Gas tanker",Q623="Oil tanker"),Alukset_fx!$Q$57,IF(Q623="Chemical tanker",Alukset_fx!$Q$56,IF(OR(Q623="Tugboat",Q623="Barge"),0,IF(Q623="Other vessel",Alukset_fx!$Q$54,IF(Q623="Container ship",Alukset_fx!$Q$37,IF(OR(Q623="RoPax",Q623="RoRo",Q623="Vehicle carrier"),Alukset_fx!$Q$55,0))))))))</f>
        <v>0</v>
      </c>
      <c r="Z623" t="str">
        <f t="shared" si="116"/>
        <v>MDO/MGO</v>
      </c>
      <c r="AA623" t="str">
        <f t="shared" si="117"/>
        <v>MSD</v>
      </c>
      <c r="AB623" t="str">
        <f t="shared" si="118"/>
        <v>MDO/MGO</v>
      </c>
      <c r="AC623" t="str">
        <f t="shared" si="119"/>
        <v>MSD</v>
      </c>
      <c r="AD623" t="str">
        <f t="shared" si="120"/>
        <v>MDO/MGO</v>
      </c>
      <c r="AE623" t="str">
        <f t="shared" si="121"/>
        <v>ST</v>
      </c>
      <c r="AG623">
        <f>Alukset_Käynnit!O630</f>
        <v>0</v>
      </c>
      <c r="AH623" s="207">
        <f>IF(AA623="SSD",((U623*Alukset_fx!$B$24)*Alukset_Käynnit_Lask!W623*(Alukset_fx!$K$49)/1000),IF(AA623="MSD",((U623*Alukset_fx!$B$24)*Alukset_Käynnit_Lask!W623*(Alukset_fx!$K$52)/1000),IF(AA623="HSD",((U623*Alukset_fx!$B$24)*Alukset_Käynnit_Lask!W623*(Alukset_fx!$K$55)/1000),0)))</f>
        <v>0</v>
      </c>
      <c r="AI623" s="207">
        <f>IF(AC623="MSD",((V623*Alukset_fx!$B$25)*Alukset_Käynnit_Lask!W623*(Alukset_fx!$L$52)/1000),IF(AC623="HSD",((V623*Alukset_fx!$B$25)*Alukset_Käynnit_Lask!W623*(Alukset_fx!$L$55)/1000),0))</f>
        <v>0</v>
      </c>
      <c r="AJ623" s="207">
        <f>X623*W623*Alukset_fx!$K$61/1000</f>
        <v>0</v>
      </c>
      <c r="AK623">
        <v>0</v>
      </c>
      <c r="AL623" s="207">
        <f>IF(AG623="Käytetty",0,IF(AC623="MSD",((V623*Alukset_fx!$O$25)*Alukset_Käynnit_Lask!O623*(Alukset_fx!$L$52)/1000),IF(AC623="HSD",((V623*Alukset_fx!$O$25)*Alukset_Käynnit_Lask!O623*(Alukset_fx!$L$55)/1000),0)))</f>
        <v>0</v>
      </c>
      <c r="AM623" s="207">
        <f>IF(AG623="Käytetty",0,Y623*O623*Alukset_fx!$K$61/1000)</f>
        <v>0</v>
      </c>
      <c r="AN623" s="213">
        <f t="shared" si="122"/>
        <v>0</v>
      </c>
    </row>
    <row r="624" spans="1:40" x14ac:dyDescent="0.25">
      <c r="A624" s="203">
        <f>Alukset_Käynnit!A631</f>
        <v>0</v>
      </c>
      <c r="B624" s="203">
        <f>Alukset_Käynnit!B631</f>
        <v>0</v>
      </c>
      <c r="C624" s="262">
        <f>Alukset_Käynnit!C631</f>
        <v>0</v>
      </c>
      <c r="D624" s="266">
        <f>Alukset_Käynnit!D631</f>
        <v>0</v>
      </c>
      <c r="E624" s="262">
        <f>Alukset_Käynnit!E631</f>
        <v>0</v>
      </c>
      <c r="F624" s="262">
        <f>Alukset_Käynnit!F631</f>
        <v>0</v>
      </c>
      <c r="G624" s="262">
        <f>Alukset_Käynnit!G631</f>
        <v>0</v>
      </c>
      <c r="H624" s="262">
        <f>Alukset_Käynnit!H631</f>
        <v>0</v>
      </c>
      <c r="I624" s="262">
        <f>Alukset_Käynnit!I631</f>
        <v>0</v>
      </c>
      <c r="J624" s="262">
        <f>Alukset_Käynnit!J631</f>
        <v>0</v>
      </c>
      <c r="K624" s="262">
        <f>Alukset_Käynnit!K631</f>
        <v>0</v>
      </c>
      <c r="L624" s="205">
        <f>Alukset_Käynnit!L631</f>
        <v>0</v>
      </c>
      <c r="N624" s="273">
        <f t="shared" si="123"/>
        <v>0</v>
      </c>
      <c r="O624" s="274">
        <f t="shared" si="124"/>
        <v>0</v>
      </c>
      <c r="Q624" s="204">
        <f t="shared" si="113"/>
        <v>0</v>
      </c>
      <c r="R624" s="202">
        <f>IF(Q624="Other dry cargo",L624*Alukset_fx!$B$71,IF(OR(Q624="Dry bulk",Q624="Bulk carrier"),L624*Alukset_fx!$B$69,IF(Q624="Tugboat",L624*Alukset_fx!$B$76,IF(OR(Q624="Tanker",Q624="Gas tanker",Q624="Chemical tanker",Q624="Oil tanker"),L624*Alukset_fx!$B$68,IF(OR(Q624="RoRo",Q624="Vehicle carrier"),L624*Alukset_fx!$B$72,IF(Q624="RoPax",L624*Alukset_fx!$B$73,IF(Q624="Container ship",L624*Alukset_fx!$B$70,IF(Q624="Barge",0,L624*Alukset_fx!$B$75))))))))</f>
        <v>0</v>
      </c>
      <c r="S624" s="210">
        <f>IF(L624=0,IF(Q624="Other dry cargo",Alukset_fx!$H$73*(Alukset_Käynnit_Lask!K624^Alukset_fx!$I$73),IF(OR(Q624="Dry Bulk",Q624="Bulk carrier"),Alukset_fx!$H$71*(Alukset_Käynnit_Lask!K624^Alukset_fx!$I$71),IF(Q624="Tugboat",Alukset_fx!$H$78*(Alukset_Käynnit_Lask!K624^Alukset_fx!$I$78),IF(OR(Q624="Tanker",Q624="Gas tanker",Q624="Chemical tanker",Q624="Oil tanker"),Alukset_fx!$H$70*(Alukset_Käynnit_Lask!K624^Alukset_fx!$I$70),IF(Q624="Container ship",Alukset_fx!$H$72*(Alukset_Käynnit_Lask!K624^Alukset_fx!$I$72),IF(Q624="Barge",0,IF(Q624="RoPax",Alukset_fx!$H$75*(Alukset_Käynnit_Lask!K624^Alukset_fx!$I$75),IF(OR(Q624="RoRo",Q624="Vehicle carrier"),Alukset_fx!$H$74*(Alukset_Käynnit_Lask!K624^Alukset_fx!$I$74),Alukset_fx!$H$77*(Alukset_Käynnit_Lask!K624^Alukset_fx!$I$77))))))))),"-")</f>
        <v>0</v>
      </c>
      <c r="T624" s="208">
        <f>IF(R624=0,IF(Q624="Other dry cargo",S624*Alukset_fx!$B$71,IF(OR(Q624="Dry bulk",Q624="Bulk carrier"),S624*Alukset_fx!$B$69,IF(Q624="Tugboat",S624*Alukset_fx!$B$76,IF(OR(Q624="Tanker",Q624="Gas tanker",Q624="Chemical tanker",Q624="Oil tanker"),S624*Alukset_fx!$B$68,IF(OR(Q624="RoRo",Q624="Vehicle carrier"),S624*Alukset_fx!$B$72,IF(Q624="RoPax",S624*Alukset_fx!$B$73,IF(Q624="Container ship",S624*Alukset_fx!$B$70,S624*Alukset_fx!$B$75))))))),"-")</f>
        <v>0</v>
      </c>
      <c r="U624" s="208">
        <f t="shared" si="114"/>
        <v>0</v>
      </c>
      <c r="V624" s="208">
        <f t="shared" si="115"/>
        <v>0</v>
      </c>
      <c r="W624" s="202">
        <f>Alukset_Käynnit!N631</f>
        <v>0</v>
      </c>
      <c r="X624" s="211">
        <f>IF(Q624="Other dry cargo", Alukset_fx!$C$52, IF(OR(Q624="Dry bulk",Q624="Bulk carrier"),Alukset_fx!$C$35,IF(OR(Q624="Tanker",Q624="Gas tanker",Q624="Oil tanker"),Alukset_fx!$C$57,IF(Q624="Chemical tanker",Alukset_fx!$C$56,IF(OR(Q624="Tugboat",Q624="Barge"),0,IF(Q624="Other vessel",Alukset_fx!$C$54,IF(Q624="Container ship",Alukset_fx!$C$37,IF(OR(Q624="RoPax",Q624="RoRo",Q624="Vehicle carrier"),Alukset_fx!$C$55,0))))))))</f>
        <v>0</v>
      </c>
      <c r="Y624" s="211">
        <f>IF(Q624="Other dry cargo", Alukset_fx!$Q$52, IF(OR(Q624="Dry bulk",Q624="Bulk carrier"),Alukset_fx!$Q$35,IF(OR(Q624="Tanker",Q624="Gas tanker",Q624="Oil tanker"),Alukset_fx!$Q$57,IF(Q624="Chemical tanker",Alukset_fx!$Q$56,IF(OR(Q624="Tugboat",Q624="Barge"),0,IF(Q624="Other vessel",Alukset_fx!$Q$54,IF(Q624="Container ship",Alukset_fx!$Q$37,IF(OR(Q624="RoPax",Q624="RoRo",Q624="Vehicle carrier"),Alukset_fx!$Q$55,0))))))))</f>
        <v>0</v>
      </c>
      <c r="Z624" t="str">
        <f t="shared" si="116"/>
        <v>MDO/MGO</v>
      </c>
      <c r="AA624" t="str">
        <f t="shared" si="117"/>
        <v>MSD</v>
      </c>
      <c r="AB624" t="str">
        <f t="shared" si="118"/>
        <v>MDO/MGO</v>
      </c>
      <c r="AC624" t="str">
        <f t="shared" si="119"/>
        <v>MSD</v>
      </c>
      <c r="AD624" t="str">
        <f t="shared" si="120"/>
        <v>MDO/MGO</v>
      </c>
      <c r="AE624" t="str">
        <f t="shared" si="121"/>
        <v>ST</v>
      </c>
      <c r="AG624">
        <f>Alukset_Käynnit!O631</f>
        <v>0</v>
      </c>
      <c r="AH624" s="207">
        <f>IF(AA624="SSD",((U624*Alukset_fx!$B$24)*Alukset_Käynnit_Lask!W624*(Alukset_fx!$K$49)/1000),IF(AA624="MSD",((U624*Alukset_fx!$B$24)*Alukset_Käynnit_Lask!W624*(Alukset_fx!$K$52)/1000),IF(AA624="HSD",((U624*Alukset_fx!$B$24)*Alukset_Käynnit_Lask!W624*(Alukset_fx!$K$55)/1000),0)))</f>
        <v>0</v>
      </c>
      <c r="AI624" s="207">
        <f>IF(AC624="MSD",((V624*Alukset_fx!$B$25)*Alukset_Käynnit_Lask!W624*(Alukset_fx!$L$52)/1000),IF(AC624="HSD",((V624*Alukset_fx!$B$25)*Alukset_Käynnit_Lask!W624*(Alukset_fx!$L$55)/1000),0))</f>
        <v>0</v>
      </c>
      <c r="AJ624" s="207">
        <f>X624*W624*Alukset_fx!$K$61/1000</f>
        <v>0</v>
      </c>
      <c r="AK624">
        <v>0</v>
      </c>
      <c r="AL624" s="207">
        <f>IF(AG624="Käytetty",0,IF(AC624="MSD",((V624*Alukset_fx!$O$25)*Alukset_Käynnit_Lask!O624*(Alukset_fx!$L$52)/1000),IF(AC624="HSD",((V624*Alukset_fx!$O$25)*Alukset_Käynnit_Lask!O624*(Alukset_fx!$L$55)/1000),0)))</f>
        <v>0</v>
      </c>
      <c r="AM624" s="207">
        <f>IF(AG624="Käytetty",0,Y624*O624*Alukset_fx!$K$61/1000)</f>
        <v>0</v>
      </c>
      <c r="AN624" s="213">
        <f t="shared" si="122"/>
        <v>0</v>
      </c>
    </row>
    <row r="625" spans="1:40" x14ac:dyDescent="0.25">
      <c r="A625" s="203">
        <f>Alukset_Käynnit!A632</f>
        <v>0</v>
      </c>
      <c r="B625" s="203">
        <f>Alukset_Käynnit!B632</f>
        <v>0</v>
      </c>
      <c r="C625" s="262">
        <f>Alukset_Käynnit!C632</f>
        <v>0</v>
      </c>
      <c r="D625" s="266">
        <f>Alukset_Käynnit!D632</f>
        <v>0</v>
      </c>
      <c r="E625" s="262">
        <f>Alukset_Käynnit!E632</f>
        <v>0</v>
      </c>
      <c r="F625" s="262">
        <f>Alukset_Käynnit!F632</f>
        <v>0</v>
      </c>
      <c r="G625" s="262">
        <f>Alukset_Käynnit!G632</f>
        <v>0</v>
      </c>
      <c r="H625" s="262">
        <f>Alukset_Käynnit!H632</f>
        <v>0</v>
      </c>
      <c r="I625" s="262">
        <f>Alukset_Käynnit!I632</f>
        <v>0</v>
      </c>
      <c r="J625" s="262">
        <f>Alukset_Käynnit!J632</f>
        <v>0</v>
      </c>
      <c r="K625" s="262">
        <f>Alukset_Käynnit!K632</f>
        <v>0</v>
      </c>
      <c r="L625" s="205">
        <f>Alukset_Käynnit!L632</f>
        <v>0</v>
      </c>
      <c r="N625" s="273">
        <f t="shared" si="123"/>
        <v>0</v>
      </c>
      <c r="O625" s="274">
        <f t="shared" si="124"/>
        <v>0</v>
      </c>
      <c r="Q625" s="204">
        <f t="shared" si="113"/>
        <v>0</v>
      </c>
      <c r="R625" s="202">
        <f>IF(Q625="Other dry cargo",L625*Alukset_fx!$B$71,IF(OR(Q625="Dry bulk",Q625="Bulk carrier"),L625*Alukset_fx!$B$69,IF(Q625="Tugboat",L625*Alukset_fx!$B$76,IF(OR(Q625="Tanker",Q625="Gas tanker",Q625="Chemical tanker",Q625="Oil tanker"),L625*Alukset_fx!$B$68,IF(OR(Q625="RoRo",Q625="Vehicle carrier"),L625*Alukset_fx!$B$72,IF(Q625="RoPax",L625*Alukset_fx!$B$73,IF(Q625="Container ship",L625*Alukset_fx!$B$70,IF(Q625="Barge",0,L625*Alukset_fx!$B$75))))))))</f>
        <v>0</v>
      </c>
      <c r="S625" s="210">
        <f>IF(L625=0,IF(Q625="Other dry cargo",Alukset_fx!$H$73*(Alukset_Käynnit_Lask!K625^Alukset_fx!$I$73),IF(OR(Q625="Dry Bulk",Q625="Bulk carrier"),Alukset_fx!$H$71*(Alukset_Käynnit_Lask!K625^Alukset_fx!$I$71),IF(Q625="Tugboat",Alukset_fx!$H$78*(Alukset_Käynnit_Lask!K625^Alukset_fx!$I$78),IF(OR(Q625="Tanker",Q625="Gas tanker",Q625="Chemical tanker",Q625="Oil tanker"),Alukset_fx!$H$70*(Alukset_Käynnit_Lask!K625^Alukset_fx!$I$70),IF(Q625="Container ship",Alukset_fx!$H$72*(Alukset_Käynnit_Lask!K625^Alukset_fx!$I$72),IF(Q625="Barge",0,IF(Q625="RoPax",Alukset_fx!$H$75*(Alukset_Käynnit_Lask!K625^Alukset_fx!$I$75),IF(OR(Q625="RoRo",Q625="Vehicle carrier"),Alukset_fx!$H$74*(Alukset_Käynnit_Lask!K625^Alukset_fx!$I$74),Alukset_fx!$H$77*(Alukset_Käynnit_Lask!K625^Alukset_fx!$I$77))))))))),"-")</f>
        <v>0</v>
      </c>
      <c r="T625" s="208">
        <f>IF(R625=0,IF(Q625="Other dry cargo",S625*Alukset_fx!$B$71,IF(OR(Q625="Dry bulk",Q625="Bulk carrier"),S625*Alukset_fx!$B$69,IF(Q625="Tugboat",S625*Alukset_fx!$B$76,IF(OR(Q625="Tanker",Q625="Gas tanker",Q625="Chemical tanker",Q625="Oil tanker"),S625*Alukset_fx!$B$68,IF(OR(Q625="RoRo",Q625="Vehicle carrier"),S625*Alukset_fx!$B$72,IF(Q625="RoPax",S625*Alukset_fx!$B$73,IF(Q625="Container ship",S625*Alukset_fx!$B$70,S625*Alukset_fx!$B$75))))))),"-")</f>
        <v>0</v>
      </c>
      <c r="U625" s="208">
        <f t="shared" si="114"/>
        <v>0</v>
      </c>
      <c r="V625" s="208">
        <f t="shared" si="115"/>
        <v>0</v>
      </c>
      <c r="W625" s="202">
        <f>Alukset_Käynnit!N632</f>
        <v>0</v>
      </c>
      <c r="X625" s="211">
        <f>IF(Q625="Other dry cargo", Alukset_fx!$C$52, IF(OR(Q625="Dry bulk",Q625="Bulk carrier"),Alukset_fx!$C$35,IF(OR(Q625="Tanker",Q625="Gas tanker",Q625="Oil tanker"),Alukset_fx!$C$57,IF(Q625="Chemical tanker",Alukset_fx!$C$56,IF(OR(Q625="Tugboat",Q625="Barge"),0,IF(Q625="Other vessel",Alukset_fx!$C$54,IF(Q625="Container ship",Alukset_fx!$C$37,IF(OR(Q625="RoPax",Q625="RoRo",Q625="Vehicle carrier"),Alukset_fx!$C$55,0))))))))</f>
        <v>0</v>
      </c>
      <c r="Y625" s="211">
        <f>IF(Q625="Other dry cargo", Alukset_fx!$Q$52, IF(OR(Q625="Dry bulk",Q625="Bulk carrier"),Alukset_fx!$Q$35,IF(OR(Q625="Tanker",Q625="Gas tanker",Q625="Oil tanker"),Alukset_fx!$Q$57,IF(Q625="Chemical tanker",Alukset_fx!$Q$56,IF(OR(Q625="Tugboat",Q625="Barge"),0,IF(Q625="Other vessel",Alukset_fx!$Q$54,IF(Q625="Container ship",Alukset_fx!$Q$37,IF(OR(Q625="RoPax",Q625="RoRo",Q625="Vehicle carrier"),Alukset_fx!$Q$55,0))))))))</f>
        <v>0</v>
      </c>
      <c r="Z625" t="str">
        <f t="shared" si="116"/>
        <v>MDO/MGO</v>
      </c>
      <c r="AA625" t="str">
        <f t="shared" si="117"/>
        <v>MSD</v>
      </c>
      <c r="AB625" t="str">
        <f t="shared" si="118"/>
        <v>MDO/MGO</v>
      </c>
      <c r="AC625" t="str">
        <f t="shared" si="119"/>
        <v>MSD</v>
      </c>
      <c r="AD625" t="str">
        <f t="shared" si="120"/>
        <v>MDO/MGO</v>
      </c>
      <c r="AE625" t="str">
        <f t="shared" si="121"/>
        <v>ST</v>
      </c>
      <c r="AG625">
        <f>Alukset_Käynnit!O632</f>
        <v>0</v>
      </c>
      <c r="AH625" s="207">
        <f>IF(AA625="SSD",((U625*Alukset_fx!$B$24)*Alukset_Käynnit_Lask!W625*(Alukset_fx!$K$49)/1000),IF(AA625="MSD",((U625*Alukset_fx!$B$24)*Alukset_Käynnit_Lask!W625*(Alukset_fx!$K$52)/1000),IF(AA625="HSD",((U625*Alukset_fx!$B$24)*Alukset_Käynnit_Lask!W625*(Alukset_fx!$K$55)/1000),0)))</f>
        <v>0</v>
      </c>
      <c r="AI625" s="207">
        <f>IF(AC625="MSD",((V625*Alukset_fx!$B$25)*Alukset_Käynnit_Lask!W625*(Alukset_fx!$L$52)/1000),IF(AC625="HSD",((V625*Alukset_fx!$B$25)*Alukset_Käynnit_Lask!W625*(Alukset_fx!$L$55)/1000),0))</f>
        <v>0</v>
      </c>
      <c r="AJ625" s="207">
        <f>X625*W625*Alukset_fx!$K$61/1000</f>
        <v>0</v>
      </c>
      <c r="AK625">
        <v>0</v>
      </c>
      <c r="AL625" s="207">
        <f>IF(AG625="Käytetty",0,IF(AC625="MSD",((V625*Alukset_fx!$O$25)*Alukset_Käynnit_Lask!O625*(Alukset_fx!$L$52)/1000),IF(AC625="HSD",((V625*Alukset_fx!$O$25)*Alukset_Käynnit_Lask!O625*(Alukset_fx!$L$55)/1000),0)))</f>
        <v>0</v>
      </c>
      <c r="AM625" s="207">
        <f>IF(AG625="Käytetty",0,Y625*O625*Alukset_fx!$K$61/1000)</f>
        <v>0</v>
      </c>
      <c r="AN625" s="213">
        <f t="shared" si="122"/>
        <v>0</v>
      </c>
    </row>
    <row r="626" spans="1:40" x14ac:dyDescent="0.25">
      <c r="A626" s="203">
        <f>Alukset_Käynnit!A633</f>
        <v>0</v>
      </c>
      <c r="B626" s="203">
        <f>Alukset_Käynnit!B633</f>
        <v>0</v>
      </c>
      <c r="C626" s="262">
        <f>Alukset_Käynnit!C633</f>
        <v>0</v>
      </c>
      <c r="D626" s="266">
        <f>Alukset_Käynnit!D633</f>
        <v>0</v>
      </c>
      <c r="E626" s="262">
        <f>Alukset_Käynnit!E633</f>
        <v>0</v>
      </c>
      <c r="F626" s="262">
        <f>Alukset_Käynnit!F633</f>
        <v>0</v>
      </c>
      <c r="G626" s="262">
        <f>Alukset_Käynnit!G633</f>
        <v>0</v>
      </c>
      <c r="H626" s="262">
        <f>Alukset_Käynnit!H633</f>
        <v>0</v>
      </c>
      <c r="I626" s="262">
        <f>Alukset_Käynnit!I633</f>
        <v>0</v>
      </c>
      <c r="J626" s="262">
        <f>Alukset_Käynnit!J633</f>
        <v>0</v>
      </c>
      <c r="K626" s="262">
        <f>Alukset_Käynnit!K633</f>
        <v>0</v>
      </c>
      <c r="L626" s="205">
        <f>Alukset_Käynnit!L633</f>
        <v>0</v>
      </c>
      <c r="N626" s="273">
        <f t="shared" si="123"/>
        <v>0</v>
      </c>
      <c r="O626" s="274">
        <f t="shared" si="124"/>
        <v>0</v>
      </c>
      <c r="Q626" s="204">
        <f t="shared" si="113"/>
        <v>0</v>
      </c>
      <c r="R626" s="202">
        <f>IF(Q626="Other dry cargo",L626*Alukset_fx!$B$71,IF(OR(Q626="Dry bulk",Q626="Bulk carrier"),L626*Alukset_fx!$B$69,IF(Q626="Tugboat",L626*Alukset_fx!$B$76,IF(OR(Q626="Tanker",Q626="Gas tanker",Q626="Chemical tanker",Q626="Oil tanker"),L626*Alukset_fx!$B$68,IF(OR(Q626="RoRo",Q626="Vehicle carrier"),L626*Alukset_fx!$B$72,IF(Q626="RoPax",L626*Alukset_fx!$B$73,IF(Q626="Container ship",L626*Alukset_fx!$B$70,IF(Q626="Barge",0,L626*Alukset_fx!$B$75))))))))</f>
        <v>0</v>
      </c>
      <c r="S626" s="210">
        <f>IF(L626=0,IF(Q626="Other dry cargo",Alukset_fx!$H$73*(Alukset_Käynnit_Lask!K626^Alukset_fx!$I$73),IF(OR(Q626="Dry Bulk",Q626="Bulk carrier"),Alukset_fx!$H$71*(Alukset_Käynnit_Lask!K626^Alukset_fx!$I$71),IF(Q626="Tugboat",Alukset_fx!$H$78*(Alukset_Käynnit_Lask!K626^Alukset_fx!$I$78),IF(OR(Q626="Tanker",Q626="Gas tanker",Q626="Chemical tanker",Q626="Oil tanker"),Alukset_fx!$H$70*(Alukset_Käynnit_Lask!K626^Alukset_fx!$I$70),IF(Q626="Container ship",Alukset_fx!$H$72*(Alukset_Käynnit_Lask!K626^Alukset_fx!$I$72),IF(Q626="Barge",0,IF(Q626="RoPax",Alukset_fx!$H$75*(Alukset_Käynnit_Lask!K626^Alukset_fx!$I$75),IF(OR(Q626="RoRo",Q626="Vehicle carrier"),Alukset_fx!$H$74*(Alukset_Käynnit_Lask!K626^Alukset_fx!$I$74),Alukset_fx!$H$77*(Alukset_Käynnit_Lask!K626^Alukset_fx!$I$77))))))))),"-")</f>
        <v>0</v>
      </c>
      <c r="T626" s="208">
        <f>IF(R626=0,IF(Q626="Other dry cargo",S626*Alukset_fx!$B$71,IF(OR(Q626="Dry bulk",Q626="Bulk carrier"),S626*Alukset_fx!$B$69,IF(Q626="Tugboat",S626*Alukset_fx!$B$76,IF(OR(Q626="Tanker",Q626="Gas tanker",Q626="Chemical tanker",Q626="Oil tanker"),S626*Alukset_fx!$B$68,IF(OR(Q626="RoRo",Q626="Vehicle carrier"),S626*Alukset_fx!$B$72,IF(Q626="RoPax",S626*Alukset_fx!$B$73,IF(Q626="Container ship",S626*Alukset_fx!$B$70,S626*Alukset_fx!$B$75))))))),"-")</f>
        <v>0</v>
      </c>
      <c r="U626" s="208">
        <f t="shared" si="114"/>
        <v>0</v>
      </c>
      <c r="V626" s="208">
        <f t="shared" si="115"/>
        <v>0</v>
      </c>
      <c r="W626" s="202">
        <f>Alukset_Käynnit!N633</f>
        <v>0</v>
      </c>
      <c r="X626" s="211">
        <f>IF(Q626="Other dry cargo", Alukset_fx!$C$52, IF(OR(Q626="Dry bulk",Q626="Bulk carrier"),Alukset_fx!$C$35,IF(OR(Q626="Tanker",Q626="Gas tanker",Q626="Oil tanker"),Alukset_fx!$C$57,IF(Q626="Chemical tanker",Alukset_fx!$C$56,IF(OR(Q626="Tugboat",Q626="Barge"),0,IF(Q626="Other vessel",Alukset_fx!$C$54,IF(Q626="Container ship",Alukset_fx!$C$37,IF(OR(Q626="RoPax",Q626="RoRo",Q626="Vehicle carrier"),Alukset_fx!$C$55,0))))))))</f>
        <v>0</v>
      </c>
      <c r="Y626" s="211">
        <f>IF(Q626="Other dry cargo", Alukset_fx!$Q$52, IF(OR(Q626="Dry bulk",Q626="Bulk carrier"),Alukset_fx!$Q$35,IF(OR(Q626="Tanker",Q626="Gas tanker",Q626="Oil tanker"),Alukset_fx!$Q$57,IF(Q626="Chemical tanker",Alukset_fx!$Q$56,IF(OR(Q626="Tugboat",Q626="Barge"),0,IF(Q626="Other vessel",Alukset_fx!$Q$54,IF(Q626="Container ship",Alukset_fx!$Q$37,IF(OR(Q626="RoPax",Q626="RoRo",Q626="Vehicle carrier"),Alukset_fx!$Q$55,0))))))))</f>
        <v>0</v>
      </c>
      <c r="Z626" t="str">
        <f t="shared" si="116"/>
        <v>MDO/MGO</v>
      </c>
      <c r="AA626" t="str">
        <f t="shared" si="117"/>
        <v>MSD</v>
      </c>
      <c r="AB626" t="str">
        <f t="shared" si="118"/>
        <v>MDO/MGO</v>
      </c>
      <c r="AC626" t="str">
        <f t="shared" si="119"/>
        <v>MSD</v>
      </c>
      <c r="AD626" t="str">
        <f t="shared" si="120"/>
        <v>MDO/MGO</v>
      </c>
      <c r="AE626" t="str">
        <f t="shared" si="121"/>
        <v>ST</v>
      </c>
      <c r="AG626">
        <f>Alukset_Käynnit!O633</f>
        <v>0</v>
      </c>
      <c r="AH626" s="207">
        <f>IF(AA626="SSD",((U626*Alukset_fx!$B$24)*Alukset_Käynnit_Lask!W626*(Alukset_fx!$K$49)/1000),IF(AA626="MSD",((U626*Alukset_fx!$B$24)*Alukset_Käynnit_Lask!W626*(Alukset_fx!$K$52)/1000),IF(AA626="HSD",((U626*Alukset_fx!$B$24)*Alukset_Käynnit_Lask!W626*(Alukset_fx!$K$55)/1000),0)))</f>
        <v>0</v>
      </c>
      <c r="AI626" s="207">
        <f>IF(AC626="MSD",((V626*Alukset_fx!$B$25)*Alukset_Käynnit_Lask!W626*(Alukset_fx!$L$52)/1000),IF(AC626="HSD",((V626*Alukset_fx!$B$25)*Alukset_Käynnit_Lask!W626*(Alukset_fx!$L$55)/1000),0))</f>
        <v>0</v>
      </c>
      <c r="AJ626" s="207">
        <f>X626*W626*Alukset_fx!$K$61/1000</f>
        <v>0</v>
      </c>
      <c r="AK626">
        <v>0</v>
      </c>
      <c r="AL626" s="207">
        <f>IF(AG626="Käytetty",0,IF(AC626="MSD",((V626*Alukset_fx!$O$25)*Alukset_Käynnit_Lask!O626*(Alukset_fx!$L$52)/1000),IF(AC626="HSD",((V626*Alukset_fx!$O$25)*Alukset_Käynnit_Lask!O626*(Alukset_fx!$L$55)/1000),0)))</f>
        <v>0</v>
      </c>
      <c r="AM626" s="207">
        <f>IF(AG626="Käytetty",0,Y626*O626*Alukset_fx!$K$61/1000)</f>
        <v>0</v>
      </c>
      <c r="AN626" s="213">
        <f t="shared" si="122"/>
        <v>0</v>
      </c>
    </row>
    <row r="627" spans="1:40" x14ac:dyDescent="0.25">
      <c r="A627" s="203">
        <f>Alukset_Käynnit!A634</f>
        <v>0</v>
      </c>
      <c r="B627" s="203">
        <f>Alukset_Käynnit!B634</f>
        <v>0</v>
      </c>
      <c r="C627" s="262">
        <f>Alukset_Käynnit!C634</f>
        <v>0</v>
      </c>
      <c r="D627" s="266">
        <f>Alukset_Käynnit!D634</f>
        <v>0</v>
      </c>
      <c r="E627" s="262">
        <f>Alukset_Käynnit!E634</f>
        <v>0</v>
      </c>
      <c r="F627" s="262">
        <f>Alukset_Käynnit!F634</f>
        <v>0</v>
      </c>
      <c r="G627" s="262">
        <f>Alukset_Käynnit!G634</f>
        <v>0</v>
      </c>
      <c r="H627" s="262">
        <f>Alukset_Käynnit!H634</f>
        <v>0</v>
      </c>
      <c r="I627" s="262">
        <f>Alukset_Käynnit!I634</f>
        <v>0</v>
      </c>
      <c r="J627" s="262">
        <f>Alukset_Käynnit!J634</f>
        <v>0</v>
      </c>
      <c r="K627" s="262">
        <f>Alukset_Käynnit!K634</f>
        <v>0</v>
      </c>
      <c r="L627" s="205">
        <f>Alukset_Käynnit!L634</f>
        <v>0</v>
      </c>
      <c r="N627" s="273">
        <f t="shared" si="123"/>
        <v>0</v>
      </c>
      <c r="O627" s="274">
        <f t="shared" si="124"/>
        <v>0</v>
      </c>
      <c r="Q627" s="204">
        <f t="shared" si="113"/>
        <v>0</v>
      </c>
      <c r="R627" s="202">
        <f>IF(Q627="Other dry cargo",L627*Alukset_fx!$B$71,IF(OR(Q627="Dry bulk",Q627="Bulk carrier"),L627*Alukset_fx!$B$69,IF(Q627="Tugboat",L627*Alukset_fx!$B$76,IF(OR(Q627="Tanker",Q627="Gas tanker",Q627="Chemical tanker",Q627="Oil tanker"),L627*Alukset_fx!$B$68,IF(OR(Q627="RoRo",Q627="Vehicle carrier"),L627*Alukset_fx!$B$72,IF(Q627="RoPax",L627*Alukset_fx!$B$73,IF(Q627="Container ship",L627*Alukset_fx!$B$70,IF(Q627="Barge",0,L627*Alukset_fx!$B$75))))))))</f>
        <v>0</v>
      </c>
      <c r="S627" s="210">
        <f>IF(L627=0,IF(Q627="Other dry cargo",Alukset_fx!$H$73*(Alukset_Käynnit_Lask!K627^Alukset_fx!$I$73),IF(OR(Q627="Dry Bulk",Q627="Bulk carrier"),Alukset_fx!$H$71*(Alukset_Käynnit_Lask!K627^Alukset_fx!$I$71),IF(Q627="Tugboat",Alukset_fx!$H$78*(Alukset_Käynnit_Lask!K627^Alukset_fx!$I$78),IF(OR(Q627="Tanker",Q627="Gas tanker",Q627="Chemical tanker",Q627="Oil tanker"),Alukset_fx!$H$70*(Alukset_Käynnit_Lask!K627^Alukset_fx!$I$70),IF(Q627="Container ship",Alukset_fx!$H$72*(Alukset_Käynnit_Lask!K627^Alukset_fx!$I$72),IF(Q627="Barge",0,IF(Q627="RoPax",Alukset_fx!$H$75*(Alukset_Käynnit_Lask!K627^Alukset_fx!$I$75),IF(OR(Q627="RoRo",Q627="Vehicle carrier"),Alukset_fx!$H$74*(Alukset_Käynnit_Lask!K627^Alukset_fx!$I$74),Alukset_fx!$H$77*(Alukset_Käynnit_Lask!K627^Alukset_fx!$I$77))))))))),"-")</f>
        <v>0</v>
      </c>
      <c r="T627" s="208">
        <f>IF(R627=0,IF(Q627="Other dry cargo",S627*Alukset_fx!$B$71,IF(OR(Q627="Dry bulk",Q627="Bulk carrier"),S627*Alukset_fx!$B$69,IF(Q627="Tugboat",S627*Alukset_fx!$B$76,IF(OR(Q627="Tanker",Q627="Gas tanker",Q627="Chemical tanker",Q627="Oil tanker"),S627*Alukset_fx!$B$68,IF(OR(Q627="RoRo",Q627="Vehicle carrier"),S627*Alukset_fx!$B$72,IF(Q627="RoPax",S627*Alukset_fx!$B$73,IF(Q627="Container ship",S627*Alukset_fx!$B$70,S627*Alukset_fx!$B$75))))))),"-")</f>
        <v>0</v>
      </c>
      <c r="U627" s="208">
        <f t="shared" si="114"/>
        <v>0</v>
      </c>
      <c r="V627" s="208">
        <f t="shared" si="115"/>
        <v>0</v>
      </c>
      <c r="W627" s="202">
        <f>Alukset_Käynnit!N634</f>
        <v>0</v>
      </c>
      <c r="X627" s="211">
        <f>IF(Q627="Other dry cargo", Alukset_fx!$C$52, IF(OR(Q627="Dry bulk",Q627="Bulk carrier"),Alukset_fx!$C$35,IF(OR(Q627="Tanker",Q627="Gas tanker",Q627="Oil tanker"),Alukset_fx!$C$57,IF(Q627="Chemical tanker",Alukset_fx!$C$56,IF(OR(Q627="Tugboat",Q627="Barge"),0,IF(Q627="Other vessel",Alukset_fx!$C$54,IF(Q627="Container ship",Alukset_fx!$C$37,IF(OR(Q627="RoPax",Q627="RoRo",Q627="Vehicle carrier"),Alukset_fx!$C$55,0))))))))</f>
        <v>0</v>
      </c>
      <c r="Y627" s="211">
        <f>IF(Q627="Other dry cargo", Alukset_fx!$Q$52, IF(OR(Q627="Dry bulk",Q627="Bulk carrier"),Alukset_fx!$Q$35,IF(OR(Q627="Tanker",Q627="Gas tanker",Q627="Oil tanker"),Alukset_fx!$Q$57,IF(Q627="Chemical tanker",Alukset_fx!$Q$56,IF(OR(Q627="Tugboat",Q627="Barge"),0,IF(Q627="Other vessel",Alukset_fx!$Q$54,IF(Q627="Container ship",Alukset_fx!$Q$37,IF(OR(Q627="RoPax",Q627="RoRo",Q627="Vehicle carrier"),Alukset_fx!$Q$55,0))))))))</f>
        <v>0</v>
      </c>
      <c r="Z627" t="str">
        <f t="shared" si="116"/>
        <v>MDO/MGO</v>
      </c>
      <c r="AA627" t="str">
        <f t="shared" si="117"/>
        <v>MSD</v>
      </c>
      <c r="AB627" t="str">
        <f t="shared" si="118"/>
        <v>MDO/MGO</v>
      </c>
      <c r="AC627" t="str">
        <f t="shared" si="119"/>
        <v>MSD</v>
      </c>
      <c r="AD627" t="str">
        <f t="shared" si="120"/>
        <v>MDO/MGO</v>
      </c>
      <c r="AE627" t="str">
        <f t="shared" si="121"/>
        <v>ST</v>
      </c>
      <c r="AG627">
        <f>Alukset_Käynnit!O634</f>
        <v>0</v>
      </c>
      <c r="AH627" s="207">
        <f>IF(AA627="SSD",((U627*Alukset_fx!$B$24)*Alukset_Käynnit_Lask!W627*(Alukset_fx!$K$49)/1000),IF(AA627="MSD",((U627*Alukset_fx!$B$24)*Alukset_Käynnit_Lask!W627*(Alukset_fx!$K$52)/1000),IF(AA627="HSD",((U627*Alukset_fx!$B$24)*Alukset_Käynnit_Lask!W627*(Alukset_fx!$K$55)/1000),0)))</f>
        <v>0</v>
      </c>
      <c r="AI627" s="207">
        <f>IF(AC627="MSD",((V627*Alukset_fx!$B$25)*Alukset_Käynnit_Lask!W627*(Alukset_fx!$L$52)/1000),IF(AC627="HSD",((V627*Alukset_fx!$B$25)*Alukset_Käynnit_Lask!W627*(Alukset_fx!$L$55)/1000),0))</f>
        <v>0</v>
      </c>
      <c r="AJ627" s="207">
        <f>X627*W627*Alukset_fx!$K$61/1000</f>
        <v>0</v>
      </c>
      <c r="AK627">
        <v>0</v>
      </c>
      <c r="AL627" s="207">
        <f>IF(AG627="Käytetty",0,IF(AC627="MSD",((V627*Alukset_fx!$O$25)*Alukset_Käynnit_Lask!O627*(Alukset_fx!$L$52)/1000),IF(AC627="HSD",((V627*Alukset_fx!$O$25)*Alukset_Käynnit_Lask!O627*(Alukset_fx!$L$55)/1000),0)))</f>
        <v>0</v>
      </c>
      <c r="AM627" s="207">
        <f>IF(AG627="Käytetty",0,Y627*O627*Alukset_fx!$K$61/1000)</f>
        <v>0</v>
      </c>
      <c r="AN627" s="213">
        <f t="shared" si="122"/>
        <v>0</v>
      </c>
    </row>
    <row r="628" spans="1:40" x14ac:dyDescent="0.25">
      <c r="A628" s="203">
        <f>Alukset_Käynnit!A635</f>
        <v>0</v>
      </c>
      <c r="B628" s="203">
        <f>Alukset_Käynnit!B635</f>
        <v>0</v>
      </c>
      <c r="C628" s="262">
        <f>Alukset_Käynnit!C635</f>
        <v>0</v>
      </c>
      <c r="D628" s="266">
        <f>Alukset_Käynnit!D635</f>
        <v>0</v>
      </c>
      <c r="E628" s="262">
        <f>Alukset_Käynnit!E635</f>
        <v>0</v>
      </c>
      <c r="F628" s="262">
        <f>Alukset_Käynnit!F635</f>
        <v>0</v>
      </c>
      <c r="G628" s="262">
        <f>Alukset_Käynnit!G635</f>
        <v>0</v>
      </c>
      <c r="H628" s="262">
        <f>Alukset_Käynnit!H635</f>
        <v>0</v>
      </c>
      <c r="I628" s="262">
        <f>Alukset_Käynnit!I635</f>
        <v>0</v>
      </c>
      <c r="J628" s="262">
        <f>Alukset_Käynnit!J635</f>
        <v>0</v>
      </c>
      <c r="K628" s="262">
        <f>Alukset_Käynnit!K635</f>
        <v>0</v>
      </c>
      <c r="L628" s="205">
        <f>Alukset_Käynnit!L635</f>
        <v>0</v>
      </c>
      <c r="N628" s="273">
        <f t="shared" si="123"/>
        <v>0</v>
      </c>
      <c r="O628" s="274">
        <f t="shared" si="124"/>
        <v>0</v>
      </c>
      <c r="Q628" s="204">
        <f t="shared" si="113"/>
        <v>0</v>
      </c>
      <c r="R628" s="202">
        <f>IF(Q628="Other dry cargo",L628*Alukset_fx!$B$71,IF(OR(Q628="Dry bulk",Q628="Bulk carrier"),L628*Alukset_fx!$B$69,IF(Q628="Tugboat",L628*Alukset_fx!$B$76,IF(OR(Q628="Tanker",Q628="Gas tanker",Q628="Chemical tanker",Q628="Oil tanker"),L628*Alukset_fx!$B$68,IF(OR(Q628="RoRo",Q628="Vehicle carrier"),L628*Alukset_fx!$B$72,IF(Q628="RoPax",L628*Alukset_fx!$B$73,IF(Q628="Container ship",L628*Alukset_fx!$B$70,IF(Q628="Barge",0,L628*Alukset_fx!$B$75))))))))</f>
        <v>0</v>
      </c>
      <c r="S628" s="210">
        <f>IF(L628=0,IF(Q628="Other dry cargo",Alukset_fx!$H$73*(Alukset_Käynnit_Lask!K628^Alukset_fx!$I$73),IF(OR(Q628="Dry Bulk",Q628="Bulk carrier"),Alukset_fx!$H$71*(Alukset_Käynnit_Lask!K628^Alukset_fx!$I$71),IF(Q628="Tugboat",Alukset_fx!$H$78*(Alukset_Käynnit_Lask!K628^Alukset_fx!$I$78),IF(OR(Q628="Tanker",Q628="Gas tanker",Q628="Chemical tanker",Q628="Oil tanker"),Alukset_fx!$H$70*(Alukset_Käynnit_Lask!K628^Alukset_fx!$I$70),IF(Q628="Container ship",Alukset_fx!$H$72*(Alukset_Käynnit_Lask!K628^Alukset_fx!$I$72),IF(Q628="Barge",0,IF(Q628="RoPax",Alukset_fx!$H$75*(Alukset_Käynnit_Lask!K628^Alukset_fx!$I$75),IF(OR(Q628="RoRo",Q628="Vehicle carrier"),Alukset_fx!$H$74*(Alukset_Käynnit_Lask!K628^Alukset_fx!$I$74),Alukset_fx!$H$77*(Alukset_Käynnit_Lask!K628^Alukset_fx!$I$77))))))))),"-")</f>
        <v>0</v>
      </c>
      <c r="T628" s="208">
        <f>IF(R628=0,IF(Q628="Other dry cargo",S628*Alukset_fx!$B$71,IF(OR(Q628="Dry bulk",Q628="Bulk carrier"),S628*Alukset_fx!$B$69,IF(Q628="Tugboat",S628*Alukset_fx!$B$76,IF(OR(Q628="Tanker",Q628="Gas tanker",Q628="Chemical tanker",Q628="Oil tanker"),S628*Alukset_fx!$B$68,IF(OR(Q628="RoRo",Q628="Vehicle carrier"),S628*Alukset_fx!$B$72,IF(Q628="RoPax",S628*Alukset_fx!$B$73,IF(Q628="Container ship",S628*Alukset_fx!$B$70,S628*Alukset_fx!$B$75))))))),"-")</f>
        <v>0</v>
      </c>
      <c r="U628" s="208">
        <f t="shared" si="114"/>
        <v>0</v>
      </c>
      <c r="V628" s="208">
        <f t="shared" si="115"/>
        <v>0</v>
      </c>
      <c r="W628" s="202">
        <f>Alukset_Käynnit!N635</f>
        <v>0</v>
      </c>
      <c r="X628" s="211">
        <f>IF(Q628="Other dry cargo", Alukset_fx!$C$52, IF(OR(Q628="Dry bulk",Q628="Bulk carrier"),Alukset_fx!$C$35,IF(OR(Q628="Tanker",Q628="Gas tanker",Q628="Oil tanker"),Alukset_fx!$C$57,IF(Q628="Chemical tanker",Alukset_fx!$C$56,IF(OR(Q628="Tugboat",Q628="Barge"),0,IF(Q628="Other vessel",Alukset_fx!$C$54,IF(Q628="Container ship",Alukset_fx!$C$37,IF(OR(Q628="RoPax",Q628="RoRo",Q628="Vehicle carrier"),Alukset_fx!$C$55,0))))))))</f>
        <v>0</v>
      </c>
      <c r="Y628" s="211">
        <f>IF(Q628="Other dry cargo", Alukset_fx!$Q$52, IF(OR(Q628="Dry bulk",Q628="Bulk carrier"),Alukset_fx!$Q$35,IF(OR(Q628="Tanker",Q628="Gas tanker",Q628="Oil tanker"),Alukset_fx!$Q$57,IF(Q628="Chemical tanker",Alukset_fx!$Q$56,IF(OR(Q628="Tugboat",Q628="Barge"),0,IF(Q628="Other vessel",Alukset_fx!$Q$54,IF(Q628="Container ship",Alukset_fx!$Q$37,IF(OR(Q628="RoPax",Q628="RoRo",Q628="Vehicle carrier"),Alukset_fx!$Q$55,0))))))))</f>
        <v>0</v>
      </c>
      <c r="Z628" t="str">
        <f t="shared" si="116"/>
        <v>MDO/MGO</v>
      </c>
      <c r="AA628" t="str">
        <f t="shared" si="117"/>
        <v>MSD</v>
      </c>
      <c r="AB628" t="str">
        <f t="shared" si="118"/>
        <v>MDO/MGO</v>
      </c>
      <c r="AC628" t="str">
        <f t="shared" si="119"/>
        <v>MSD</v>
      </c>
      <c r="AD628" t="str">
        <f t="shared" si="120"/>
        <v>MDO/MGO</v>
      </c>
      <c r="AE628" t="str">
        <f t="shared" si="121"/>
        <v>ST</v>
      </c>
      <c r="AG628">
        <f>Alukset_Käynnit!O635</f>
        <v>0</v>
      </c>
      <c r="AH628" s="207">
        <f>IF(AA628="SSD",((U628*Alukset_fx!$B$24)*Alukset_Käynnit_Lask!W628*(Alukset_fx!$K$49)/1000),IF(AA628="MSD",((U628*Alukset_fx!$B$24)*Alukset_Käynnit_Lask!W628*(Alukset_fx!$K$52)/1000),IF(AA628="HSD",((U628*Alukset_fx!$B$24)*Alukset_Käynnit_Lask!W628*(Alukset_fx!$K$55)/1000),0)))</f>
        <v>0</v>
      </c>
      <c r="AI628" s="207">
        <f>IF(AC628="MSD",((V628*Alukset_fx!$B$25)*Alukset_Käynnit_Lask!W628*(Alukset_fx!$L$52)/1000),IF(AC628="HSD",((V628*Alukset_fx!$B$25)*Alukset_Käynnit_Lask!W628*(Alukset_fx!$L$55)/1000),0))</f>
        <v>0</v>
      </c>
      <c r="AJ628" s="207">
        <f>X628*W628*Alukset_fx!$K$61/1000</f>
        <v>0</v>
      </c>
      <c r="AK628">
        <v>0</v>
      </c>
      <c r="AL628" s="207">
        <f>IF(AG628="Käytetty",0,IF(AC628="MSD",((V628*Alukset_fx!$O$25)*Alukset_Käynnit_Lask!O628*(Alukset_fx!$L$52)/1000),IF(AC628="HSD",((V628*Alukset_fx!$O$25)*Alukset_Käynnit_Lask!O628*(Alukset_fx!$L$55)/1000),0)))</f>
        <v>0</v>
      </c>
      <c r="AM628" s="207">
        <f>IF(AG628="Käytetty",0,Y628*O628*Alukset_fx!$K$61/1000)</f>
        <v>0</v>
      </c>
      <c r="AN628" s="213">
        <f t="shared" si="122"/>
        <v>0</v>
      </c>
    </row>
    <row r="629" spans="1:40" x14ac:dyDescent="0.25">
      <c r="A629" s="203">
        <f>Alukset_Käynnit!A636</f>
        <v>0</v>
      </c>
      <c r="B629" s="203">
        <f>Alukset_Käynnit!B636</f>
        <v>0</v>
      </c>
      <c r="C629" s="262">
        <f>Alukset_Käynnit!C636</f>
        <v>0</v>
      </c>
      <c r="D629" s="266">
        <f>Alukset_Käynnit!D636</f>
        <v>0</v>
      </c>
      <c r="E629" s="262">
        <f>Alukset_Käynnit!E636</f>
        <v>0</v>
      </c>
      <c r="F629" s="262">
        <f>Alukset_Käynnit!F636</f>
        <v>0</v>
      </c>
      <c r="G629" s="262">
        <f>Alukset_Käynnit!G636</f>
        <v>0</v>
      </c>
      <c r="H629" s="262">
        <f>Alukset_Käynnit!H636</f>
        <v>0</v>
      </c>
      <c r="I629" s="262">
        <f>Alukset_Käynnit!I636</f>
        <v>0</v>
      </c>
      <c r="J629" s="262">
        <f>Alukset_Käynnit!J636</f>
        <v>0</v>
      </c>
      <c r="K629" s="262">
        <f>Alukset_Käynnit!K636</f>
        <v>0</v>
      </c>
      <c r="L629" s="205">
        <f>Alukset_Käynnit!L636</f>
        <v>0</v>
      </c>
      <c r="N629" s="273">
        <f t="shared" si="123"/>
        <v>0</v>
      </c>
      <c r="O629" s="274">
        <f t="shared" si="124"/>
        <v>0</v>
      </c>
      <c r="Q629" s="204">
        <f t="shared" si="113"/>
        <v>0</v>
      </c>
      <c r="R629" s="202">
        <f>IF(Q629="Other dry cargo",L629*Alukset_fx!$B$71,IF(OR(Q629="Dry bulk",Q629="Bulk carrier"),L629*Alukset_fx!$B$69,IF(Q629="Tugboat",L629*Alukset_fx!$B$76,IF(OR(Q629="Tanker",Q629="Gas tanker",Q629="Chemical tanker",Q629="Oil tanker"),L629*Alukset_fx!$B$68,IF(OR(Q629="RoRo",Q629="Vehicle carrier"),L629*Alukset_fx!$B$72,IF(Q629="RoPax",L629*Alukset_fx!$B$73,IF(Q629="Container ship",L629*Alukset_fx!$B$70,IF(Q629="Barge",0,L629*Alukset_fx!$B$75))))))))</f>
        <v>0</v>
      </c>
      <c r="S629" s="210">
        <f>IF(L629=0,IF(Q629="Other dry cargo",Alukset_fx!$H$73*(Alukset_Käynnit_Lask!K629^Alukset_fx!$I$73),IF(OR(Q629="Dry Bulk",Q629="Bulk carrier"),Alukset_fx!$H$71*(Alukset_Käynnit_Lask!K629^Alukset_fx!$I$71),IF(Q629="Tugboat",Alukset_fx!$H$78*(Alukset_Käynnit_Lask!K629^Alukset_fx!$I$78),IF(OR(Q629="Tanker",Q629="Gas tanker",Q629="Chemical tanker",Q629="Oil tanker"),Alukset_fx!$H$70*(Alukset_Käynnit_Lask!K629^Alukset_fx!$I$70),IF(Q629="Container ship",Alukset_fx!$H$72*(Alukset_Käynnit_Lask!K629^Alukset_fx!$I$72),IF(Q629="Barge",0,IF(Q629="RoPax",Alukset_fx!$H$75*(Alukset_Käynnit_Lask!K629^Alukset_fx!$I$75),IF(OR(Q629="RoRo",Q629="Vehicle carrier"),Alukset_fx!$H$74*(Alukset_Käynnit_Lask!K629^Alukset_fx!$I$74),Alukset_fx!$H$77*(Alukset_Käynnit_Lask!K629^Alukset_fx!$I$77))))))))),"-")</f>
        <v>0</v>
      </c>
      <c r="T629" s="208">
        <f>IF(R629=0,IF(Q629="Other dry cargo",S629*Alukset_fx!$B$71,IF(OR(Q629="Dry bulk",Q629="Bulk carrier"),S629*Alukset_fx!$B$69,IF(Q629="Tugboat",S629*Alukset_fx!$B$76,IF(OR(Q629="Tanker",Q629="Gas tanker",Q629="Chemical tanker",Q629="Oil tanker"),S629*Alukset_fx!$B$68,IF(OR(Q629="RoRo",Q629="Vehicle carrier"),S629*Alukset_fx!$B$72,IF(Q629="RoPax",S629*Alukset_fx!$B$73,IF(Q629="Container ship",S629*Alukset_fx!$B$70,S629*Alukset_fx!$B$75))))))),"-")</f>
        <v>0</v>
      </c>
      <c r="U629" s="208">
        <f t="shared" si="114"/>
        <v>0</v>
      </c>
      <c r="V629" s="208">
        <f t="shared" si="115"/>
        <v>0</v>
      </c>
      <c r="W629" s="202">
        <f>Alukset_Käynnit!N636</f>
        <v>0</v>
      </c>
      <c r="X629" s="211">
        <f>IF(Q629="Other dry cargo", Alukset_fx!$C$52, IF(OR(Q629="Dry bulk",Q629="Bulk carrier"),Alukset_fx!$C$35,IF(OR(Q629="Tanker",Q629="Gas tanker",Q629="Oil tanker"),Alukset_fx!$C$57,IF(Q629="Chemical tanker",Alukset_fx!$C$56,IF(OR(Q629="Tugboat",Q629="Barge"),0,IF(Q629="Other vessel",Alukset_fx!$C$54,IF(Q629="Container ship",Alukset_fx!$C$37,IF(OR(Q629="RoPax",Q629="RoRo",Q629="Vehicle carrier"),Alukset_fx!$C$55,0))))))))</f>
        <v>0</v>
      </c>
      <c r="Y629" s="211">
        <f>IF(Q629="Other dry cargo", Alukset_fx!$Q$52, IF(OR(Q629="Dry bulk",Q629="Bulk carrier"),Alukset_fx!$Q$35,IF(OR(Q629="Tanker",Q629="Gas tanker",Q629="Oil tanker"),Alukset_fx!$Q$57,IF(Q629="Chemical tanker",Alukset_fx!$Q$56,IF(OR(Q629="Tugboat",Q629="Barge"),0,IF(Q629="Other vessel",Alukset_fx!$Q$54,IF(Q629="Container ship",Alukset_fx!$Q$37,IF(OR(Q629="RoPax",Q629="RoRo",Q629="Vehicle carrier"),Alukset_fx!$Q$55,0))))))))</f>
        <v>0</v>
      </c>
      <c r="Z629" t="str">
        <f t="shared" si="116"/>
        <v>MDO/MGO</v>
      </c>
      <c r="AA629" t="str">
        <f t="shared" si="117"/>
        <v>MSD</v>
      </c>
      <c r="AB629" t="str">
        <f t="shared" si="118"/>
        <v>MDO/MGO</v>
      </c>
      <c r="AC629" t="str">
        <f t="shared" si="119"/>
        <v>MSD</v>
      </c>
      <c r="AD629" t="str">
        <f t="shared" si="120"/>
        <v>MDO/MGO</v>
      </c>
      <c r="AE629" t="str">
        <f t="shared" si="121"/>
        <v>ST</v>
      </c>
      <c r="AG629">
        <f>Alukset_Käynnit!O636</f>
        <v>0</v>
      </c>
      <c r="AH629" s="207">
        <f>IF(AA629="SSD",((U629*Alukset_fx!$B$24)*Alukset_Käynnit_Lask!W629*(Alukset_fx!$K$49)/1000),IF(AA629="MSD",((U629*Alukset_fx!$B$24)*Alukset_Käynnit_Lask!W629*(Alukset_fx!$K$52)/1000),IF(AA629="HSD",((U629*Alukset_fx!$B$24)*Alukset_Käynnit_Lask!W629*(Alukset_fx!$K$55)/1000),0)))</f>
        <v>0</v>
      </c>
      <c r="AI629" s="207">
        <f>IF(AC629="MSD",((V629*Alukset_fx!$B$25)*Alukset_Käynnit_Lask!W629*(Alukset_fx!$L$52)/1000),IF(AC629="HSD",((V629*Alukset_fx!$B$25)*Alukset_Käynnit_Lask!W629*(Alukset_fx!$L$55)/1000),0))</f>
        <v>0</v>
      </c>
      <c r="AJ629" s="207">
        <f>X629*W629*Alukset_fx!$K$61/1000</f>
        <v>0</v>
      </c>
      <c r="AK629">
        <v>0</v>
      </c>
      <c r="AL629" s="207">
        <f>IF(AG629="Käytetty",0,IF(AC629="MSD",((V629*Alukset_fx!$O$25)*Alukset_Käynnit_Lask!O629*(Alukset_fx!$L$52)/1000),IF(AC629="HSD",((V629*Alukset_fx!$O$25)*Alukset_Käynnit_Lask!O629*(Alukset_fx!$L$55)/1000),0)))</f>
        <v>0</v>
      </c>
      <c r="AM629" s="207">
        <f>IF(AG629="Käytetty",0,Y629*O629*Alukset_fx!$K$61/1000)</f>
        <v>0</v>
      </c>
      <c r="AN629" s="213">
        <f t="shared" si="122"/>
        <v>0</v>
      </c>
    </row>
    <row r="630" spans="1:40" x14ac:dyDescent="0.25">
      <c r="A630" s="203">
        <f>Alukset_Käynnit!A637</f>
        <v>0</v>
      </c>
      <c r="B630" s="203">
        <f>Alukset_Käynnit!B637</f>
        <v>0</v>
      </c>
      <c r="C630" s="262">
        <f>Alukset_Käynnit!C637</f>
        <v>0</v>
      </c>
      <c r="D630" s="266">
        <f>Alukset_Käynnit!D637</f>
        <v>0</v>
      </c>
      <c r="E630" s="262">
        <f>Alukset_Käynnit!E637</f>
        <v>0</v>
      </c>
      <c r="F630" s="262">
        <f>Alukset_Käynnit!F637</f>
        <v>0</v>
      </c>
      <c r="G630" s="262">
        <f>Alukset_Käynnit!G637</f>
        <v>0</v>
      </c>
      <c r="H630" s="262">
        <f>Alukset_Käynnit!H637</f>
        <v>0</v>
      </c>
      <c r="I630" s="262">
        <f>Alukset_Käynnit!I637</f>
        <v>0</v>
      </c>
      <c r="J630" s="262">
        <f>Alukset_Käynnit!J637</f>
        <v>0</v>
      </c>
      <c r="K630" s="262">
        <f>Alukset_Käynnit!K637</f>
        <v>0</v>
      </c>
      <c r="L630" s="205">
        <f>Alukset_Käynnit!L637</f>
        <v>0</v>
      </c>
      <c r="N630" s="273">
        <f t="shared" si="123"/>
        <v>0</v>
      </c>
      <c r="O630" s="274">
        <f t="shared" si="124"/>
        <v>0</v>
      </c>
      <c r="Q630" s="204">
        <f t="shared" si="113"/>
        <v>0</v>
      </c>
      <c r="R630" s="202">
        <f>IF(Q630="Other dry cargo",L630*Alukset_fx!$B$71,IF(OR(Q630="Dry bulk",Q630="Bulk carrier"),L630*Alukset_fx!$B$69,IF(Q630="Tugboat",L630*Alukset_fx!$B$76,IF(OR(Q630="Tanker",Q630="Gas tanker",Q630="Chemical tanker",Q630="Oil tanker"),L630*Alukset_fx!$B$68,IF(OR(Q630="RoRo",Q630="Vehicle carrier"),L630*Alukset_fx!$B$72,IF(Q630="RoPax",L630*Alukset_fx!$B$73,IF(Q630="Container ship",L630*Alukset_fx!$B$70,IF(Q630="Barge",0,L630*Alukset_fx!$B$75))))))))</f>
        <v>0</v>
      </c>
      <c r="S630" s="210">
        <f>IF(L630=0,IF(Q630="Other dry cargo",Alukset_fx!$H$73*(Alukset_Käynnit_Lask!K630^Alukset_fx!$I$73),IF(OR(Q630="Dry Bulk",Q630="Bulk carrier"),Alukset_fx!$H$71*(Alukset_Käynnit_Lask!K630^Alukset_fx!$I$71),IF(Q630="Tugboat",Alukset_fx!$H$78*(Alukset_Käynnit_Lask!K630^Alukset_fx!$I$78),IF(OR(Q630="Tanker",Q630="Gas tanker",Q630="Chemical tanker",Q630="Oil tanker"),Alukset_fx!$H$70*(Alukset_Käynnit_Lask!K630^Alukset_fx!$I$70),IF(Q630="Container ship",Alukset_fx!$H$72*(Alukset_Käynnit_Lask!K630^Alukset_fx!$I$72),IF(Q630="Barge",0,IF(Q630="RoPax",Alukset_fx!$H$75*(Alukset_Käynnit_Lask!K630^Alukset_fx!$I$75),IF(OR(Q630="RoRo",Q630="Vehicle carrier"),Alukset_fx!$H$74*(Alukset_Käynnit_Lask!K630^Alukset_fx!$I$74),Alukset_fx!$H$77*(Alukset_Käynnit_Lask!K630^Alukset_fx!$I$77))))))))),"-")</f>
        <v>0</v>
      </c>
      <c r="T630" s="208">
        <f>IF(R630=0,IF(Q630="Other dry cargo",S630*Alukset_fx!$B$71,IF(OR(Q630="Dry bulk",Q630="Bulk carrier"),S630*Alukset_fx!$B$69,IF(Q630="Tugboat",S630*Alukset_fx!$B$76,IF(OR(Q630="Tanker",Q630="Gas tanker",Q630="Chemical tanker",Q630="Oil tanker"),S630*Alukset_fx!$B$68,IF(OR(Q630="RoRo",Q630="Vehicle carrier"),S630*Alukset_fx!$B$72,IF(Q630="RoPax",S630*Alukset_fx!$B$73,IF(Q630="Container ship",S630*Alukset_fx!$B$70,S630*Alukset_fx!$B$75))))))),"-")</f>
        <v>0</v>
      </c>
      <c r="U630" s="208">
        <f t="shared" si="114"/>
        <v>0</v>
      </c>
      <c r="V630" s="208">
        <f t="shared" si="115"/>
        <v>0</v>
      </c>
      <c r="W630" s="202">
        <f>Alukset_Käynnit!N637</f>
        <v>0</v>
      </c>
      <c r="X630" s="211">
        <f>IF(Q630="Other dry cargo", Alukset_fx!$C$52, IF(OR(Q630="Dry bulk",Q630="Bulk carrier"),Alukset_fx!$C$35,IF(OR(Q630="Tanker",Q630="Gas tanker",Q630="Oil tanker"),Alukset_fx!$C$57,IF(Q630="Chemical tanker",Alukset_fx!$C$56,IF(OR(Q630="Tugboat",Q630="Barge"),0,IF(Q630="Other vessel",Alukset_fx!$C$54,IF(Q630="Container ship",Alukset_fx!$C$37,IF(OR(Q630="RoPax",Q630="RoRo",Q630="Vehicle carrier"),Alukset_fx!$C$55,0))))))))</f>
        <v>0</v>
      </c>
      <c r="Y630" s="211">
        <f>IF(Q630="Other dry cargo", Alukset_fx!$Q$52, IF(OR(Q630="Dry bulk",Q630="Bulk carrier"),Alukset_fx!$Q$35,IF(OR(Q630="Tanker",Q630="Gas tanker",Q630="Oil tanker"),Alukset_fx!$Q$57,IF(Q630="Chemical tanker",Alukset_fx!$Q$56,IF(OR(Q630="Tugboat",Q630="Barge"),0,IF(Q630="Other vessel",Alukset_fx!$Q$54,IF(Q630="Container ship",Alukset_fx!$Q$37,IF(OR(Q630="RoPax",Q630="RoRo",Q630="Vehicle carrier"),Alukset_fx!$Q$55,0))))))))</f>
        <v>0</v>
      </c>
      <c r="Z630" t="str">
        <f t="shared" si="116"/>
        <v>MDO/MGO</v>
      </c>
      <c r="AA630" t="str">
        <f t="shared" si="117"/>
        <v>MSD</v>
      </c>
      <c r="AB630" t="str">
        <f t="shared" si="118"/>
        <v>MDO/MGO</v>
      </c>
      <c r="AC630" t="str">
        <f t="shared" si="119"/>
        <v>MSD</v>
      </c>
      <c r="AD630" t="str">
        <f t="shared" si="120"/>
        <v>MDO/MGO</v>
      </c>
      <c r="AE630" t="str">
        <f t="shared" si="121"/>
        <v>ST</v>
      </c>
      <c r="AG630">
        <f>Alukset_Käynnit!O637</f>
        <v>0</v>
      </c>
      <c r="AH630" s="207">
        <f>IF(AA630="SSD",((U630*Alukset_fx!$B$24)*Alukset_Käynnit_Lask!W630*(Alukset_fx!$K$49)/1000),IF(AA630="MSD",((U630*Alukset_fx!$B$24)*Alukset_Käynnit_Lask!W630*(Alukset_fx!$K$52)/1000),IF(AA630="HSD",((U630*Alukset_fx!$B$24)*Alukset_Käynnit_Lask!W630*(Alukset_fx!$K$55)/1000),0)))</f>
        <v>0</v>
      </c>
      <c r="AI630" s="207">
        <f>IF(AC630="MSD",((V630*Alukset_fx!$B$25)*Alukset_Käynnit_Lask!W630*(Alukset_fx!$L$52)/1000),IF(AC630="HSD",((V630*Alukset_fx!$B$25)*Alukset_Käynnit_Lask!W630*(Alukset_fx!$L$55)/1000),0))</f>
        <v>0</v>
      </c>
      <c r="AJ630" s="207">
        <f>X630*W630*Alukset_fx!$K$61/1000</f>
        <v>0</v>
      </c>
      <c r="AK630">
        <v>0</v>
      </c>
      <c r="AL630" s="207">
        <f>IF(AG630="Käytetty",0,IF(AC630="MSD",((V630*Alukset_fx!$O$25)*Alukset_Käynnit_Lask!O630*(Alukset_fx!$L$52)/1000),IF(AC630="HSD",((V630*Alukset_fx!$O$25)*Alukset_Käynnit_Lask!O630*(Alukset_fx!$L$55)/1000),0)))</f>
        <v>0</v>
      </c>
      <c r="AM630" s="207">
        <f>IF(AG630="Käytetty",0,Y630*O630*Alukset_fx!$K$61/1000)</f>
        <v>0</v>
      </c>
      <c r="AN630" s="213">
        <f t="shared" si="122"/>
        <v>0</v>
      </c>
    </row>
    <row r="631" spans="1:40" x14ac:dyDescent="0.25">
      <c r="A631" s="203">
        <f>Alukset_Käynnit!A638</f>
        <v>0</v>
      </c>
      <c r="B631" s="203">
        <f>Alukset_Käynnit!B638</f>
        <v>0</v>
      </c>
      <c r="C631" s="262">
        <f>Alukset_Käynnit!C638</f>
        <v>0</v>
      </c>
      <c r="D631" s="266">
        <f>Alukset_Käynnit!D638</f>
        <v>0</v>
      </c>
      <c r="E631" s="262">
        <f>Alukset_Käynnit!E638</f>
        <v>0</v>
      </c>
      <c r="F631" s="262">
        <f>Alukset_Käynnit!F638</f>
        <v>0</v>
      </c>
      <c r="G631" s="262">
        <f>Alukset_Käynnit!G638</f>
        <v>0</v>
      </c>
      <c r="H631" s="262">
        <f>Alukset_Käynnit!H638</f>
        <v>0</v>
      </c>
      <c r="I631" s="262">
        <f>Alukset_Käynnit!I638</f>
        <v>0</v>
      </c>
      <c r="J631" s="262">
        <f>Alukset_Käynnit!J638</f>
        <v>0</v>
      </c>
      <c r="K631" s="262">
        <f>Alukset_Käynnit!K638</f>
        <v>0</v>
      </c>
      <c r="L631" s="205">
        <f>Alukset_Käynnit!L638</f>
        <v>0</v>
      </c>
      <c r="N631" s="273">
        <f t="shared" si="123"/>
        <v>0</v>
      </c>
      <c r="O631" s="274">
        <f t="shared" si="124"/>
        <v>0</v>
      </c>
      <c r="Q631" s="204">
        <f t="shared" si="113"/>
        <v>0</v>
      </c>
      <c r="R631" s="202">
        <f>IF(Q631="Other dry cargo",L631*Alukset_fx!$B$71,IF(OR(Q631="Dry bulk",Q631="Bulk carrier"),L631*Alukset_fx!$B$69,IF(Q631="Tugboat",L631*Alukset_fx!$B$76,IF(OR(Q631="Tanker",Q631="Gas tanker",Q631="Chemical tanker",Q631="Oil tanker"),L631*Alukset_fx!$B$68,IF(OR(Q631="RoRo",Q631="Vehicle carrier"),L631*Alukset_fx!$B$72,IF(Q631="RoPax",L631*Alukset_fx!$B$73,IF(Q631="Container ship",L631*Alukset_fx!$B$70,IF(Q631="Barge",0,L631*Alukset_fx!$B$75))))))))</f>
        <v>0</v>
      </c>
      <c r="S631" s="210">
        <f>IF(L631=0,IF(Q631="Other dry cargo",Alukset_fx!$H$73*(Alukset_Käynnit_Lask!K631^Alukset_fx!$I$73),IF(OR(Q631="Dry Bulk",Q631="Bulk carrier"),Alukset_fx!$H$71*(Alukset_Käynnit_Lask!K631^Alukset_fx!$I$71),IF(Q631="Tugboat",Alukset_fx!$H$78*(Alukset_Käynnit_Lask!K631^Alukset_fx!$I$78),IF(OR(Q631="Tanker",Q631="Gas tanker",Q631="Chemical tanker",Q631="Oil tanker"),Alukset_fx!$H$70*(Alukset_Käynnit_Lask!K631^Alukset_fx!$I$70),IF(Q631="Container ship",Alukset_fx!$H$72*(Alukset_Käynnit_Lask!K631^Alukset_fx!$I$72),IF(Q631="Barge",0,IF(Q631="RoPax",Alukset_fx!$H$75*(Alukset_Käynnit_Lask!K631^Alukset_fx!$I$75),IF(OR(Q631="RoRo",Q631="Vehicle carrier"),Alukset_fx!$H$74*(Alukset_Käynnit_Lask!K631^Alukset_fx!$I$74),Alukset_fx!$H$77*(Alukset_Käynnit_Lask!K631^Alukset_fx!$I$77))))))))),"-")</f>
        <v>0</v>
      </c>
      <c r="T631" s="208">
        <f>IF(R631=0,IF(Q631="Other dry cargo",S631*Alukset_fx!$B$71,IF(OR(Q631="Dry bulk",Q631="Bulk carrier"),S631*Alukset_fx!$B$69,IF(Q631="Tugboat",S631*Alukset_fx!$B$76,IF(OR(Q631="Tanker",Q631="Gas tanker",Q631="Chemical tanker",Q631="Oil tanker"),S631*Alukset_fx!$B$68,IF(OR(Q631="RoRo",Q631="Vehicle carrier"),S631*Alukset_fx!$B$72,IF(Q631="RoPax",S631*Alukset_fx!$B$73,IF(Q631="Container ship",S631*Alukset_fx!$B$70,S631*Alukset_fx!$B$75))))))),"-")</f>
        <v>0</v>
      </c>
      <c r="U631" s="208">
        <f t="shared" si="114"/>
        <v>0</v>
      </c>
      <c r="V631" s="208">
        <f t="shared" si="115"/>
        <v>0</v>
      </c>
      <c r="W631" s="202">
        <f>Alukset_Käynnit!N638</f>
        <v>0</v>
      </c>
      <c r="X631" s="211">
        <f>IF(Q631="Other dry cargo", Alukset_fx!$C$52, IF(OR(Q631="Dry bulk",Q631="Bulk carrier"),Alukset_fx!$C$35,IF(OR(Q631="Tanker",Q631="Gas tanker",Q631="Oil tanker"),Alukset_fx!$C$57,IF(Q631="Chemical tanker",Alukset_fx!$C$56,IF(OR(Q631="Tugboat",Q631="Barge"),0,IF(Q631="Other vessel",Alukset_fx!$C$54,IF(Q631="Container ship",Alukset_fx!$C$37,IF(OR(Q631="RoPax",Q631="RoRo",Q631="Vehicle carrier"),Alukset_fx!$C$55,0))))))))</f>
        <v>0</v>
      </c>
      <c r="Y631" s="211">
        <f>IF(Q631="Other dry cargo", Alukset_fx!$Q$52, IF(OR(Q631="Dry bulk",Q631="Bulk carrier"),Alukset_fx!$Q$35,IF(OR(Q631="Tanker",Q631="Gas tanker",Q631="Oil tanker"),Alukset_fx!$Q$57,IF(Q631="Chemical tanker",Alukset_fx!$Q$56,IF(OR(Q631="Tugboat",Q631="Barge"),0,IF(Q631="Other vessel",Alukset_fx!$Q$54,IF(Q631="Container ship",Alukset_fx!$Q$37,IF(OR(Q631="RoPax",Q631="RoRo",Q631="Vehicle carrier"),Alukset_fx!$Q$55,0))))))))</f>
        <v>0</v>
      </c>
      <c r="Z631" t="str">
        <f t="shared" si="116"/>
        <v>MDO/MGO</v>
      </c>
      <c r="AA631" t="str">
        <f t="shared" si="117"/>
        <v>MSD</v>
      </c>
      <c r="AB631" t="str">
        <f t="shared" si="118"/>
        <v>MDO/MGO</v>
      </c>
      <c r="AC631" t="str">
        <f t="shared" si="119"/>
        <v>MSD</v>
      </c>
      <c r="AD631" t="str">
        <f t="shared" si="120"/>
        <v>MDO/MGO</v>
      </c>
      <c r="AE631" t="str">
        <f t="shared" si="121"/>
        <v>ST</v>
      </c>
      <c r="AG631">
        <f>Alukset_Käynnit!O638</f>
        <v>0</v>
      </c>
      <c r="AH631" s="207">
        <f>IF(AA631="SSD",((U631*Alukset_fx!$B$24)*Alukset_Käynnit_Lask!W631*(Alukset_fx!$K$49)/1000),IF(AA631="MSD",((U631*Alukset_fx!$B$24)*Alukset_Käynnit_Lask!W631*(Alukset_fx!$K$52)/1000),IF(AA631="HSD",((U631*Alukset_fx!$B$24)*Alukset_Käynnit_Lask!W631*(Alukset_fx!$K$55)/1000),0)))</f>
        <v>0</v>
      </c>
      <c r="AI631" s="207">
        <f>IF(AC631="MSD",((V631*Alukset_fx!$B$25)*Alukset_Käynnit_Lask!W631*(Alukset_fx!$L$52)/1000),IF(AC631="HSD",((V631*Alukset_fx!$B$25)*Alukset_Käynnit_Lask!W631*(Alukset_fx!$L$55)/1000),0))</f>
        <v>0</v>
      </c>
      <c r="AJ631" s="207">
        <f>X631*W631*Alukset_fx!$K$61/1000</f>
        <v>0</v>
      </c>
      <c r="AK631">
        <v>0</v>
      </c>
      <c r="AL631" s="207">
        <f>IF(AG631="Käytetty",0,IF(AC631="MSD",((V631*Alukset_fx!$O$25)*Alukset_Käynnit_Lask!O631*(Alukset_fx!$L$52)/1000),IF(AC631="HSD",((V631*Alukset_fx!$O$25)*Alukset_Käynnit_Lask!O631*(Alukset_fx!$L$55)/1000),0)))</f>
        <v>0</v>
      </c>
      <c r="AM631" s="207">
        <f>IF(AG631="Käytetty",0,Y631*O631*Alukset_fx!$K$61/1000)</f>
        <v>0</v>
      </c>
      <c r="AN631" s="213">
        <f t="shared" si="122"/>
        <v>0</v>
      </c>
    </row>
    <row r="632" spans="1:40" x14ac:dyDescent="0.25">
      <c r="A632" s="203">
        <f>Alukset_Käynnit!A639</f>
        <v>0</v>
      </c>
      <c r="B632" s="203">
        <f>Alukset_Käynnit!B639</f>
        <v>0</v>
      </c>
      <c r="C632" s="262">
        <f>Alukset_Käynnit!C639</f>
        <v>0</v>
      </c>
      <c r="D632" s="266">
        <f>Alukset_Käynnit!D639</f>
        <v>0</v>
      </c>
      <c r="E632" s="262">
        <f>Alukset_Käynnit!E639</f>
        <v>0</v>
      </c>
      <c r="F632" s="262">
        <f>Alukset_Käynnit!F639</f>
        <v>0</v>
      </c>
      <c r="G632" s="262">
        <f>Alukset_Käynnit!G639</f>
        <v>0</v>
      </c>
      <c r="H632" s="262">
        <f>Alukset_Käynnit!H639</f>
        <v>0</v>
      </c>
      <c r="I632" s="262">
        <f>Alukset_Käynnit!I639</f>
        <v>0</v>
      </c>
      <c r="J632" s="262">
        <f>Alukset_Käynnit!J639</f>
        <v>0</v>
      </c>
      <c r="K632" s="262">
        <f>Alukset_Käynnit!K639</f>
        <v>0</v>
      </c>
      <c r="L632" s="205">
        <f>Alukset_Käynnit!L639</f>
        <v>0</v>
      </c>
      <c r="N632" s="273">
        <f t="shared" si="123"/>
        <v>0</v>
      </c>
      <c r="O632" s="274">
        <f t="shared" si="124"/>
        <v>0</v>
      </c>
      <c r="Q632" s="204">
        <f t="shared" si="113"/>
        <v>0</v>
      </c>
      <c r="R632" s="202">
        <f>IF(Q632="Other dry cargo",L632*Alukset_fx!$B$71,IF(OR(Q632="Dry bulk",Q632="Bulk carrier"),L632*Alukset_fx!$B$69,IF(Q632="Tugboat",L632*Alukset_fx!$B$76,IF(OR(Q632="Tanker",Q632="Gas tanker",Q632="Chemical tanker",Q632="Oil tanker"),L632*Alukset_fx!$B$68,IF(OR(Q632="RoRo",Q632="Vehicle carrier"),L632*Alukset_fx!$B$72,IF(Q632="RoPax",L632*Alukset_fx!$B$73,IF(Q632="Container ship",L632*Alukset_fx!$B$70,IF(Q632="Barge",0,L632*Alukset_fx!$B$75))))))))</f>
        <v>0</v>
      </c>
      <c r="S632" s="210">
        <f>IF(L632=0,IF(Q632="Other dry cargo",Alukset_fx!$H$73*(Alukset_Käynnit_Lask!K632^Alukset_fx!$I$73),IF(OR(Q632="Dry Bulk",Q632="Bulk carrier"),Alukset_fx!$H$71*(Alukset_Käynnit_Lask!K632^Alukset_fx!$I$71),IF(Q632="Tugboat",Alukset_fx!$H$78*(Alukset_Käynnit_Lask!K632^Alukset_fx!$I$78),IF(OR(Q632="Tanker",Q632="Gas tanker",Q632="Chemical tanker",Q632="Oil tanker"),Alukset_fx!$H$70*(Alukset_Käynnit_Lask!K632^Alukset_fx!$I$70),IF(Q632="Container ship",Alukset_fx!$H$72*(Alukset_Käynnit_Lask!K632^Alukset_fx!$I$72),IF(Q632="Barge",0,IF(Q632="RoPax",Alukset_fx!$H$75*(Alukset_Käynnit_Lask!K632^Alukset_fx!$I$75),IF(OR(Q632="RoRo",Q632="Vehicle carrier"),Alukset_fx!$H$74*(Alukset_Käynnit_Lask!K632^Alukset_fx!$I$74),Alukset_fx!$H$77*(Alukset_Käynnit_Lask!K632^Alukset_fx!$I$77))))))))),"-")</f>
        <v>0</v>
      </c>
      <c r="T632" s="208">
        <f>IF(R632=0,IF(Q632="Other dry cargo",S632*Alukset_fx!$B$71,IF(OR(Q632="Dry bulk",Q632="Bulk carrier"),S632*Alukset_fx!$B$69,IF(Q632="Tugboat",S632*Alukset_fx!$B$76,IF(OR(Q632="Tanker",Q632="Gas tanker",Q632="Chemical tanker",Q632="Oil tanker"),S632*Alukset_fx!$B$68,IF(OR(Q632="RoRo",Q632="Vehicle carrier"),S632*Alukset_fx!$B$72,IF(Q632="RoPax",S632*Alukset_fx!$B$73,IF(Q632="Container ship",S632*Alukset_fx!$B$70,S632*Alukset_fx!$B$75))))))),"-")</f>
        <v>0</v>
      </c>
      <c r="U632" s="208">
        <f t="shared" si="114"/>
        <v>0</v>
      </c>
      <c r="V632" s="208">
        <f t="shared" si="115"/>
        <v>0</v>
      </c>
      <c r="W632" s="202">
        <f>Alukset_Käynnit!N639</f>
        <v>0</v>
      </c>
      <c r="X632" s="211">
        <f>IF(Q632="Other dry cargo", Alukset_fx!$C$52, IF(OR(Q632="Dry bulk",Q632="Bulk carrier"),Alukset_fx!$C$35,IF(OR(Q632="Tanker",Q632="Gas tanker",Q632="Oil tanker"),Alukset_fx!$C$57,IF(Q632="Chemical tanker",Alukset_fx!$C$56,IF(OR(Q632="Tugboat",Q632="Barge"),0,IF(Q632="Other vessel",Alukset_fx!$C$54,IF(Q632="Container ship",Alukset_fx!$C$37,IF(OR(Q632="RoPax",Q632="RoRo",Q632="Vehicle carrier"),Alukset_fx!$C$55,0))))))))</f>
        <v>0</v>
      </c>
      <c r="Y632" s="211">
        <f>IF(Q632="Other dry cargo", Alukset_fx!$Q$52, IF(OR(Q632="Dry bulk",Q632="Bulk carrier"),Alukset_fx!$Q$35,IF(OR(Q632="Tanker",Q632="Gas tanker",Q632="Oil tanker"),Alukset_fx!$Q$57,IF(Q632="Chemical tanker",Alukset_fx!$Q$56,IF(OR(Q632="Tugboat",Q632="Barge"),0,IF(Q632="Other vessel",Alukset_fx!$Q$54,IF(Q632="Container ship",Alukset_fx!$Q$37,IF(OR(Q632="RoPax",Q632="RoRo",Q632="Vehicle carrier"),Alukset_fx!$Q$55,0))))))))</f>
        <v>0</v>
      </c>
      <c r="Z632" t="str">
        <f t="shared" si="116"/>
        <v>MDO/MGO</v>
      </c>
      <c r="AA632" t="str">
        <f t="shared" si="117"/>
        <v>MSD</v>
      </c>
      <c r="AB632" t="str">
        <f t="shared" si="118"/>
        <v>MDO/MGO</v>
      </c>
      <c r="AC632" t="str">
        <f t="shared" si="119"/>
        <v>MSD</v>
      </c>
      <c r="AD632" t="str">
        <f t="shared" si="120"/>
        <v>MDO/MGO</v>
      </c>
      <c r="AE632" t="str">
        <f t="shared" si="121"/>
        <v>ST</v>
      </c>
      <c r="AG632">
        <f>Alukset_Käynnit!O639</f>
        <v>0</v>
      </c>
      <c r="AH632" s="207">
        <f>IF(AA632="SSD",((U632*Alukset_fx!$B$24)*Alukset_Käynnit_Lask!W632*(Alukset_fx!$K$49)/1000),IF(AA632="MSD",((U632*Alukset_fx!$B$24)*Alukset_Käynnit_Lask!W632*(Alukset_fx!$K$52)/1000),IF(AA632="HSD",((U632*Alukset_fx!$B$24)*Alukset_Käynnit_Lask!W632*(Alukset_fx!$K$55)/1000),0)))</f>
        <v>0</v>
      </c>
      <c r="AI632" s="207">
        <f>IF(AC632="MSD",((V632*Alukset_fx!$B$25)*Alukset_Käynnit_Lask!W632*(Alukset_fx!$L$52)/1000),IF(AC632="HSD",((V632*Alukset_fx!$B$25)*Alukset_Käynnit_Lask!W632*(Alukset_fx!$L$55)/1000),0))</f>
        <v>0</v>
      </c>
      <c r="AJ632" s="207">
        <f>X632*W632*Alukset_fx!$K$61/1000</f>
        <v>0</v>
      </c>
      <c r="AK632">
        <v>0</v>
      </c>
      <c r="AL632" s="207">
        <f>IF(AG632="Käytetty",0,IF(AC632="MSD",((V632*Alukset_fx!$O$25)*Alukset_Käynnit_Lask!O632*(Alukset_fx!$L$52)/1000),IF(AC632="HSD",((V632*Alukset_fx!$O$25)*Alukset_Käynnit_Lask!O632*(Alukset_fx!$L$55)/1000),0)))</f>
        <v>0</v>
      </c>
      <c r="AM632" s="207">
        <f>IF(AG632="Käytetty",0,Y632*O632*Alukset_fx!$K$61/1000)</f>
        <v>0</v>
      </c>
      <c r="AN632" s="213">
        <f t="shared" si="122"/>
        <v>0</v>
      </c>
    </row>
    <row r="633" spans="1:40" x14ac:dyDescent="0.25">
      <c r="A633" s="203">
        <f>Alukset_Käynnit!A640</f>
        <v>0</v>
      </c>
      <c r="B633" s="203">
        <f>Alukset_Käynnit!B640</f>
        <v>0</v>
      </c>
      <c r="C633" s="262">
        <f>Alukset_Käynnit!C640</f>
        <v>0</v>
      </c>
      <c r="D633" s="266">
        <f>Alukset_Käynnit!D640</f>
        <v>0</v>
      </c>
      <c r="E633" s="262">
        <f>Alukset_Käynnit!E640</f>
        <v>0</v>
      </c>
      <c r="F633" s="262">
        <f>Alukset_Käynnit!F640</f>
        <v>0</v>
      </c>
      <c r="G633" s="262">
        <f>Alukset_Käynnit!G640</f>
        <v>0</v>
      </c>
      <c r="H633" s="262">
        <f>Alukset_Käynnit!H640</f>
        <v>0</v>
      </c>
      <c r="I633" s="262">
        <f>Alukset_Käynnit!I640</f>
        <v>0</v>
      </c>
      <c r="J633" s="262">
        <f>Alukset_Käynnit!J640</f>
        <v>0</v>
      </c>
      <c r="K633" s="262">
        <f>Alukset_Käynnit!K640</f>
        <v>0</v>
      </c>
      <c r="L633" s="205">
        <f>Alukset_Käynnit!L640</f>
        <v>0</v>
      </c>
      <c r="N633" s="273">
        <f t="shared" si="123"/>
        <v>0</v>
      </c>
      <c r="O633" s="274">
        <f t="shared" si="124"/>
        <v>0</v>
      </c>
      <c r="Q633" s="204">
        <f t="shared" si="113"/>
        <v>0</v>
      </c>
      <c r="R633" s="202">
        <f>IF(Q633="Other dry cargo",L633*Alukset_fx!$B$71,IF(OR(Q633="Dry bulk",Q633="Bulk carrier"),L633*Alukset_fx!$B$69,IF(Q633="Tugboat",L633*Alukset_fx!$B$76,IF(OR(Q633="Tanker",Q633="Gas tanker",Q633="Chemical tanker",Q633="Oil tanker"),L633*Alukset_fx!$B$68,IF(OR(Q633="RoRo",Q633="Vehicle carrier"),L633*Alukset_fx!$B$72,IF(Q633="RoPax",L633*Alukset_fx!$B$73,IF(Q633="Container ship",L633*Alukset_fx!$B$70,IF(Q633="Barge",0,L633*Alukset_fx!$B$75))))))))</f>
        <v>0</v>
      </c>
      <c r="S633" s="210">
        <f>IF(L633=0,IF(Q633="Other dry cargo",Alukset_fx!$H$73*(Alukset_Käynnit_Lask!K633^Alukset_fx!$I$73),IF(OR(Q633="Dry Bulk",Q633="Bulk carrier"),Alukset_fx!$H$71*(Alukset_Käynnit_Lask!K633^Alukset_fx!$I$71),IF(Q633="Tugboat",Alukset_fx!$H$78*(Alukset_Käynnit_Lask!K633^Alukset_fx!$I$78),IF(OR(Q633="Tanker",Q633="Gas tanker",Q633="Chemical tanker",Q633="Oil tanker"),Alukset_fx!$H$70*(Alukset_Käynnit_Lask!K633^Alukset_fx!$I$70),IF(Q633="Container ship",Alukset_fx!$H$72*(Alukset_Käynnit_Lask!K633^Alukset_fx!$I$72),IF(Q633="Barge",0,IF(Q633="RoPax",Alukset_fx!$H$75*(Alukset_Käynnit_Lask!K633^Alukset_fx!$I$75),IF(OR(Q633="RoRo",Q633="Vehicle carrier"),Alukset_fx!$H$74*(Alukset_Käynnit_Lask!K633^Alukset_fx!$I$74),Alukset_fx!$H$77*(Alukset_Käynnit_Lask!K633^Alukset_fx!$I$77))))))))),"-")</f>
        <v>0</v>
      </c>
      <c r="T633" s="208">
        <f>IF(R633=0,IF(Q633="Other dry cargo",S633*Alukset_fx!$B$71,IF(OR(Q633="Dry bulk",Q633="Bulk carrier"),S633*Alukset_fx!$B$69,IF(Q633="Tugboat",S633*Alukset_fx!$B$76,IF(OR(Q633="Tanker",Q633="Gas tanker",Q633="Chemical tanker",Q633="Oil tanker"),S633*Alukset_fx!$B$68,IF(OR(Q633="RoRo",Q633="Vehicle carrier"),S633*Alukset_fx!$B$72,IF(Q633="RoPax",S633*Alukset_fx!$B$73,IF(Q633="Container ship",S633*Alukset_fx!$B$70,S633*Alukset_fx!$B$75))))))),"-")</f>
        <v>0</v>
      </c>
      <c r="U633" s="208">
        <f t="shared" si="114"/>
        <v>0</v>
      </c>
      <c r="V633" s="208">
        <f t="shared" si="115"/>
        <v>0</v>
      </c>
      <c r="W633" s="202">
        <f>Alukset_Käynnit!N640</f>
        <v>0</v>
      </c>
      <c r="X633" s="211">
        <f>IF(Q633="Other dry cargo", Alukset_fx!$C$52, IF(OR(Q633="Dry bulk",Q633="Bulk carrier"),Alukset_fx!$C$35,IF(OR(Q633="Tanker",Q633="Gas tanker",Q633="Oil tanker"),Alukset_fx!$C$57,IF(Q633="Chemical tanker",Alukset_fx!$C$56,IF(OR(Q633="Tugboat",Q633="Barge"),0,IF(Q633="Other vessel",Alukset_fx!$C$54,IF(Q633="Container ship",Alukset_fx!$C$37,IF(OR(Q633="RoPax",Q633="RoRo",Q633="Vehicle carrier"),Alukset_fx!$C$55,0))))))))</f>
        <v>0</v>
      </c>
      <c r="Y633" s="211">
        <f>IF(Q633="Other dry cargo", Alukset_fx!$Q$52, IF(OR(Q633="Dry bulk",Q633="Bulk carrier"),Alukset_fx!$Q$35,IF(OR(Q633="Tanker",Q633="Gas tanker",Q633="Oil tanker"),Alukset_fx!$Q$57,IF(Q633="Chemical tanker",Alukset_fx!$Q$56,IF(OR(Q633="Tugboat",Q633="Barge"),0,IF(Q633="Other vessel",Alukset_fx!$Q$54,IF(Q633="Container ship",Alukset_fx!$Q$37,IF(OR(Q633="RoPax",Q633="RoRo",Q633="Vehicle carrier"),Alukset_fx!$Q$55,0))))))))</f>
        <v>0</v>
      </c>
      <c r="Z633" t="str">
        <f t="shared" si="116"/>
        <v>MDO/MGO</v>
      </c>
      <c r="AA633" t="str">
        <f t="shared" si="117"/>
        <v>MSD</v>
      </c>
      <c r="AB633" t="str">
        <f t="shared" si="118"/>
        <v>MDO/MGO</v>
      </c>
      <c r="AC633" t="str">
        <f t="shared" si="119"/>
        <v>MSD</v>
      </c>
      <c r="AD633" t="str">
        <f t="shared" si="120"/>
        <v>MDO/MGO</v>
      </c>
      <c r="AE633" t="str">
        <f t="shared" si="121"/>
        <v>ST</v>
      </c>
      <c r="AG633">
        <f>Alukset_Käynnit!O640</f>
        <v>0</v>
      </c>
      <c r="AH633" s="207">
        <f>IF(AA633="SSD",((U633*Alukset_fx!$B$24)*Alukset_Käynnit_Lask!W633*(Alukset_fx!$K$49)/1000),IF(AA633="MSD",((U633*Alukset_fx!$B$24)*Alukset_Käynnit_Lask!W633*(Alukset_fx!$K$52)/1000),IF(AA633="HSD",((U633*Alukset_fx!$B$24)*Alukset_Käynnit_Lask!W633*(Alukset_fx!$K$55)/1000),0)))</f>
        <v>0</v>
      </c>
      <c r="AI633" s="207">
        <f>IF(AC633="MSD",((V633*Alukset_fx!$B$25)*Alukset_Käynnit_Lask!W633*(Alukset_fx!$L$52)/1000),IF(AC633="HSD",((V633*Alukset_fx!$B$25)*Alukset_Käynnit_Lask!W633*(Alukset_fx!$L$55)/1000),0))</f>
        <v>0</v>
      </c>
      <c r="AJ633" s="207">
        <f>X633*W633*Alukset_fx!$K$61/1000</f>
        <v>0</v>
      </c>
      <c r="AK633">
        <v>0</v>
      </c>
      <c r="AL633" s="207">
        <f>IF(AG633="Käytetty",0,IF(AC633="MSD",((V633*Alukset_fx!$O$25)*Alukset_Käynnit_Lask!O633*(Alukset_fx!$L$52)/1000),IF(AC633="HSD",((V633*Alukset_fx!$O$25)*Alukset_Käynnit_Lask!O633*(Alukset_fx!$L$55)/1000),0)))</f>
        <v>0</v>
      </c>
      <c r="AM633" s="207">
        <f>IF(AG633="Käytetty",0,Y633*O633*Alukset_fx!$K$61/1000)</f>
        <v>0</v>
      </c>
      <c r="AN633" s="213">
        <f t="shared" si="122"/>
        <v>0</v>
      </c>
    </row>
    <row r="634" spans="1:40" x14ac:dyDescent="0.25">
      <c r="A634" s="203">
        <f>Alukset_Käynnit!A641</f>
        <v>0</v>
      </c>
      <c r="B634" s="203">
        <f>Alukset_Käynnit!B641</f>
        <v>0</v>
      </c>
      <c r="C634" s="262">
        <f>Alukset_Käynnit!C641</f>
        <v>0</v>
      </c>
      <c r="D634" s="266">
        <f>Alukset_Käynnit!D641</f>
        <v>0</v>
      </c>
      <c r="E634" s="262">
        <f>Alukset_Käynnit!E641</f>
        <v>0</v>
      </c>
      <c r="F634" s="262">
        <f>Alukset_Käynnit!F641</f>
        <v>0</v>
      </c>
      <c r="G634" s="262">
        <f>Alukset_Käynnit!G641</f>
        <v>0</v>
      </c>
      <c r="H634" s="262">
        <f>Alukset_Käynnit!H641</f>
        <v>0</v>
      </c>
      <c r="I634" s="262">
        <f>Alukset_Käynnit!I641</f>
        <v>0</v>
      </c>
      <c r="J634" s="262">
        <f>Alukset_Käynnit!J641</f>
        <v>0</v>
      </c>
      <c r="K634" s="262">
        <f>Alukset_Käynnit!K641</f>
        <v>0</v>
      </c>
      <c r="L634" s="205">
        <f>Alukset_Käynnit!L641</f>
        <v>0</v>
      </c>
      <c r="N634" s="273">
        <f t="shared" si="123"/>
        <v>0</v>
      </c>
      <c r="O634" s="274">
        <f t="shared" si="124"/>
        <v>0</v>
      </c>
      <c r="Q634" s="204">
        <f t="shared" si="113"/>
        <v>0</v>
      </c>
      <c r="R634" s="202">
        <f>IF(Q634="Other dry cargo",L634*Alukset_fx!$B$71,IF(OR(Q634="Dry bulk",Q634="Bulk carrier"),L634*Alukset_fx!$B$69,IF(Q634="Tugboat",L634*Alukset_fx!$B$76,IF(OR(Q634="Tanker",Q634="Gas tanker",Q634="Chemical tanker",Q634="Oil tanker"),L634*Alukset_fx!$B$68,IF(OR(Q634="RoRo",Q634="Vehicle carrier"),L634*Alukset_fx!$B$72,IF(Q634="RoPax",L634*Alukset_fx!$B$73,IF(Q634="Container ship",L634*Alukset_fx!$B$70,IF(Q634="Barge",0,L634*Alukset_fx!$B$75))))))))</f>
        <v>0</v>
      </c>
      <c r="S634" s="210">
        <f>IF(L634=0,IF(Q634="Other dry cargo",Alukset_fx!$H$73*(Alukset_Käynnit_Lask!K634^Alukset_fx!$I$73),IF(OR(Q634="Dry Bulk",Q634="Bulk carrier"),Alukset_fx!$H$71*(Alukset_Käynnit_Lask!K634^Alukset_fx!$I$71),IF(Q634="Tugboat",Alukset_fx!$H$78*(Alukset_Käynnit_Lask!K634^Alukset_fx!$I$78),IF(OR(Q634="Tanker",Q634="Gas tanker",Q634="Chemical tanker",Q634="Oil tanker"),Alukset_fx!$H$70*(Alukset_Käynnit_Lask!K634^Alukset_fx!$I$70),IF(Q634="Container ship",Alukset_fx!$H$72*(Alukset_Käynnit_Lask!K634^Alukset_fx!$I$72),IF(Q634="Barge",0,IF(Q634="RoPax",Alukset_fx!$H$75*(Alukset_Käynnit_Lask!K634^Alukset_fx!$I$75),IF(OR(Q634="RoRo",Q634="Vehicle carrier"),Alukset_fx!$H$74*(Alukset_Käynnit_Lask!K634^Alukset_fx!$I$74),Alukset_fx!$H$77*(Alukset_Käynnit_Lask!K634^Alukset_fx!$I$77))))))))),"-")</f>
        <v>0</v>
      </c>
      <c r="T634" s="208">
        <f>IF(R634=0,IF(Q634="Other dry cargo",S634*Alukset_fx!$B$71,IF(OR(Q634="Dry bulk",Q634="Bulk carrier"),S634*Alukset_fx!$B$69,IF(Q634="Tugboat",S634*Alukset_fx!$B$76,IF(OR(Q634="Tanker",Q634="Gas tanker",Q634="Chemical tanker",Q634="Oil tanker"),S634*Alukset_fx!$B$68,IF(OR(Q634="RoRo",Q634="Vehicle carrier"),S634*Alukset_fx!$B$72,IF(Q634="RoPax",S634*Alukset_fx!$B$73,IF(Q634="Container ship",S634*Alukset_fx!$B$70,S634*Alukset_fx!$B$75))))))),"-")</f>
        <v>0</v>
      </c>
      <c r="U634" s="208">
        <f t="shared" si="114"/>
        <v>0</v>
      </c>
      <c r="V634" s="208">
        <f t="shared" si="115"/>
        <v>0</v>
      </c>
      <c r="W634" s="202">
        <f>Alukset_Käynnit!N641</f>
        <v>0</v>
      </c>
      <c r="X634" s="211">
        <f>IF(Q634="Other dry cargo", Alukset_fx!$C$52, IF(OR(Q634="Dry bulk",Q634="Bulk carrier"),Alukset_fx!$C$35,IF(OR(Q634="Tanker",Q634="Gas tanker",Q634="Oil tanker"),Alukset_fx!$C$57,IF(Q634="Chemical tanker",Alukset_fx!$C$56,IF(OR(Q634="Tugboat",Q634="Barge"),0,IF(Q634="Other vessel",Alukset_fx!$C$54,IF(Q634="Container ship",Alukset_fx!$C$37,IF(OR(Q634="RoPax",Q634="RoRo",Q634="Vehicle carrier"),Alukset_fx!$C$55,0))))))))</f>
        <v>0</v>
      </c>
      <c r="Y634" s="211">
        <f>IF(Q634="Other dry cargo", Alukset_fx!$Q$52, IF(OR(Q634="Dry bulk",Q634="Bulk carrier"),Alukset_fx!$Q$35,IF(OR(Q634="Tanker",Q634="Gas tanker",Q634="Oil tanker"),Alukset_fx!$Q$57,IF(Q634="Chemical tanker",Alukset_fx!$Q$56,IF(OR(Q634="Tugboat",Q634="Barge"),0,IF(Q634="Other vessel",Alukset_fx!$Q$54,IF(Q634="Container ship",Alukset_fx!$Q$37,IF(OR(Q634="RoPax",Q634="RoRo",Q634="Vehicle carrier"),Alukset_fx!$Q$55,0))))))))</f>
        <v>0</v>
      </c>
      <c r="Z634" t="str">
        <f t="shared" si="116"/>
        <v>MDO/MGO</v>
      </c>
      <c r="AA634" t="str">
        <f t="shared" si="117"/>
        <v>MSD</v>
      </c>
      <c r="AB634" t="str">
        <f t="shared" si="118"/>
        <v>MDO/MGO</v>
      </c>
      <c r="AC634" t="str">
        <f t="shared" si="119"/>
        <v>MSD</v>
      </c>
      <c r="AD634" t="str">
        <f t="shared" si="120"/>
        <v>MDO/MGO</v>
      </c>
      <c r="AE634" t="str">
        <f t="shared" si="121"/>
        <v>ST</v>
      </c>
      <c r="AG634">
        <f>Alukset_Käynnit!O641</f>
        <v>0</v>
      </c>
      <c r="AH634" s="207">
        <f>IF(AA634="SSD",((U634*Alukset_fx!$B$24)*Alukset_Käynnit_Lask!W634*(Alukset_fx!$K$49)/1000),IF(AA634="MSD",((U634*Alukset_fx!$B$24)*Alukset_Käynnit_Lask!W634*(Alukset_fx!$K$52)/1000),IF(AA634="HSD",((U634*Alukset_fx!$B$24)*Alukset_Käynnit_Lask!W634*(Alukset_fx!$K$55)/1000),0)))</f>
        <v>0</v>
      </c>
      <c r="AI634" s="207">
        <f>IF(AC634="MSD",((V634*Alukset_fx!$B$25)*Alukset_Käynnit_Lask!W634*(Alukset_fx!$L$52)/1000),IF(AC634="HSD",((V634*Alukset_fx!$B$25)*Alukset_Käynnit_Lask!W634*(Alukset_fx!$L$55)/1000),0))</f>
        <v>0</v>
      </c>
      <c r="AJ634" s="207">
        <f>X634*W634*Alukset_fx!$K$61/1000</f>
        <v>0</v>
      </c>
      <c r="AK634">
        <v>0</v>
      </c>
      <c r="AL634" s="207">
        <f>IF(AG634="Käytetty",0,IF(AC634="MSD",((V634*Alukset_fx!$O$25)*Alukset_Käynnit_Lask!O634*(Alukset_fx!$L$52)/1000),IF(AC634="HSD",((V634*Alukset_fx!$O$25)*Alukset_Käynnit_Lask!O634*(Alukset_fx!$L$55)/1000),0)))</f>
        <v>0</v>
      </c>
      <c r="AM634" s="207">
        <f>IF(AG634="Käytetty",0,Y634*O634*Alukset_fx!$K$61/1000)</f>
        <v>0</v>
      </c>
      <c r="AN634" s="213">
        <f t="shared" si="122"/>
        <v>0</v>
      </c>
    </row>
    <row r="635" spans="1:40" x14ac:dyDescent="0.25">
      <c r="A635" s="203">
        <f>Alukset_Käynnit!A642</f>
        <v>0</v>
      </c>
      <c r="B635" s="203">
        <f>Alukset_Käynnit!B642</f>
        <v>0</v>
      </c>
      <c r="C635" s="262">
        <f>Alukset_Käynnit!C642</f>
        <v>0</v>
      </c>
      <c r="D635" s="266">
        <f>Alukset_Käynnit!D642</f>
        <v>0</v>
      </c>
      <c r="E635" s="262">
        <f>Alukset_Käynnit!E642</f>
        <v>0</v>
      </c>
      <c r="F635" s="262">
        <f>Alukset_Käynnit!F642</f>
        <v>0</v>
      </c>
      <c r="G635" s="262">
        <f>Alukset_Käynnit!G642</f>
        <v>0</v>
      </c>
      <c r="H635" s="262">
        <f>Alukset_Käynnit!H642</f>
        <v>0</v>
      </c>
      <c r="I635" s="262">
        <f>Alukset_Käynnit!I642</f>
        <v>0</v>
      </c>
      <c r="J635" s="262">
        <f>Alukset_Käynnit!J642</f>
        <v>0</v>
      </c>
      <c r="K635" s="262">
        <f>Alukset_Käynnit!K642</f>
        <v>0</v>
      </c>
      <c r="L635" s="205">
        <f>Alukset_Käynnit!L642</f>
        <v>0</v>
      </c>
      <c r="N635" s="273">
        <f t="shared" si="123"/>
        <v>0</v>
      </c>
      <c r="O635" s="274">
        <f t="shared" si="124"/>
        <v>0</v>
      </c>
      <c r="Q635" s="204">
        <f t="shared" si="113"/>
        <v>0</v>
      </c>
      <c r="R635" s="202">
        <f>IF(Q635="Other dry cargo",L635*Alukset_fx!$B$71,IF(OR(Q635="Dry bulk",Q635="Bulk carrier"),L635*Alukset_fx!$B$69,IF(Q635="Tugboat",L635*Alukset_fx!$B$76,IF(OR(Q635="Tanker",Q635="Gas tanker",Q635="Chemical tanker",Q635="Oil tanker"),L635*Alukset_fx!$B$68,IF(OR(Q635="RoRo",Q635="Vehicle carrier"),L635*Alukset_fx!$B$72,IF(Q635="RoPax",L635*Alukset_fx!$B$73,IF(Q635="Container ship",L635*Alukset_fx!$B$70,IF(Q635="Barge",0,L635*Alukset_fx!$B$75))))))))</f>
        <v>0</v>
      </c>
      <c r="S635" s="210">
        <f>IF(L635=0,IF(Q635="Other dry cargo",Alukset_fx!$H$73*(Alukset_Käynnit_Lask!K635^Alukset_fx!$I$73),IF(OR(Q635="Dry Bulk",Q635="Bulk carrier"),Alukset_fx!$H$71*(Alukset_Käynnit_Lask!K635^Alukset_fx!$I$71),IF(Q635="Tugboat",Alukset_fx!$H$78*(Alukset_Käynnit_Lask!K635^Alukset_fx!$I$78),IF(OR(Q635="Tanker",Q635="Gas tanker",Q635="Chemical tanker",Q635="Oil tanker"),Alukset_fx!$H$70*(Alukset_Käynnit_Lask!K635^Alukset_fx!$I$70),IF(Q635="Container ship",Alukset_fx!$H$72*(Alukset_Käynnit_Lask!K635^Alukset_fx!$I$72),IF(Q635="Barge",0,IF(Q635="RoPax",Alukset_fx!$H$75*(Alukset_Käynnit_Lask!K635^Alukset_fx!$I$75),IF(OR(Q635="RoRo",Q635="Vehicle carrier"),Alukset_fx!$H$74*(Alukset_Käynnit_Lask!K635^Alukset_fx!$I$74),Alukset_fx!$H$77*(Alukset_Käynnit_Lask!K635^Alukset_fx!$I$77))))))))),"-")</f>
        <v>0</v>
      </c>
      <c r="T635" s="208">
        <f>IF(R635=0,IF(Q635="Other dry cargo",S635*Alukset_fx!$B$71,IF(OR(Q635="Dry bulk",Q635="Bulk carrier"),S635*Alukset_fx!$B$69,IF(Q635="Tugboat",S635*Alukset_fx!$B$76,IF(OR(Q635="Tanker",Q635="Gas tanker",Q635="Chemical tanker",Q635="Oil tanker"),S635*Alukset_fx!$B$68,IF(OR(Q635="RoRo",Q635="Vehicle carrier"),S635*Alukset_fx!$B$72,IF(Q635="RoPax",S635*Alukset_fx!$B$73,IF(Q635="Container ship",S635*Alukset_fx!$B$70,S635*Alukset_fx!$B$75))))))),"-")</f>
        <v>0</v>
      </c>
      <c r="U635" s="208">
        <f t="shared" si="114"/>
        <v>0</v>
      </c>
      <c r="V635" s="208">
        <f t="shared" si="115"/>
        <v>0</v>
      </c>
      <c r="W635" s="202">
        <f>Alukset_Käynnit!N642</f>
        <v>0</v>
      </c>
      <c r="X635" s="211">
        <f>IF(Q635="Other dry cargo", Alukset_fx!$C$52, IF(OR(Q635="Dry bulk",Q635="Bulk carrier"),Alukset_fx!$C$35,IF(OR(Q635="Tanker",Q635="Gas tanker",Q635="Oil tanker"),Alukset_fx!$C$57,IF(Q635="Chemical tanker",Alukset_fx!$C$56,IF(OR(Q635="Tugboat",Q635="Barge"),0,IF(Q635="Other vessel",Alukset_fx!$C$54,IF(Q635="Container ship",Alukset_fx!$C$37,IF(OR(Q635="RoPax",Q635="RoRo",Q635="Vehicle carrier"),Alukset_fx!$C$55,0))))))))</f>
        <v>0</v>
      </c>
      <c r="Y635" s="211">
        <f>IF(Q635="Other dry cargo", Alukset_fx!$Q$52, IF(OR(Q635="Dry bulk",Q635="Bulk carrier"),Alukset_fx!$Q$35,IF(OR(Q635="Tanker",Q635="Gas tanker",Q635="Oil tanker"),Alukset_fx!$Q$57,IF(Q635="Chemical tanker",Alukset_fx!$Q$56,IF(OR(Q635="Tugboat",Q635="Barge"),0,IF(Q635="Other vessel",Alukset_fx!$Q$54,IF(Q635="Container ship",Alukset_fx!$Q$37,IF(OR(Q635="RoPax",Q635="RoRo",Q635="Vehicle carrier"),Alukset_fx!$Q$55,0))))))))</f>
        <v>0</v>
      </c>
      <c r="Z635" t="str">
        <f t="shared" si="116"/>
        <v>MDO/MGO</v>
      </c>
      <c r="AA635" t="str">
        <f t="shared" si="117"/>
        <v>MSD</v>
      </c>
      <c r="AB635" t="str">
        <f t="shared" si="118"/>
        <v>MDO/MGO</v>
      </c>
      <c r="AC635" t="str">
        <f t="shared" si="119"/>
        <v>MSD</v>
      </c>
      <c r="AD635" t="str">
        <f t="shared" si="120"/>
        <v>MDO/MGO</v>
      </c>
      <c r="AE635" t="str">
        <f t="shared" si="121"/>
        <v>ST</v>
      </c>
      <c r="AG635">
        <f>Alukset_Käynnit!O642</f>
        <v>0</v>
      </c>
      <c r="AH635" s="207">
        <f>IF(AA635="SSD",((U635*Alukset_fx!$B$24)*Alukset_Käynnit_Lask!W635*(Alukset_fx!$K$49)/1000),IF(AA635="MSD",((U635*Alukset_fx!$B$24)*Alukset_Käynnit_Lask!W635*(Alukset_fx!$K$52)/1000),IF(AA635="HSD",((U635*Alukset_fx!$B$24)*Alukset_Käynnit_Lask!W635*(Alukset_fx!$K$55)/1000),0)))</f>
        <v>0</v>
      </c>
      <c r="AI635" s="207">
        <f>IF(AC635="MSD",((V635*Alukset_fx!$B$25)*Alukset_Käynnit_Lask!W635*(Alukset_fx!$L$52)/1000),IF(AC635="HSD",((V635*Alukset_fx!$B$25)*Alukset_Käynnit_Lask!W635*(Alukset_fx!$L$55)/1000),0))</f>
        <v>0</v>
      </c>
      <c r="AJ635" s="207">
        <f>X635*W635*Alukset_fx!$K$61/1000</f>
        <v>0</v>
      </c>
      <c r="AK635">
        <v>0</v>
      </c>
      <c r="AL635" s="207">
        <f>IF(AG635="Käytetty",0,IF(AC635="MSD",((V635*Alukset_fx!$O$25)*Alukset_Käynnit_Lask!O635*(Alukset_fx!$L$52)/1000),IF(AC635="HSD",((V635*Alukset_fx!$O$25)*Alukset_Käynnit_Lask!O635*(Alukset_fx!$L$55)/1000),0)))</f>
        <v>0</v>
      </c>
      <c r="AM635" s="207">
        <f>IF(AG635="Käytetty",0,Y635*O635*Alukset_fx!$K$61/1000)</f>
        <v>0</v>
      </c>
      <c r="AN635" s="213">
        <f t="shared" si="122"/>
        <v>0</v>
      </c>
    </row>
    <row r="636" spans="1:40" x14ac:dyDescent="0.25">
      <c r="A636" s="203">
        <f>Alukset_Käynnit!A643</f>
        <v>0</v>
      </c>
      <c r="B636" s="203">
        <f>Alukset_Käynnit!B643</f>
        <v>0</v>
      </c>
      <c r="C636" s="262">
        <f>Alukset_Käynnit!C643</f>
        <v>0</v>
      </c>
      <c r="D636" s="266">
        <f>Alukset_Käynnit!D643</f>
        <v>0</v>
      </c>
      <c r="E636" s="262">
        <f>Alukset_Käynnit!E643</f>
        <v>0</v>
      </c>
      <c r="F636" s="262">
        <f>Alukset_Käynnit!F643</f>
        <v>0</v>
      </c>
      <c r="G636" s="262">
        <f>Alukset_Käynnit!G643</f>
        <v>0</v>
      </c>
      <c r="H636" s="262">
        <f>Alukset_Käynnit!H643</f>
        <v>0</v>
      </c>
      <c r="I636" s="262">
        <f>Alukset_Käynnit!I643</f>
        <v>0</v>
      </c>
      <c r="J636" s="262">
        <f>Alukset_Käynnit!J643</f>
        <v>0</v>
      </c>
      <c r="K636" s="262">
        <f>Alukset_Käynnit!K643</f>
        <v>0</v>
      </c>
      <c r="L636" s="205">
        <f>Alukset_Käynnit!L643</f>
        <v>0</v>
      </c>
      <c r="N636" s="273">
        <f t="shared" si="123"/>
        <v>0</v>
      </c>
      <c r="O636" s="274">
        <f t="shared" si="124"/>
        <v>0</v>
      </c>
      <c r="Q636" s="204">
        <f t="shared" si="113"/>
        <v>0</v>
      </c>
      <c r="R636" s="202">
        <f>IF(Q636="Other dry cargo",L636*Alukset_fx!$B$71,IF(OR(Q636="Dry bulk",Q636="Bulk carrier"),L636*Alukset_fx!$B$69,IF(Q636="Tugboat",L636*Alukset_fx!$B$76,IF(OR(Q636="Tanker",Q636="Gas tanker",Q636="Chemical tanker",Q636="Oil tanker"),L636*Alukset_fx!$B$68,IF(OR(Q636="RoRo",Q636="Vehicle carrier"),L636*Alukset_fx!$B$72,IF(Q636="RoPax",L636*Alukset_fx!$B$73,IF(Q636="Container ship",L636*Alukset_fx!$B$70,IF(Q636="Barge",0,L636*Alukset_fx!$B$75))))))))</f>
        <v>0</v>
      </c>
      <c r="S636" s="210">
        <f>IF(L636=0,IF(Q636="Other dry cargo",Alukset_fx!$H$73*(Alukset_Käynnit_Lask!K636^Alukset_fx!$I$73),IF(OR(Q636="Dry Bulk",Q636="Bulk carrier"),Alukset_fx!$H$71*(Alukset_Käynnit_Lask!K636^Alukset_fx!$I$71),IF(Q636="Tugboat",Alukset_fx!$H$78*(Alukset_Käynnit_Lask!K636^Alukset_fx!$I$78),IF(OR(Q636="Tanker",Q636="Gas tanker",Q636="Chemical tanker",Q636="Oil tanker"),Alukset_fx!$H$70*(Alukset_Käynnit_Lask!K636^Alukset_fx!$I$70),IF(Q636="Container ship",Alukset_fx!$H$72*(Alukset_Käynnit_Lask!K636^Alukset_fx!$I$72),IF(Q636="Barge",0,IF(Q636="RoPax",Alukset_fx!$H$75*(Alukset_Käynnit_Lask!K636^Alukset_fx!$I$75),IF(OR(Q636="RoRo",Q636="Vehicle carrier"),Alukset_fx!$H$74*(Alukset_Käynnit_Lask!K636^Alukset_fx!$I$74),Alukset_fx!$H$77*(Alukset_Käynnit_Lask!K636^Alukset_fx!$I$77))))))))),"-")</f>
        <v>0</v>
      </c>
      <c r="T636" s="208">
        <f>IF(R636=0,IF(Q636="Other dry cargo",S636*Alukset_fx!$B$71,IF(OR(Q636="Dry bulk",Q636="Bulk carrier"),S636*Alukset_fx!$B$69,IF(Q636="Tugboat",S636*Alukset_fx!$B$76,IF(OR(Q636="Tanker",Q636="Gas tanker",Q636="Chemical tanker",Q636="Oil tanker"),S636*Alukset_fx!$B$68,IF(OR(Q636="RoRo",Q636="Vehicle carrier"),S636*Alukset_fx!$B$72,IF(Q636="RoPax",S636*Alukset_fx!$B$73,IF(Q636="Container ship",S636*Alukset_fx!$B$70,S636*Alukset_fx!$B$75))))))),"-")</f>
        <v>0</v>
      </c>
      <c r="U636" s="208">
        <f t="shared" si="114"/>
        <v>0</v>
      </c>
      <c r="V636" s="208">
        <f t="shared" si="115"/>
        <v>0</v>
      </c>
      <c r="W636" s="202">
        <f>Alukset_Käynnit!N643</f>
        <v>0</v>
      </c>
      <c r="X636" s="211">
        <f>IF(Q636="Other dry cargo", Alukset_fx!$C$52, IF(OR(Q636="Dry bulk",Q636="Bulk carrier"),Alukset_fx!$C$35,IF(OR(Q636="Tanker",Q636="Gas tanker",Q636="Oil tanker"),Alukset_fx!$C$57,IF(Q636="Chemical tanker",Alukset_fx!$C$56,IF(OR(Q636="Tugboat",Q636="Barge"),0,IF(Q636="Other vessel",Alukset_fx!$C$54,IF(Q636="Container ship",Alukset_fx!$C$37,IF(OR(Q636="RoPax",Q636="RoRo",Q636="Vehicle carrier"),Alukset_fx!$C$55,0))))))))</f>
        <v>0</v>
      </c>
      <c r="Y636" s="211">
        <f>IF(Q636="Other dry cargo", Alukset_fx!$Q$52, IF(OR(Q636="Dry bulk",Q636="Bulk carrier"),Alukset_fx!$Q$35,IF(OR(Q636="Tanker",Q636="Gas tanker",Q636="Oil tanker"),Alukset_fx!$Q$57,IF(Q636="Chemical tanker",Alukset_fx!$Q$56,IF(OR(Q636="Tugboat",Q636="Barge"),0,IF(Q636="Other vessel",Alukset_fx!$Q$54,IF(Q636="Container ship",Alukset_fx!$Q$37,IF(OR(Q636="RoPax",Q636="RoRo",Q636="Vehicle carrier"),Alukset_fx!$Q$55,0))))))))</f>
        <v>0</v>
      </c>
      <c r="Z636" t="str">
        <f t="shared" si="116"/>
        <v>MDO/MGO</v>
      </c>
      <c r="AA636" t="str">
        <f t="shared" si="117"/>
        <v>MSD</v>
      </c>
      <c r="AB636" t="str">
        <f t="shared" si="118"/>
        <v>MDO/MGO</v>
      </c>
      <c r="AC636" t="str">
        <f t="shared" si="119"/>
        <v>MSD</v>
      </c>
      <c r="AD636" t="str">
        <f t="shared" si="120"/>
        <v>MDO/MGO</v>
      </c>
      <c r="AE636" t="str">
        <f t="shared" si="121"/>
        <v>ST</v>
      </c>
      <c r="AG636">
        <f>Alukset_Käynnit!O643</f>
        <v>0</v>
      </c>
      <c r="AH636" s="207">
        <f>IF(AA636="SSD",((U636*Alukset_fx!$B$24)*Alukset_Käynnit_Lask!W636*(Alukset_fx!$K$49)/1000),IF(AA636="MSD",((U636*Alukset_fx!$B$24)*Alukset_Käynnit_Lask!W636*(Alukset_fx!$K$52)/1000),IF(AA636="HSD",((U636*Alukset_fx!$B$24)*Alukset_Käynnit_Lask!W636*(Alukset_fx!$K$55)/1000),0)))</f>
        <v>0</v>
      </c>
      <c r="AI636" s="207">
        <f>IF(AC636="MSD",((V636*Alukset_fx!$B$25)*Alukset_Käynnit_Lask!W636*(Alukset_fx!$L$52)/1000),IF(AC636="HSD",((V636*Alukset_fx!$B$25)*Alukset_Käynnit_Lask!W636*(Alukset_fx!$L$55)/1000),0))</f>
        <v>0</v>
      </c>
      <c r="AJ636" s="207">
        <f>X636*W636*Alukset_fx!$K$61/1000</f>
        <v>0</v>
      </c>
      <c r="AK636">
        <v>0</v>
      </c>
      <c r="AL636" s="207">
        <f>IF(AG636="Käytetty",0,IF(AC636="MSD",((V636*Alukset_fx!$O$25)*Alukset_Käynnit_Lask!O636*(Alukset_fx!$L$52)/1000),IF(AC636="HSD",((V636*Alukset_fx!$O$25)*Alukset_Käynnit_Lask!O636*(Alukset_fx!$L$55)/1000),0)))</f>
        <v>0</v>
      </c>
      <c r="AM636" s="207">
        <f>IF(AG636="Käytetty",0,Y636*O636*Alukset_fx!$K$61/1000)</f>
        <v>0</v>
      </c>
      <c r="AN636" s="213">
        <f t="shared" si="122"/>
        <v>0</v>
      </c>
    </row>
    <row r="637" spans="1:40" x14ac:dyDescent="0.25">
      <c r="A637" s="203">
        <f>Alukset_Käynnit!A644</f>
        <v>0</v>
      </c>
      <c r="B637" s="203">
        <f>Alukset_Käynnit!B644</f>
        <v>0</v>
      </c>
      <c r="C637" s="262">
        <f>Alukset_Käynnit!C644</f>
        <v>0</v>
      </c>
      <c r="D637" s="266">
        <f>Alukset_Käynnit!D644</f>
        <v>0</v>
      </c>
      <c r="E637" s="262">
        <f>Alukset_Käynnit!E644</f>
        <v>0</v>
      </c>
      <c r="F637" s="262">
        <f>Alukset_Käynnit!F644</f>
        <v>0</v>
      </c>
      <c r="G637" s="262">
        <f>Alukset_Käynnit!G644</f>
        <v>0</v>
      </c>
      <c r="H637" s="262">
        <f>Alukset_Käynnit!H644</f>
        <v>0</v>
      </c>
      <c r="I637" s="262">
        <f>Alukset_Käynnit!I644</f>
        <v>0</v>
      </c>
      <c r="J637" s="262">
        <f>Alukset_Käynnit!J644</f>
        <v>0</v>
      </c>
      <c r="K637" s="262">
        <f>Alukset_Käynnit!K644</f>
        <v>0</v>
      </c>
      <c r="L637" s="205">
        <f>Alukset_Käynnit!L644</f>
        <v>0</v>
      </c>
      <c r="N637" s="273">
        <f t="shared" si="123"/>
        <v>0</v>
      </c>
      <c r="O637" s="274">
        <f t="shared" si="124"/>
        <v>0</v>
      </c>
      <c r="Q637" s="204">
        <f t="shared" si="113"/>
        <v>0</v>
      </c>
      <c r="R637" s="202">
        <f>IF(Q637="Other dry cargo",L637*Alukset_fx!$B$71,IF(OR(Q637="Dry bulk",Q637="Bulk carrier"),L637*Alukset_fx!$B$69,IF(Q637="Tugboat",L637*Alukset_fx!$B$76,IF(OR(Q637="Tanker",Q637="Gas tanker",Q637="Chemical tanker",Q637="Oil tanker"),L637*Alukset_fx!$B$68,IF(OR(Q637="RoRo",Q637="Vehicle carrier"),L637*Alukset_fx!$B$72,IF(Q637="RoPax",L637*Alukset_fx!$B$73,IF(Q637="Container ship",L637*Alukset_fx!$B$70,IF(Q637="Barge",0,L637*Alukset_fx!$B$75))))))))</f>
        <v>0</v>
      </c>
      <c r="S637" s="210">
        <f>IF(L637=0,IF(Q637="Other dry cargo",Alukset_fx!$H$73*(Alukset_Käynnit_Lask!K637^Alukset_fx!$I$73),IF(OR(Q637="Dry Bulk",Q637="Bulk carrier"),Alukset_fx!$H$71*(Alukset_Käynnit_Lask!K637^Alukset_fx!$I$71),IF(Q637="Tugboat",Alukset_fx!$H$78*(Alukset_Käynnit_Lask!K637^Alukset_fx!$I$78),IF(OR(Q637="Tanker",Q637="Gas tanker",Q637="Chemical tanker",Q637="Oil tanker"),Alukset_fx!$H$70*(Alukset_Käynnit_Lask!K637^Alukset_fx!$I$70),IF(Q637="Container ship",Alukset_fx!$H$72*(Alukset_Käynnit_Lask!K637^Alukset_fx!$I$72),IF(Q637="Barge",0,IF(Q637="RoPax",Alukset_fx!$H$75*(Alukset_Käynnit_Lask!K637^Alukset_fx!$I$75),IF(OR(Q637="RoRo",Q637="Vehicle carrier"),Alukset_fx!$H$74*(Alukset_Käynnit_Lask!K637^Alukset_fx!$I$74),Alukset_fx!$H$77*(Alukset_Käynnit_Lask!K637^Alukset_fx!$I$77))))))))),"-")</f>
        <v>0</v>
      </c>
      <c r="T637" s="208">
        <f>IF(R637=0,IF(Q637="Other dry cargo",S637*Alukset_fx!$B$71,IF(OR(Q637="Dry bulk",Q637="Bulk carrier"),S637*Alukset_fx!$B$69,IF(Q637="Tugboat",S637*Alukset_fx!$B$76,IF(OR(Q637="Tanker",Q637="Gas tanker",Q637="Chemical tanker",Q637="Oil tanker"),S637*Alukset_fx!$B$68,IF(OR(Q637="RoRo",Q637="Vehicle carrier"),S637*Alukset_fx!$B$72,IF(Q637="RoPax",S637*Alukset_fx!$B$73,IF(Q637="Container ship",S637*Alukset_fx!$B$70,S637*Alukset_fx!$B$75))))))),"-")</f>
        <v>0</v>
      </c>
      <c r="U637" s="208">
        <f t="shared" si="114"/>
        <v>0</v>
      </c>
      <c r="V637" s="208">
        <f t="shared" si="115"/>
        <v>0</v>
      </c>
      <c r="W637" s="202">
        <f>Alukset_Käynnit!N644</f>
        <v>0</v>
      </c>
      <c r="X637" s="211">
        <f>IF(Q637="Other dry cargo", Alukset_fx!$C$52, IF(OR(Q637="Dry bulk",Q637="Bulk carrier"),Alukset_fx!$C$35,IF(OR(Q637="Tanker",Q637="Gas tanker",Q637="Oil tanker"),Alukset_fx!$C$57,IF(Q637="Chemical tanker",Alukset_fx!$C$56,IF(OR(Q637="Tugboat",Q637="Barge"),0,IF(Q637="Other vessel",Alukset_fx!$C$54,IF(Q637="Container ship",Alukset_fx!$C$37,IF(OR(Q637="RoPax",Q637="RoRo",Q637="Vehicle carrier"),Alukset_fx!$C$55,0))))))))</f>
        <v>0</v>
      </c>
      <c r="Y637" s="211">
        <f>IF(Q637="Other dry cargo", Alukset_fx!$Q$52, IF(OR(Q637="Dry bulk",Q637="Bulk carrier"),Alukset_fx!$Q$35,IF(OR(Q637="Tanker",Q637="Gas tanker",Q637="Oil tanker"),Alukset_fx!$Q$57,IF(Q637="Chemical tanker",Alukset_fx!$Q$56,IF(OR(Q637="Tugboat",Q637="Barge"),0,IF(Q637="Other vessel",Alukset_fx!$Q$54,IF(Q637="Container ship",Alukset_fx!$Q$37,IF(OR(Q637="RoPax",Q637="RoRo",Q637="Vehicle carrier"),Alukset_fx!$Q$55,0))))))))</f>
        <v>0</v>
      </c>
      <c r="Z637" t="str">
        <f t="shared" si="116"/>
        <v>MDO/MGO</v>
      </c>
      <c r="AA637" t="str">
        <f t="shared" si="117"/>
        <v>MSD</v>
      </c>
      <c r="AB637" t="str">
        <f t="shared" si="118"/>
        <v>MDO/MGO</v>
      </c>
      <c r="AC637" t="str">
        <f t="shared" si="119"/>
        <v>MSD</v>
      </c>
      <c r="AD637" t="str">
        <f t="shared" si="120"/>
        <v>MDO/MGO</v>
      </c>
      <c r="AE637" t="str">
        <f t="shared" si="121"/>
        <v>ST</v>
      </c>
      <c r="AG637">
        <f>Alukset_Käynnit!O644</f>
        <v>0</v>
      </c>
      <c r="AH637" s="207">
        <f>IF(AA637="SSD",((U637*Alukset_fx!$B$24)*Alukset_Käynnit_Lask!W637*(Alukset_fx!$K$49)/1000),IF(AA637="MSD",((U637*Alukset_fx!$B$24)*Alukset_Käynnit_Lask!W637*(Alukset_fx!$K$52)/1000),IF(AA637="HSD",((U637*Alukset_fx!$B$24)*Alukset_Käynnit_Lask!W637*(Alukset_fx!$K$55)/1000),0)))</f>
        <v>0</v>
      </c>
      <c r="AI637" s="207">
        <f>IF(AC637="MSD",((V637*Alukset_fx!$B$25)*Alukset_Käynnit_Lask!W637*(Alukset_fx!$L$52)/1000),IF(AC637="HSD",((V637*Alukset_fx!$B$25)*Alukset_Käynnit_Lask!W637*(Alukset_fx!$L$55)/1000),0))</f>
        <v>0</v>
      </c>
      <c r="AJ637" s="207">
        <f>X637*W637*Alukset_fx!$K$61/1000</f>
        <v>0</v>
      </c>
      <c r="AK637">
        <v>0</v>
      </c>
      <c r="AL637" s="207">
        <f>IF(AG637="Käytetty",0,IF(AC637="MSD",((V637*Alukset_fx!$O$25)*Alukset_Käynnit_Lask!O637*(Alukset_fx!$L$52)/1000),IF(AC637="HSD",((V637*Alukset_fx!$O$25)*Alukset_Käynnit_Lask!O637*(Alukset_fx!$L$55)/1000),0)))</f>
        <v>0</v>
      </c>
      <c r="AM637" s="207">
        <f>IF(AG637="Käytetty",0,Y637*O637*Alukset_fx!$K$61/1000)</f>
        <v>0</v>
      </c>
      <c r="AN637" s="213">
        <f t="shared" si="122"/>
        <v>0</v>
      </c>
    </row>
    <row r="638" spans="1:40" x14ac:dyDescent="0.25">
      <c r="A638" s="203">
        <f>Alukset_Käynnit!A645</f>
        <v>0</v>
      </c>
      <c r="B638" s="203">
        <f>Alukset_Käynnit!B645</f>
        <v>0</v>
      </c>
      <c r="C638" s="262">
        <f>Alukset_Käynnit!C645</f>
        <v>0</v>
      </c>
      <c r="D638" s="266">
        <f>Alukset_Käynnit!D645</f>
        <v>0</v>
      </c>
      <c r="E638" s="262">
        <f>Alukset_Käynnit!E645</f>
        <v>0</v>
      </c>
      <c r="F638" s="262">
        <f>Alukset_Käynnit!F645</f>
        <v>0</v>
      </c>
      <c r="G638" s="262">
        <f>Alukset_Käynnit!G645</f>
        <v>0</v>
      </c>
      <c r="H638" s="262">
        <f>Alukset_Käynnit!H645</f>
        <v>0</v>
      </c>
      <c r="I638" s="262">
        <f>Alukset_Käynnit!I645</f>
        <v>0</v>
      </c>
      <c r="J638" s="262">
        <f>Alukset_Käynnit!J645</f>
        <v>0</v>
      </c>
      <c r="K638" s="262">
        <f>Alukset_Käynnit!K645</f>
        <v>0</v>
      </c>
      <c r="L638" s="205">
        <f>Alukset_Käynnit!L645</f>
        <v>0</v>
      </c>
      <c r="N638" s="273">
        <f t="shared" si="123"/>
        <v>0</v>
      </c>
      <c r="O638" s="274">
        <f t="shared" si="124"/>
        <v>0</v>
      </c>
      <c r="Q638" s="204">
        <f t="shared" si="113"/>
        <v>0</v>
      </c>
      <c r="R638" s="202">
        <f>IF(Q638="Other dry cargo",L638*Alukset_fx!$B$71,IF(OR(Q638="Dry bulk",Q638="Bulk carrier"),L638*Alukset_fx!$B$69,IF(Q638="Tugboat",L638*Alukset_fx!$B$76,IF(OR(Q638="Tanker",Q638="Gas tanker",Q638="Chemical tanker",Q638="Oil tanker"),L638*Alukset_fx!$B$68,IF(OR(Q638="RoRo",Q638="Vehicle carrier"),L638*Alukset_fx!$B$72,IF(Q638="RoPax",L638*Alukset_fx!$B$73,IF(Q638="Container ship",L638*Alukset_fx!$B$70,IF(Q638="Barge",0,L638*Alukset_fx!$B$75))))))))</f>
        <v>0</v>
      </c>
      <c r="S638" s="210">
        <f>IF(L638=0,IF(Q638="Other dry cargo",Alukset_fx!$H$73*(Alukset_Käynnit_Lask!K638^Alukset_fx!$I$73),IF(OR(Q638="Dry Bulk",Q638="Bulk carrier"),Alukset_fx!$H$71*(Alukset_Käynnit_Lask!K638^Alukset_fx!$I$71),IF(Q638="Tugboat",Alukset_fx!$H$78*(Alukset_Käynnit_Lask!K638^Alukset_fx!$I$78),IF(OR(Q638="Tanker",Q638="Gas tanker",Q638="Chemical tanker",Q638="Oil tanker"),Alukset_fx!$H$70*(Alukset_Käynnit_Lask!K638^Alukset_fx!$I$70),IF(Q638="Container ship",Alukset_fx!$H$72*(Alukset_Käynnit_Lask!K638^Alukset_fx!$I$72),IF(Q638="Barge",0,IF(Q638="RoPax",Alukset_fx!$H$75*(Alukset_Käynnit_Lask!K638^Alukset_fx!$I$75),IF(OR(Q638="RoRo",Q638="Vehicle carrier"),Alukset_fx!$H$74*(Alukset_Käynnit_Lask!K638^Alukset_fx!$I$74),Alukset_fx!$H$77*(Alukset_Käynnit_Lask!K638^Alukset_fx!$I$77))))))))),"-")</f>
        <v>0</v>
      </c>
      <c r="T638" s="208">
        <f>IF(R638=0,IF(Q638="Other dry cargo",S638*Alukset_fx!$B$71,IF(OR(Q638="Dry bulk",Q638="Bulk carrier"),S638*Alukset_fx!$B$69,IF(Q638="Tugboat",S638*Alukset_fx!$B$76,IF(OR(Q638="Tanker",Q638="Gas tanker",Q638="Chemical tanker",Q638="Oil tanker"),S638*Alukset_fx!$B$68,IF(OR(Q638="RoRo",Q638="Vehicle carrier"),S638*Alukset_fx!$B$72,IF(Q638="RoPax",S638*Alukset_fx!$B$73,IF(Q638="Container ship",S638*Alukset_fx!$B$70,S638*Alukset_fx!$B$75))))))),"-")</f>
        <v>0</v>
      </c>
      <c r="U638" s="208">
        <f t="shared" si="114"/>
        <v>0</v>
      </c>
      <c r="V638" s="208">
        <f t="shared" si="115"/>
        <v>0</v>
      </c>
      <c r="W638" s="202">
        <f>Alukset_Käynnit!N645</f>
        <v>0</v>
      </c>
      <c r="X638" s="211">
        <f>IF(Q638="Other dry cargo", Alukset_fx!$C$52, IF(OR(Q638="Dry bulk",Q638="Bulk carrier"),Alukset_fx!$C$35,IF(OR(Q638="Tanker",Q638="Gas tanker",Q638="Oil tanker"),Alukset_fx!$C$57,IF(Q638="Chemical tanker",Alukset_fx!$C$56,IF(OR(Q638="Tugboat",Q638="Barge"),0,IF(Q638="Other vessel",Alukset_fx!$C$54,IF(Q638="Container ship",Alukset_fx!$C$37,IF(OR(Q638="RoPax",Q638="RoRo",Q638="Vehicle carrier"),Alukset_fx!$C$55,0))))))))</f>
        <v>0</v>
      </c>
      <c r="Y638" s="211">
        <f>IF(Q638="Other dry cargo", Alukset_fx!$Q$52, IF(OR(Q638="Dry bulk",Q638="Bulk carrier"),Alukset_fx!$Q$35,IF(OR(Q638="Tanker",Q638="Gas tanker",Q638="Oil tanker"),Alukset_fx!$Q$57,IF(Q638="Chemical tanker",Alukset_fx!$Q$56,IF(OR(Q638="Tugboat",Q638="Barge"),0,IF(Q638="Other vessel",Alukset_fx!$Q$54,IF(Q638="Container ship",Alukset_fx!$Q$37,IF(OR(Q638="RoPax",Q638="RoRo",Q638="Vehicle carrier"),Alukset_fx!$Q$55,0))))))))</f>
        <v>0</v>
      </c>
      <c r="Z638" t="str">
        <f t="shared" si="116"/>
        <v>MDO/MGO</v>
      </c>
      <c r="AA638" t="str">
        <f t="shared" si="117"/>
        <v>MSD</v>
      </c>
      <c r="AB638" t="str">
        <f t="shared" si="118"/>
        <v>MDO/MGO</v>
      </c>
      <c r="AC638" t="str">
        <f t="shared" si="119"/>
        <v>MSD</v>
      </c>
      <c r="AD638" t="str">
        <f t="shared" si="120"/>
        <v>MDO/MGO</v>
      </c>
      <c r="AE638" t="str">
        <f t="shared" si="121"/>
        <v>ST</v>
      </c>
      <c r="AG638">
        <f>Alukset_Käynnit!O645</f>
        <v>0</v>
      </c>
      <c r="AH638" s="207">
        <f>IF(AA638="SSD",((U638*Alukset_fx!$B$24)*Alukset_Käynnit_Lask!W638*(Alukset_fx!$K$49)/1000),IF(AA638="MSD",((U638*Alukset_fx!$B$24)*Alukset_Käynnit_Lask!W638*(Alukset_fx!$K$52)/1000),IF(AA638="HSD",((U638*Alukset_fx!$B$24)*Alukset_Käynnit_Lask!W638*(Alukset_fx!$K$55)/1000),0)))</f>
        <v>0</v>
      </c>
      <c r="AI638" s="207">
        <f>IF(AC638="MSD",((V638*Alukset_fx!$B$25)*Alukset_Käynnit_Lask!W638*(Alukset_fx!$L$52)/1000),IF(AC638="HSD",((V638*Alukset_fx!$B$25)*Alukset_Käynnit_Lask!W638*(Alukset_fx!$L$55)/1000),0))</f>
        <v>0</v>
      </c>
      <c r="AJ638" s="207">
        <f>X638*W638*Alukset_fx!$K$61/1000</f>
        <v>0</v>
      </c>
      <c r="AK638">
        <v>0</v>
      </c>
      <c r="AL638" s="207">
        <f>IF(AG638="Käytetty",0,IF(AC638="MSD",((V638*Alukset_fx!$O$25)*Alukset_Käynnit_Lask!O638*(Alukset_fx!$L$52)/1000),IF(AC638="HSD",((V638*Alukset_fx!$O$25)*Alukset_Käynnit_Lask!O638*(Alukset_fx!$L$55)/1000),0)))</f>
        <v>0</v>
      </c>
      <c r="AM638" s="207">
        <f>IF(AG638="Käytetty",0,Y638*O638*Alukset_fx!$K$61/1000)</f>
        <v>0</v>
      </c>
      <c r="AN638" s="213">
        <f t="shared" si="122"/>
        <v>0</v>
      </c>
    </row>
    <row r="639" spans="1:40" x14ac:dyDescent="0.25">
      <c r="A639" s="203">
        <f>Alukset_Käynnit!A646</f>
        <v>0</v>
      </c>
      <c r="B639" s="203">
        <f>Alukset_Käynnit!B646</f>
        <v>0</v>
      </c>
      <c r="C639" s="262">
        <f>Alukset_Käynnit!C646</f>
        <v>0</v>
      </c>
      <c r="D639" s="266">
        <f>Alukset_Käynnit!D646</f>
        <v>0</v>
      </c>
      <c r="E639" s="262">
        <f>Alukset_Käynnit!E646</f>
        <v>0</v>
      </c>
      <c r="F639" s="262">
        <f>Alukset_Käynnit!F646</f>
        <v>0</v>
      </c>
      <c r="G639" s="262">
        <f>Alukset_Käynnit!G646</f>
        <v>0</v>
      </c>
      <c r="H639" s="262">
        <f>Alukset_Käynnit!H646</f>
        <v>0</v>
      </c>
      <c r="I639" s="262">
        <f>Alukset_Käynnit!I646</f>
        <v>0</v>
      </c>
      <c r="J639" s="262">
        <f>Alukset_Käynnit!J646</f>
        <v>0</v>
      </c>
      <c r="K639" s="262">
        <f>Alukset_Käynnit!K646</f>
        <v>0</v>
      </c>
      <c r="L639" s="205">
        <f>Alukset_Käynnit!L646</f>
        <v>0</v>
      </c>
      <c r="N639" s="273">
        <f t="shared" si="123"/>
        <v>0</v>
      </c>
      <c r="O639" s="274">
        <f t="shared" si="124"/>
        <v>0</v>
      </c>
      <c r="Q639" s="204">
        <f t="shared" si="113"/>
        <v>0</v>
      </c>
      <c r="R639" s="202">
        <f>IF(Q639="Other dry cargo",L639*Alukset_fx!$B$71,IF(OR(Q639="Dry bulk",Q639="Bulk carrier"),L639*Alukset_fx!$B$69,IF(Q639="Tugboat",L639*Alukset_fx!$B$76,IF(OR(Q639="Tanker",Q639="Gas tanker",Q639="Chemical tanker",Q639="Oil tanker"),L639*Alukset_fx!$B$68,IF(OR(Q639="RoRo",Q639="Vehicle carrier"),L639*Alukset_fx!$B$72,IF(Q639="RoPax",L639*Alukset_fx!$B$73,IF(Q639="Container ship",L639*Alukset_fx!$B$70,IF(Q639="Barge",0,L639*Alukset_fx!$B$75))))))))</f>
        <v>0</v>
      </c>
      <c r="S639" s="210">
        <f>IF(L639=0,IF(Q639="Other dry cargo",Alukset_fx!$H$73*(Alukset_Käynnit_Lask!K639^Alukset_fx!$I$73),IF(OR(Q639="Dry Bulk",Q639="Bulk carrier"),Alukset_fx!$H$71*(Alukset_Käynnit_Lask!K639^Alukset_fx!$I$71),IF(Q639="Tugboat",Alukset_fx!$H$78*(Alukset_Käynnit_Lask!K639^Alukset_fx!$I$78),IF(OR(Q639="Tanker",Q639="Gas tanker",Q639="Chemical tanker",Q639="Oil tanker"),Alukset_fx!$H$70*(Alukset_Käynnit_Lask!K639^Alukset_fx!$I$70),IF(Q639="Container ship",Alukset_fx!$H$72*(Alukset_Käynnit_Lask!K639^Alukset_fx!$I$72),IF(Q639="Barge",0,IF(Q639="RoPax",Alukset_fx!$H$75*(Alukset_Käynnit_Lask!K639^Alukset_fx!$I$75),IF(OR(Q639="RoRo",Q639="Vehicle carrier"),Alukset_fx!$H$74*(Alukset_Käynnit_Lask!K639^Alukset_fx!$I$74),Alukset_fx!$H$77*(Alukset_Käynnit_Lask!K639^Alukset_fx!$I$77))))))))),"-")</f>
        <v>0</v>
      </c>
      <c r="T639" s="208">
        <f>IF(R639=0,IF(Q639="Other dry cargo",S639*Alukset_fx!$B$71,IF(OR(Q639="Dry bulk",Q639="Bulk carrier"),S639*Alukset_fx!$B$69,IF(Q639="Tugboat",S639*Alukset_fx!$B$76,IF(OR(Q639="Tanker",Q639="Gas tanker",Q639="Chemical tanker",Q639="Oil tanker"),S639*Alukset_fx!$B$68,IF(OR(Q639="RoRo",Q639="Vehicle carrier"),S639*Alukset_fx!$B$72,IF(Q639="RoPax",S639*Alukset_fx!$B$73,IF(Q639="Container ship",S639*Alukset_fx!$B$70,S639*Alukset_fx!$B$75))))))),"-")</f>
        <v>0</v>
      </c>
      <c r="U639" s="208">
        <f t="shared" si="114"/>
        <v>0</v>
      </c>
      <c r="V639" s="208">
        <f t="shared" si="115"/>
        <v>0</v>
      </c>
      <c r="W639" s="202">
        <f>Alukset_Käynnit!N646</f>
        <v>0</v>
      </c>
      <c r="X639" s="211">
        <f>IF(Q639="Other dry cargo", Alukset_fx!$C$52, IF(OR(Q639="Dry bulk",Q639="Bulk carrier"),Alukset_fx!$C$35,IF(OR(Q639="Tanker",Q639="Gas tanker",Q639="Oil tanker"),Alukset_fx!$C$57,IF(Q639="Chemical tanker",Alukset_fx!$C$56,IF(OR(Q639="Tugboat",Q639="Barge"),0,IF(Q639="Other vessel",Alukset_fx!$C$54,IF(Q639="Container ship",Alukset_fx!$C$37,IF(OR(Q639="RoPax",Q639="RoRo",Q639="Vehicle carrier"),Alukset_fx!$C$55,0))))))))</f>
        <v>0</v>
      </c>
      <c r="Y639" s="211">
        <f>IF(Q639="Other dry cargo", Alukset_fx!$Q$52, IF(OR(Q639="Dry bulk",Q639="Bulk carrier"),Alukset_fx!$Q$35,IF(OR(Q639="Tanker",Q639="Gas tanker",Q639="Oil tanker"),Alukset_fx!$Q$57,IF(Q639="Chemical tanker",Alukset_fx!$Q$56,IF(OR(Q639="Tugboat",Q639="Barge"),0,IF(Q639="Other vessel",Alukset_fx!$Q$54,IF(Q639="Container ship",Alukset_fx!$Q$37,IF(OR(Q639="RoPax",Q639="RoRo",Q639="Vehicle carrier"),Alukset_fx!$Q$55,0))))))))</f>
        <v>0</v>
      </c>
      <c r="Z639" t="str">
        <f t="shared" si="116"/>
        <v>MDO/MGO</v>
      </c>
      <c r="AA639" t="str">
        <f t="shared" si="117"/>
        <v>MSD</v>
      </c>
      <c r="AB639" t="str">
        <f t="shared" si="118"/>
        <v>MDO/MGO</v>
      </c>
      <c r="AC639" t="str">
        <f t="shared" si="119"/>
        <v>MSD</v>
      </c>
      <c r="AD639" t="str">
        <f t="shared" si="120"/>
        <v>MDO/MGO</v>
      </c>
      <c r="AE639" t="str">
        <f t="shared" si="121"/>
        <v>ST</v>
      </c>
      <c r="AG639">
        <f>Alukset_Käynnit!O646</f>
        <v>0</v>
      </c>
      <c r="AH639" s="207">
        <f>IF(AA639="SSD",((U639*Alukset_fx!$B$24)*Alukset_Käynnit_Lask!W639*(Alukset_fx!$K$49)/1000),IF(AA639="MSD",((U639*Alukset_fx!$B$24)*Alukset_Käynnit_Lask!W639*(Alukset_fx!$K$52)/1000),IF(AA639="HSD",((U639*Alukset_fx!$B$24)*Alukset_Käynnit_Lask!W639*(Alukset_fx!$K$55)/1000),0)))</f>
        <v>0</v>
      </c>
      <c r="AI639" s="207">
        <f>IF(AC639="MSD",((V639*Alukset_fx!$B$25)*Alukset_Käynnit_Lask!W639*(Alukset_fx!$L$52)/1000),IF(AC639="HSD",((V639*Alukset_fx!$B$25)*Alukset_Käynnit_Lask!W639*(Alukset_fx!$L$55)/1000),0))</f>
        <v>0</v>
      </c>
      <c r="AJ639" s="207">
        <f>X639*W639*Alukset_fx!$K$61/1000</f>
        <v>0</v>
      </c>
      <c r="AK639">
        <v>0</v>
      </c>
      <c r="AL639" s="207">
        <f>IF(AG639="Käytetty",0,IF(AC639="MSD",((V639*Alukset_fx!$O$25)*Alukset_Käynnit_Lask!O639*(Alukset_fx!$L$52)/1000),IF(AC639="HSD",((V639*Alukset_fx!$O$25)*Alukset_Käynnit_Lask!O639*(Alukset_fx!$L$55)/1000),0)))</f>
        <v>0</v>
      </c>
      <c r="AM639" s="207">
        <f>IF(AG639="Käytetty",0,Y639*O639*Alukset_fx!$K$61/1000)</f>
        <v>0</v>
      </c>
      <c r="AN639" s="213">
        <f t="shared" si="122"/>
        <v>0</v>
      </c>
    </row>
    <row r="640" spans="1:40" x14ac:dyDescent="0.25">
      <c r="A640" s="203">
        <f>Alukset_Käynnit!A647</f>
        <v>0</v>
      </c>
      <c r="B640" s="203">
        <f>Alukset_Käynnit!B647</f>
        <v>0</v>
      </c>
      <c r="C640" s="262">
        <f>Alukset_Käynnit!C647</f>
        <v>0</v>
      </c>
      <c r="D640" s="266">
        <f>Alukset_Käynnit!D647</f>
        <v>0</v>
      </c>
      <c r="E640" s="262">
        <f>Alukset_Käynnit!E647</f>
        <v>0</v>
      </c>
      <c r="F640" s="262">
        <f>Alukset_Käynnit!F647</f>
        <v>0</v>
      </c>
      <c r="G640" s="262">
        <f>Alukset_Käynnit!G647</f>
        <v>0</v>
      </c>
      <c r="H640" s="262">
        <f>Alukset_Käynnit!H647</f>
        <v>0</v>
      </c>
      <c r="I640" s="262">
        <f>Alukset_Käynnit!I647</f>
        <v>0</v>
      </c>
      <c r="J640" s="262">
        <f>Alukset_Käynnit!J647</f>
        <v>0</v>
      </c>
      <c r="K640" s="262">
        <f>Alukset_Käynnit!K647</f>
        <v>0</v>
      </c>
      <c r="L640" s="205">
        <f>Alukset_Käynnit!L647</f>
        <v>0</v>
      </c>
      <c r="N640" s="273">
        <f t="shared" si="123"/>
        <v>0</v>
      </c>
      <c r="O640" s="274">
        <f t="shared" si="124"/>
        <v>0</v>
      </c>
      <c r="Q640" s="204">
        <f t="shared" si="113"/>
        <v>0</v>
      </c>
      <c r="R640" s="202">
        <f>IF(Q640="Other dry cargo",L640*Alukset_fx!$B$71,IF(OR(Q640="Dry bulk",Q640="Bulk carrier"),L640*Alukset_fx!$B$69,IF(Q640="Tugboat",L640*Alukset_fx!$B$76,IF(OR(Q640="Tanker",Q640="Gas tanker",Q640="Chemical tanker",Q640="Oil tanker"),L640*Alukset_fx!$B$68,IF(OR(Q640="RoRo",Q640="Vehicle carrier"),L640*Alukset_fx!$B$72,IF(Q640="RoPax",L640*Alukset_fx!$B$73,IF(Q640="Container ship",L640*Alukset_fx!$B$70,IF(Q640="Barge",0,L640*Alukset_fx!$B$75))))))))</f>
        <v>0</v>
      </c>
      <c r="S640" s="210">
        <f>IF(L640=0,IF(Q640="Other dry cargo",Alukset_fx!$H$73*(Alukset_Käynnit_Lask!K640^Alukset_fx!$I$73),IF(OR(Q640="Dry Bulk",Q640="Bulk carrier"),Alukset_fx!$H$71*(Alukset_Käynnit_Lask!K640^Alukset_fx!$I$71),IF(Q640="Tugboat",Alukset_fx!$H$78*(Alukset_Käynnit_Lask!K640^Alukset_fx!$I$78),IF(OR(Q640="Tanker",Q640="Gas tanker",Q640="Chemical tanker",Q640="Oil tanker"),Alukset_fx!$H$70*(Alukset_Käynnit_Lask!K640^Alukset_fx!$I$70),IF(Q640="Container ship",Alukset_fx!$H$72*(Alukset_Käynnit_Lask!K640^Alukset_fx!$I$72),IF(Q640="Barge",0,IF(Q640="RoPax",Alukset_fx!$H$75*(Alukset_Käynnit_Lask!K640^Alukset_fx!$I$75),IF(OR(Q640="RoRo",Q640="Vehicle carrier"),Alukset_fx!$H$74*(Alukset_Käynnit_Lask!K640^Alukset_fx!$I$74),Alukset_fx!$H$77*(Alukset_Käynnit_Lask!K640^Alukset_fx!$I$77))))))))),"-")</f>
        <v>0</v>
      </c>
      <c r="T640" s="208">
        <f>IF(R640=0,IF(Q640="Other dry cargo",S640*Alukset_fx!$B$71,IF(OR(Q640="Dry bulk",Q640="Bulk carrier"),S640*Alukset_fx!$B$69,IF(Q640="Tugboat",S640*Alukset_fx!$B$76,IF(OR(Q640="Tanker",Q640="Gas tanker",Q640="Chemical tanker",Q640="Oil tanker"),S640*Alukset_fx!$B$68,IF(OR(Q640="RoRo",Q640="Vehicle carrier"),S640*Alukset_fx!$B$72,IF(Q640="RoPax",S640*Alukset_fx!$B$73,IF(Q640="Container ship",S640*Alukset_fx!$B$70,S640*Alukset_fx!$B$75))))))),"-")</f>
        <v>0</v>
      </c>
      <c r="U640" s="208">
        <f t="shared" si="114"/>
        <v>0</v>
      </c>
      <c r="V640" s="208">
        <f t="shared" si="115"/>
        <v>0</v>
      </c>
      <c r="W640" s="202">
        <f>Alukset_Käynnit!N647</f>
        <v>0</v>
      </c>
      <c r="X640" s="211">
        <f>IF(Q640="Other dry cargo", Alukset_fx!$C$52, IF(OR(Q640="Dry bulk",Q640="Bulk carrier"),Alukset_fx!$C$35,IF(OR(Q640="Tanker",Q640="Gas tanker",Q640="Oil tanker"),Alukset_fx!$C$57,IF(Q640="Chemical tanker",Alukset_fx!$C$56,IF(OR(Q640="Tugboat",Q640="Barge"),0,IF(Q640="Other vessel",Alukset_fx!$C$54,IF(Q640="Container ship",Alukset_fx!$C$37,IF(OR(Q640="RoPax",Q640="RoRo",Q640="Vehicle carrier"),Alukset_fx!$C$55,0))))))))</f>
        <v>0</v>
      </c>
      <c r="Y640" s="211">
        <f>IF(Q640="Other dry cargo", Alukset_fx!$Q$52, IF(OR(Q640="Dry bulk",Q640="Bulk carrier"),Alukset_fx!$Q$35,IF(OR(Q640="Tanker",Q640="Gas tanker",Q640="Oil tanker"),Alukset_fx!$Q$57,IF(Q640="Chemical tanker",Alukset_fx!$Q$56,IF(OR(Q640="Tugboat",Q640="Barge"),0,IF(Q640="Other vessel",Alukset_fx!$Q$54,IF(Q640="Container ship",Alukset_fx!$Q$37,IF(OR(Q640="RoPax",Q640="RoRo",Q640="Vehicle carrier"),Alukset_fx!$Q$55,0))))))))</f>
        <v>0</v>
      </c>
      <c r="Z640" t="str">
        <f t="shared" si="116"/>
        <v>MDO/MGO</v>
      </c>
      <c r="AA640" t="str">
        <f t="shared" si="117"/>
        <v>MSD</v>
      </c>
      <c r="AB640" t="str">
        <f t="shared" si="118"/>
        <v>MDO/MGO</v>
      </c>
      <c r="AC640" t="str">
        <f t="shared" si="119"/>
        <v>MSD</v>
      </c>
      <c r="AD640" t="str">
        <f t="shared" si="120"/>
        <v>MDO/MGO</v>
      </c>
      <c r="AE640" t="str">
        <f t="shared" si="121"/>
        <v>ST</v>
      </c>
      <c r="AG640">
        <f>Alukset_Käynnit!O647</f>
        <v>0</v>
      </c>
      <c r="AH640" s="207">
        <f>IF(AA640="SSD",((U640*Alukset_fx!$B$24)*Alukset_Käynnit_Lask!W640*(Alukset_fx!$K$49)/1000),IF(AA640="MSD",((U640*Alukset_fx!$B$24)*Alukset_Käynnit_Lask!W640*(Alukset_fx!$K$52)/1000),IF(AA640="HSD",((U640*Alukset_fx!$B$24)*Alukset_Käynnit_Lask!W640*(Alukset_fx!$K$55)/1000),0)))</f>
        <v>0</v>
      </c>
      <c r="AI640" s="207">
        <f>IF(AC640="MSD",((V640*Alukset_fx!$B$25)*Alukset_Käynnit_Lask!W640*(Alukset_fx!$L$52)/1000),IF(AC640="HSD",((V640*Alukset_fx!$B$25)*Alukset_Käynnit_Lask!W640*(Alukset_fx!$L$55)/1000),0))</f>
        <v>0</v>
      </c>
      <c r="AJ640" s="207">
        <f>X640*W640*Alukset_fx!$K$61/1000</f>
        <v>0</v>
      </c>
      <c r="AK640">
        <v>0</v>
      </c>
      <c r="AL640" s="207">
        <f>IF(AG640="Käytetty",0,IF(AC640="MSD",((V640*Alukset_fx!$O$25)*Alukset_Käynnit_Lask!O640*(Alukset_fx!$L$52)/1000),IF(AC640="HSD",((V640*Alukset_fx!$O$25)*Alukset_Käynnit_Lask!O640*(Alukset_fx!$L$55)/1000),0)))</f>
        <v>0</v>
      </c>
      <c r="AM640" s="207">
        <f>IF(AG640="Käytetty",0,Y640*O640*Alukset_fx!$K$61/1000)</f>
        <v>0</v>
      </c>
      <c r="AN640" s="213">
        <f t="shared" si="122"/>
        <v>0</v>
      </c>
    </row>
    <row r="641" spans="1:40" x14ac:dyDescent="0.25">
      <c r="A641" s="203">
        <f>Alukset_Käynnit!A648</f>
        <v>0</v>
      </c>
      <c r="B641" s="203">
        <f>Alukset_Käynnit!B648</f>
        <v>0</v>
      </c>
      <c r="C641" s="262">
        <f>Alukset_Käynnit!C648</f>
        <v>0</v>
      </c>
      <c r="D641" s="266">
        <f>Alukset_Käynnit!D648</f>
        <v>0</v>
      </c>
      <c r="E641" s="262">
        <f>Alukset_Käynnit!E648</f>
        <v>0</v>
      </c>
      <c r="F641" s="262">
        <f>Alukset_Käynnit!F648</f>
        <v>0</v>
      </c>
      <c r="G641" s="262">
        <f>Alukset_Käynnit!G648</f>
        <v>0</v>
      </c>
      <c r="H641" s="262">
        <f>Alukset_Käynnit!H648</f>
        <v>0</v>
      </c>
      <c r="I641" s="262">
        <f>Alukset_Käynnit!I648</f>
        <v>0</v>
      </c>
      <c r="J641" s="262">
        <f>Alukset_Käynnit!J648</f>
        <v>0</v>
      </c>
      <c r="K641" s="262">
        <f>Alukset_Käynnit!K648</f>
        <v>0</v>
      </c>
      <c r="L641" s="205">
        <f>Alukset_Käynnit!L648</f>
        <v>0</v>
      </c>
      <c r="N641" s="273">
        <f t="shared" si="123"/>
        <v>0</v>
      </c>
      <c r="O641" s="274">
        <f t="shared" si="124"/>
        <v>0</v>
      </c>
      <c r="Q641" s="204">
        <f t="shared" si="113"/>
        <v>0</v>
      </c>
      <c r="R641" s="202">
        <f>IF(Q641="Other dry cargo",L641*Alukset_fx!$B$71,IF(OR(Q641="Dry bulk",Q641="Bulk carrier"),L641*Alukset_fx!$B$69,IF(Q641="Tugboat",L641*Alukset_fx!$B$76,IF(OR(Q641="Tanker",Q641="Gas tanker",Q641="Chemical tanker",Q641="Oil tanker"),L641*Alukset_fx!$B$68,IF(OR(Q641="RoRo",Q641="Vehicle carrier"),L641*Alukset_fx!$B$72,IF(Q641="RoPax",L641*Alukset_fx!$B$73,IF(Q641="Container ship",L641*Alukset_fx!$B$70,IF(Q641="Barge",0,L641*Alukset_fx!$B$75))))))))</f>
        <v>0</v>
      </c>
      <c r="S641" s="210">
        <f>IF(L641=0,IF(Q641="Other dry cargo",Alukset_fx!$H$73*(Alukset_Käynnit_Lask!K641^Alukset_fx!$I$73),IF(OR(Q641="Dry Bulk",Q641="Bulk carrier"),Alukset_fx!$H$71*(Alukset_Käynnit_Lask!K641^Alukset_fx!$I$71),IF(Q641="Tugboat",Alukset_fx!$H$78*(Alukset_Käynnit_Lask!K641^Alukset_fx!$I$78),IF(OR(Q641="Tanker",Q641="Gas tanker",Q641="Chemical tanker",Q641="Oil tanker"),Alukset_fx!$H$70*(Alukset_Käynnit_Lask!K641^Alukset_fx!$I$70),IF(Q641="Container ship",Alukset_fx!$H$72*(Alukset_Käynnit_Lask!K641^Alukset_fx!$I$72),IF(Q641="Barge",0,IF(Q641="RoPax",Alukset_fx!$H$75*(Alukset_Käynnit_Lask!K641^Alukset_fx!$I$75),IF(OR(Q641="RoRo",Q641="Vehicle carrier"),Alukset_fx!$H$74*(Alukset_Käynnit_Lask!K641^Alukset_fx!$I$74),Alukset_fx!$H$77*(Alukset_Käynnit_Lask!K641^Alukset_fx!$I$77))))))))),"-")</f>
        <v>0</v>
      </c>
      <c r="T641" s="208">
        <f>IF(R641=0,IF(Q641="Other dry cargo",S641*Alukset_fx!$B$71,IF(OR(Q641="Dry bulk",Q641="Bulk carrier"),S641*Alukset_fx!$B$69,IF(Q641="Tugboat",S641*Alukset_fx!$B$76,IF(OR(Q641="Tanker",Q641="Gas tanker",Q641="Chemical tanker",Q641="Oil tanker"),S641*Alukset_fx!$B$68,IF(OR(Q641="RoRo",Q641="Vehicle carrier"),S641*Alukset_fx!$B$72,IF(Q641="RoPax",S641*Alukset_fx!$B$73,IF(Q641="Container ship",S641*Alukset_fx!$B$70,S641*Alukset_fx!$B$75))))))),"-")</f>
        <v>0</v>
      </c>
      <c r="U641" s="208">
        <f t="shared" si="114"/>
        <v>0</v>
      </c>
      <c r="V641" s="208">
        <f t="shared" si="115"/>
        <v>0</v>
      </c>
      <c r="W641" s="202">
        <f>Alukset_Käynnit!N648</f>
        <v>0</v>
      </c>
      <c r="X641" s="211">
        <f>IF(Q641="Other dry cargo", Alukset_fx!$C$52, IF(OR(Q641="Dry bulk",Q641="Bulk carrier"),Alukset_fx!$C$35,IF(OR(Q641="Tanker",Q641="Gas tanker",Q641="Oil tanker"),Alukset_fx!$C$57,IF(Q641="Chemical tanker",Alukset_fx!$C$56,IF(OR(Q641="Tugboat",Q641="Barge"),0,IF(Q641="Other vessel",Alukset_fx!$C$54,IF(Q641="Container ship",Alukset_fx!$C$37,IF(OR(Q641="RoPax",Q641="RoRo",Q641="Vehicle carrier"),Alukset_fx!$C$55,0))))))))</f>
        <v>0</v>
      </c>
      <c r="Y641" s="211">
        <f>IF(Q641="Other dry cargo", Alukset_fx!$Q$52, IF(OR(Q641="Dry bulk",Q641="Bulk carrier"),Alukset_fx!$Q$35,IF(OR(Q641="Tanker",Q641="Gas tanker",Q641="Oil tanker"),Alukset_fx!$Q$57,IF(Q641="Chemical tanker",Alukset_fx!$Q$56,IF(OR(Q641="Tugboat",Q641="Barge"),0,IF(Q641="Other vessel",Alukset_fx!$Q$54,IF(Q641="Container ship",Alukset_fx!$Q$37,IF(OR(Q641="RoPax",Q641="RoRo",Q641="Vehicle carrier"),Alukset_fx!$Q$55,0))))))))</f>
        <v>0</v>
      </c>
      <c r="Z641" t="str">
        <f t="shared" si="116"/>
        <v>MDO/MGO</v>
      </c>
      <c r="AA641" t="str">
        <f t="shared" si="117"/>
        <v>MSD</v>
      </c>
      <c r="AB641" t="str">
        <f t="shared" si="118"/>
        <v>MDO/MGO</v>
      </c>
      <c r="AC641" t="str">
        <f t="shared" si="119"/>
        <v>MSD</v>
      </c>
      <c r="AD641" t="str">
        <f t="shared" si="120"/>
        <v>MDO/MGO</v>
      </c>
      <c r="AE641" t="str">
        <f t="shared" si="121"/>
        <v>ST</v>
      </c>
      <c r="AG641">
        <f>Alukset_Käynnit!O648</f>
        <v>0</v>
      </c>
      <c r="AH641" s="207">
        <f>IF(AA641="SSD",((U641*Alukset_fx!$B$24)*Alukset_Käynnit_Lask!W641*(Alukset_fx!$K$49)/1000),IF(AA641="MSD",((U641*Alukset_fx!$B$24)*Alukset_Käynnit_Lask!W641*(Alukset_fx!$K$52)/1000),IF(AA641="HSD",((U641*Alukset_fx!$B$24)*Alukset_Käynnit_Lask!W641*(Alukset_fx!$K$55)/1000),0)))</f>
        <v>0</v>
      </c>
      <c r="AI641" s="207">
        <f>IF(AC641="MSD",((V641*Alukset_fx!$B$25)*Alukset_Käynnit_Lask!W641*(Alukset_fx!$L$52)/1000),IF(AC641="HSD",((V641*Alukset_fx!$B$25)*Alukset_Käynnit_Lask!W641*(Alukset_fx!$L$55)/1000),0))</f>
        <v>0</v>
      </c>
      <c r="AJ641" s="207">
        <f>X641*W641*Alukset_fx!$K$61/1000</f>
        <v>0</v>
      </c>
      <c r="AK641">
        <v>0</v>
      </c>
      <c r="AL641" s="207">
        <f>IF(AG641="Käytetty",0,IF(AC641="MSD",((V641*Alukset_fx!$O$25)*Alukset_Käynnit_Lask!O641*(Alukset_fx!$L$52)/1000),IF(AC641="HSD",((V641*Alukset_fx!$O$25)*Alukset_Käynnit_Lask!O641*(Alukset_fx!$L$55)/1000),0)))</f>
        <v>0</v>
      </c>
      <c r="AM641" s="207">
        <f>IF(AG641="Käytetty",0,Y641*O641*Alukset_fx!$K$61/1000)</f>
        <v>0</v>
      </c>
      <c r="AN641" s="213">
        <f t="shared" si="122"/>
        <v>0</v>
      </c>
    </row>
    <row r="642" spans="1:40" x14ac:dyDescent="0.25">
      <c r="A642" s="203">
        <f>Alukset_Käynnit!A649</f>
        <v>0</v>
      </c>
      <c r="B642" s="203">
        <f>Alukset_Käynnit!B649</f>
        <v>0</v>
      </c>
      <c r="C642" s="262">
        <f>Alukset_Käynnit!C649</f>
        <v>0</v>
      </c>
      <c r="D642" s="266">
        <f>Alukset_Käynnit!D649</f>
        <v>0</v>
      </c>
      <c r="E642" s="262">
        <f>Alukset_Käynnit!E649</f>
        <v>0</v>
      </c>
      <c r="F642" s="262">
        <f>Alukset_Käynnit!F649</f>
        <v>0</v>
      </c>
      <c r="G642" s="262">
        <f>Alukset_Käynnit!G649</f>
        <v>0</v>
      </c>
      <c r="H642" s="262">
        <f>Alukset_Käynnit!H649</f>
        <v>0</v>
      </c>
      <c r="I642" s="262">
        <f>Alukset_Käynnit!I649</f>
        <v>0</v>
      </c>
      <c r="J642" s="262">
        <f>Alukset_Käynnit!J649</f>
        <v>0</v>
      </c>
      <c r="K642" s="262">
        <f>Alukset_Käynnit!K649</f>
        <v>0</v>
      </c>
      <c r="L642" s="205">
        <f>Alukset_Käynnit!L649</f>
        <v>0</v>
      </c>
      <c r="N642" s="273">
        <f t="shared" si="123"/>
        <v>0</v>
      </c>
      <c r="O642" s="274">
        <f t="shared" si="124"/>
        <v>0</v>
      </c>
      <c r="Q642" s="204">
        <f t="shared" si="113"/>
        <v>0</v>
      </c>
      <c r="R642" s="202">
        <f>IF(Q642="Other dry cargo",L642*Alukset_fx!$B$71,IF(OR(Q642="Dry bulk",Q642="Bulk carrier"),L642*Alukset_fx!$B$69,IF(Q642="Tugboat",L642*Alukset_fx!$B$76,IF(OR(Q642="Tanker",Q642="Gas tanker",Q642="Chemical tanker",Q642="Oil tanker"),L642*Alukset_fx!$B$68,IF(OR(Q642="RoRo",Q642="Vehicle carrier"),L642*Alukset_fx!$B$72,IF(Q642="RoPax",L642*Alukset_fx!$B$73,IF(Q642="Container ship",L642*Alukset_fx!$B$70,IF(Q642="Barge",0,L642*Alukset_fx!$B$75))))))))</f>
        <v>0</v>
      </c>
      <c r="S642" s="210">
        <f>IF(L642=0,IF(Q642="Other dry cargo",Alukset_fx!$H$73*(Alukset_Käynnit_Lask!K642^Alukset_fx!$I$73),IF(OR(Q642="Dry Bulk",Q642="Bulk carrier"),Alukset_fx!$H$71*(Alukset_Käynnit_Lask!K642^Alukset_fx!$I$71),IF(Q642="Tugboat",Alukset_fx!$H$78*(Alukset_Käynnit_Lask!K642^Alukset_fx!$I$78),IF(OR(Q642="Tanker",Q642="Gas tanker",Q642="Chemical tanker",Q642="Oil tanker"),Alukset_fx!$H$70*(Alukset_Käynnit_Lask!K642^Alukset_fx!$I$70),IF(Q642="Container ship",Alukset_fx!$H$72*(Alukset_Käynnit_Lask!K642^Alukset_fx!$I$72),IF(Q642="Barge",0,IF(Q642="RoPax",Alukset_fx!$H$75*(Alukset_Käynnit_Lask!K642^Alukset_fx!$I$75),IF(OR(Q642="RoRo",Q642="Vehicle carrier"),Alukset_fx!$H$74*(Alukset_Käynnit_Lask!K642^Alukset_fx!$I$74),Alukset_fx!$H$77*(Alukset_Käynnit_Lask!K642^Alukset_fx!$I$77))))))))),"-")</f>
        <v>0</v>
      </c>
      <c r="T642" s="208">
        <f>IF(R642=0,IF(Q642="Other dry cargo",S642*Alukset_fx!$B$71,IF(OR(Q642="Dry bulk",Q642="Bulk carrier"),S642*Alukset_fx!$B$69,IF(Q642="Tugboat",S642*Alukset_fx!$B$76,IF(OR(Q642="Tanker",Q642="Gas tanker",Q642="Chemical tanker",Q642="Oil tanker"),S642*Alukset_fx!$B$68,IF(OR(Q642="RoRo",Q642="Vehicle carrier"),S642*Alukset_fx!$B$72,IF(Q642="RoPax",S642*Alukset_fx!$B$73,IF(Q642="Container ship",S642*Alukset_fx!$B$70,S642*Alukset_fx!$B$75))))))),"-")</f>
        <v>0</v>
      </c>
      <c r="U642" s="208">
        <f t="shared" si="114"/>
        <v>0</v>
      </c>
      <c r="V642" s="208">
        <f t="shared" si="115"/>
        <v>0</v>
      </c>
      <c r="W642" s="202">
        <f>Alukset_Käynnit!N649</f>
        <v>0</v>
      </c>
      <c r="X642" s="211">
        <f>IF(Q642="Other dry cargo", Alukset_fx!$C$52, IF(OR(Q642="Dry bulk",Q642="Bulk carrier"),Alukset_fx!$C$35,IF(OR(Q642="Tanker",Q642="Gas tanker",Q642="Oil tanker"),Alukset_fx!$C$57,IF(Q642="Chemical tanker",Alukset_fx!$C$56,IF(OR(Q642="Tugboat",Q642="Barge"),0,IF(Q642="Other vessel",Alukset_fx!$C$54,IF(Q642="Container ship",Alukset_fx!$C$37,IF(OR(Q642="RoPax",Q642="RoRo",Q642="Vehicle carrier"),Alukset_fx!$C$55,0))))))))</f>
        <v>0</v>
      </c>
      <c r="Y642" s="211">
        <f>IF(Q642="Other dry cargo", Alukset_fx!$Q$52, IF(OR(Q642="Dry bulk",Q642="Bulk carrier"),Alukset_fx!$Q$35,IF(OR(Q642="Tanker",Q642="Gas tanker",Q642="Oil tanker"),Alukset_fx!$Q$57,IF(Q642="Chemical tanker",Alukset_fx!$Q$56,IF(OR(Q642="Tugboat",Q642="Barge"),0,IF(Q642="Other vessel",Alukset_fx!$Q$54,IF(Q642="Container ship",Alukset_fx!$Q$37,IF(OR(Q642="RoPax",Q642="RoRo",Q642="Vehicle carrier"),Alukset_fx!$Q$55,0))))))))</f>
        <v>0</v>
      </c>
      <c r="Z642" t="str">
        <f t="shared" si="116"/>
        <v>MDO/MGO</v>
      </c>
      <c r="AA642" t="str">
        <f t="shared" si="117"/>
        <v>MSD</v>
      </c>
      <c r="AB642" t="str">
        <f t="shared" si="118"/>
        <v>MDO/MGO</v>
      </c>
      <c r="AC642" t="str">
        <f t="shared" si="119"/>
        <v>MSD</v>
      </c>
      <c r="AD642" t="str">
        <f t="shared" si="120"/>
        <v>MDO/MGO</v>
      </c>
      <c r="AE642" t="str">
        <f t="shared" si="121"/>
        <v>ST</v>
      </c>
      <c r="AG642">
        <f>Alukset_Käynnit!O649</f>
        <v>0</v>
      </c>
      <c r="AH642" s="207">
        <f>IF(AA642="SSD",((U642*Alukset_fx!$B$24)*Alukset_Käynnit_Lask!W642*(Alukset_fx!$K$49)/1000),IF(AA642="MSD",((U642*Alukset_fx!$B$24)*Alukset_Käynnit_Lask!W642*(Alukset_fx!$K$52)/1000),IF(AA642="HSD",((U642*Alukset_fx!$B$24)*Alukset_Käynnit_Lask!W642*(Alukset_fx!$K$55)/1000),0)))</f>
        <v>0</v>
      </c>
      <c r="AI642" s="207">
        <f>IF(AC642="MSD",((V642*Alukset_fx!$B$25)*Alukset_Käynnit_Lask!W642*(Alukset_fx!$L$52)/1000),IF(AC642="HSD",((V642*Alukset_fx!$B$25)*Alukset_Käynnit_Lask!W642*(Alukset_fx!$L$55)/1000),0))</f>
        <v>0</v>
      </c>
      <c r="AJ642" s="207">
        <f>X642*W642*Alukset_fx!$K$61/1000</f>
        <v>0</v>
      </c>
      <c r="AK642">
        <v>0</v>
      </c>
      <c r="AL642" s="207">
        <f>IF(AG642="Käytetty",0,IF(AC642="MSD",((V642*Alukset_fx!$O$25)*Alukset_Käynnit_Lask!O642*(Alukset_fx!$L$52)/1000),IF(AC642="HSD",((V642*Alukset_fx!$O$25)*Alukset_Käynnit_Lask!O642*(Alukset_fx!$L$55)/1000),0)))</f>
        <v>0</v>
      </c>
      <c r="AM642" s="207">
        <f>IF(AG642="Käytetty",0,Y642*O642*Alukset_fx!$K$61/1000)</f>
        <v>0</v>
      </c>
      <c r="AN642" s="213">
        <f t="shared" si="122"/>
        <v>0</v>
      </c>
    </row>
    <row r="643" spans="1:40" x14ac:dyDescent="0.25">
      <c r="A643" s="203">
        <f>Alukset_Käynnit!A650</f>
        <v>0</v>
      </c>
      <c r="B643" s="203">
        <f>Alukset_Käynnit!B650</f>
        <v>0</v>
      </c>
      <c r="C643" s="262">
        <f>Alukset_Käynnit!C650</f>
        <v>0</v>
      </c>
      <c r="D643" s="266">
        <f>Alukset_Käynnit!D650</f>
        <v>0</v>
      </c>
      <c r="E643" s="262">
        <f>Alukset_Käynnit!E650</f>
        <v>0</v>
      </c>
      <c r="F643" s="262">
        <f>Alukset_Käynnit!F650</f>
        <v>0</v>
      </c>
      <c r="G643" s="262">
        <f>Alukset_Käynnit!G650</f>
        <v>0</v>
      </c>
      <c r="H643" s="262">
        <f>Alukset_Käynnit!H650</f>
        <v>0</v>
      </c>
      <c r="I643" s="262">
        <f>Alukset_Käynnit!I650</f>
        <v>0</v>
      </c>
      <c r="J643" s="262">
        <f>Alukset_Käynnit!J650</f>
        <v>0</v>
      </c>
      <c r="K643" s="262">
        <f>Alukset_Käynnit!K650</f>
        <v>0</v>
      </c>
      <c r="L643" s="205">
        <f>Alukset_Käynnit!L650</f>
        <v>0</v>
      </c>
      <c r="N643" s="273">
        <f t="shared" si="123"/>
        <v>0</v>
      </c>
      <c r="O643" s="274">
        <f t="shared" si="124"/>
        <v>0</v>
      </c>
      <c r="Q643" s="204">
        <f t="shared" si="113"/>
        <v>0</v>
      </c>
      <c r="R643" s="202">
        <f>IF(Q643="Other dry cargo",L643*Alukset_fx!$B$71,IF(OR(Q643="Dry bulk",Q643="Bulk carrier"),L643*Alukset_fx!$B$69,IF(Q643="Tugboat",L643*Alukset_fx!$B$76,IF(OR(Q643="Tanker",Q643="Gas tanker",Q643="Chemical tanker",Q643="Oil tanker"),L643*Alukset_fx!$B$68,IF(OR(Q643="RoRo",Q643="Vehicle carrier"),L643*Alukset_fx!$B$72,IF(Q643="RoPax",L643*Alukset_fx!$B$73,IF(Q643="Container ship",L643*Alukset_fx!$B$70,IF(Q643="Barge",0,L643*Alukset_fx!$B$75))))))))</f>
        <v>0</v>
      </c>
      <c r="S643" s="210">
        <f>IF(L643=0,IF(Q643="Other dry cargo",Alukset_fx!$H$73*(Alukset_Käynnit_Lask!K643^Alukset_fx!$I$73),IF(OR(Q643="Dry Bulk",Q643="Bulk carrier"),Alukset_fx!$H$71*(Alukset_Käynnit_Lask!K643^Alukset_fx!$I$71),IF(Q643="Tugboat",Alukset_fx!$H$78*(Alukset_Käynnit_Lask!K643^Alukset_fx!$I$78),IF(OR(Q643="Tanker",Q643="Gas tanker",Q643="Chemical tanker",Q643="Oil tanker"),Alukset_fx!$H$70*(Alukset_Käynnit_Lask!K643^Alukset_fx!$I$70),IF(Q643="Container ship",Alukset_fx!$H$72*(Alukset_Käynnit_Lask!K643^Alukset_fx!$I$72),IF(Q643="Barge",0,IF(Q643="RoPax",Alukset_fx!$H$75*(Alukset_Käynnit_Lask!K643^Alukset_fx!$I$75),IF(OR(Q643="RoRo",Q643="Vehicle carrier"),Alukset_fx!$H$74*(Alukset_Käynnit_Lask!K643^Alukset_fx!$I$74),Alukset_fx!$H$77*(Alukset_Käynnit_Lask!K643^Alukset_fx!$I$77))))))))),"-")</f>
        <v>0</v>
      </c>
      <c r="T643" s="208">
        <f>IF(R643=0,IF(Q643="Other dry cargo",S643*Alukset_fx!$B$71,IF(OR(Q643="Dry bulk",Q643="Bulk carrier"),S643*Alukset_fx!$B$69,IF(Q643="Tugboat",S643*Alukset_fx!$B$76,IF(OR(Q643="Tanker",Q643="Gas tanker",Q643="Chemical tanker",Q643="Oil tanker"),S643*Alukset_fx!$B$68,IF(OR(Q643="RoRo",Q643="Vehicle carrier"),S643*Alukset_fx!$B$72,IF(Q643="RoPax",S643*Alukset_fx!$B$73,IF(Q643="Container ship",S643*Alukset_fx!$B$70,S643*Alukset_fx!$B$75))))))),"-")</f>
        <v>0</v>
      </c>
      <c r="U643" s="208">
        <f t="shared" si="114"/>
        <v>0</v>
      </c>
      <c r="V643" s="208">
        <f t="shared" si="115"/>
        <v>0</v>
      </c>
      <c r="W643" s="202">
        <f>Alukset_Käynnit!N650</f>
        <v>0</v>
      </c>
      <c r="X643" s="211">
        <f>IF(Q643="Other dry cargo", Alukset_fx!$C$52, IF(OR(Q643="Dry bulk",Q643="Bulk carrier"),Alukset_fx!$C$35,IF(OR(Q643="Tanker",Q643="Gas tanker",Q643="Oil tanker"),Alukset_fx!$C$57,IF(Q643="Chemical tanker",Alukset_fx!$C$56,IF(OR(Q643="Tugboat",Q643="Barge"),0,IF(Q643="Other vessel",Alukset_fx!$C$54,IF(Q643="Container ship",Alukset_fx!$C$37,IF(OR(Q643="RoPax",Q643="RoRo",Q643="Vehicle carrier"),Alukset_fx!$C$55,0))))))))</f>
        <v>0</v>
      </c>
      <c r="Y643" s="211">
        <f>IF(Q643="Other dry cargo", Alukset_fx!$Q$52, IF(OR(Q643="Dry bulk",Q643="Bulk carrier"),Alukset_fx!$Q$35,IF(OR(Q643="Tanker",Q643="Gas tanker",Q643="Oil tanker"),Alukset_fx!$Q$57,IF(Q643="Chemical tanker",Alukset_fx!$Q$56,IF(OR(Q643="Tugboat",Q643="Barge"),0,IF(Q643="Other vessel",Alukset_fx!$Q$54,IF(Q643="Container ship",Alukset_fx!$Q$37,IF(OR(Q643="RoPax",Q643="RoRo",Q643="Vehicle carrier"),Alukset_fx!$Q$55,0))))))))</f>
        <v>0</v>
      </c>
      <c r="Z643" t="str">
        <f t="shared" si="116"/>
        <v>MDO/MGO</v>
      </c>
      <c r="AA643" t="str">
        <f t="shared" si="117"/>
        <v>MSD</v>
      </c>
      <c r="AB643" t="str">
        <f t="shared" si="118"/>
        <v>MDO/MGO</v>
      </c>
      <c r="AC643" t="str">
        <f t="shared" si="119"/>
        <v>MSD</v>
      </c>
      <c r="AD643" t="str">
        <f t="shared" si="120"/>
        <v>MDO/MGO</v>
      </c>
      <c r="AE643" t="str">
        <f t="shared" si="121"/>
        <v>ST</v>
      </c>
      <c r="AG643">
        <f>Alukset_Käynnit!O650</f>
        <v>0</v>
      </c>
      <c r="AH643" s="207">
        <f>IF(AA643="SSD",((U643*Alukset_fx!$B$24)*Alukset_Käynnit_Lask!W643*(Alukset_fx!$K$49)/1000),IF(AA643="MSD",((U643*Alukset_fx!$B$24)*Alukset_Käynnit_Lask!W643*(Alukset_fx!$K$52)/1000),IF(AA643="HSD",((U643*Alukset_fx!$B$24)*Alukset_Käynnit_Lask!W643*(Alukset_fx!$K$55)/1000),0)))</f>
        <v>0</v>
      </c>
      <c r="AI643" s="207">
        <f>IF(AC643="MSD",((V643*Alukset_fx!$B$25)*Alukset_Käynnit_Lask!W643*(Alukset_fx!$L$52)/1000),IF(AC643="HSD",((V643*Alukset_fx!$B$25)*Alukset_Käynnit_Lask!W643*(Alukset_fx!$L$55)/1000),0))</f>
        <v>0</v>
      </c>
      <c r="AJ643" s="207">
        <f>X643*W643*Alukset_fx!$K$61/1000</f>
        <v>0</v>
      </c>
      <c r="AK643">
        <v>0</v>
      </c>
      <c r="AL643" s="207">
        <f>IF(AG643="Käytetty",0,IF(AC643="MSD",((V643*Alukset_fx!$O$25)*Alukset_Käynnit_Lask!O643*(Alukset_fx!$L$52)/1000),IF(AC643="HSD",((V643*Alukset_fx!$O$25)*Alukset_Käynnit_Lask!O643*(Alukset_fx!$L$55)/1000),0)))</f>
        <v>0</v>
      </c>
      <c r="AM643" s="207">
        <f>IF(AG643="Käytetty",0,Y643*O643*Alukset_fx!$K$61/1000)</f>
        <v>0</v>
      </c>
      <c r="AN643" s="213">
        <f t="shared" si="122"/>
        <v>0</v>
      </c>
    </row>
    <row r="644" spans="1:40" x14ac:dyDescent="0.25">
      <c r="A644" s="203">
        <f>Alukset_Käynnit!A651</f>
        <v>0</v>
      </c>
      <c r="B644" s="203">
        <f>Alukset_Käynnit!B651</f>
        <v>0</v>
      </c>
      <c r="C644" s="262">
        <f>Alukset_Käynnit!C651</f>
        <v>0</v>
      </c>
      <c r="D644" s="266">
        <f>Alukset_Käynnit!D651</f>
        <v>0</v>
      </c>
      <c r="E644" s="262">
        <f>Alukset_Käynnit!E651</f>
        <v>0</v>
      </c>
      <c r="F644" s="262">
        <f>Alukset_Käynnit!F651</f>
        <v>0</v>
      </c>
      <c r="G644" s="262">
        <f>Alukset_Käynnit!G651</f>
        <v>0</v>
      </c>
      <c r="H644" s="262">
        <f>Alukset_Käynnit!H651</f>
        <v>0</v>
      </c>
      <c r="I644" s="262">
        <f>Alukset_Käynnit!I651</f>
        <v>0</v>
      </c>
      <c r="J644" s="262">
        <f>Alukset_Käynnit!J651</f>
        <v>0</v>
      </c>
      <c r="K644" s="262">
        <f>Alukset_Käynnit!K651</f>
        <v>0</v>
      </c>
      <c r="L644" s="205">
        <f>Alukset_Käynnit!L651</f>
        <v>0</v>
      </c>
      <c r="N644" s="273">
        <f t="shared" si="123"/>
        <v>0</v>
      </c>
      <c r="O644" s="274">
        <f t="shared" si="124"/>
        <v>0</v>
      </c>
      <c r="Q644" s="204">
        <f t="shared" si="113"/>
        <v>0</v>
      </c>
      <c r="R644" s="202">
        <f>IF(Q644="Other dry cargo",L644*Alukset_fx!$B$71,IF(OR(Q644="Dry bulk",Q644="Bulk carrier"),L644*Alukset_fx!$B$69,IF(Q644="Tugboat",L644*Alukset_fx!$B$76,IF(OR(Q644="Tanker",Q644="Gas tanker",Q644="Chemical tanker",Q644="Oil tanker"),L644*Alukset_fx!$B$68,IF(OR(Q644="RoRo",Q644="Vehicle carrier"),L644*Alukset_fx!$B$72,IF(Q644="RoPax",L644*Alukset_fx!$B$73,IF(Q644="Container ship",L644*Alukset_fx!$B$70,IF(Q644="Barge",0,L644*Alukset_fx!$B$75))))))))</f>
        <v>0</v>
      </c>
      <c r="S644" s="210">
        <f>IF(L644=0,IF(Q644="Other dry cargo",Alukset_fx!$H$73*(Alukset_Käynnit_Lask!K644^Alukset_fx!$I$73),IF(OR(Q644="Dry Bulk",Q644="Bulk carrier"),Alukset_fx!$H$71*(Alukset_Käynnit_Lask!K644^Alukset_fx!$I$71),IF(Q644="Tugboat",Alukset_fx!$H$78*(Alukset_Käynnit_Lask!K644^Alukset_fx!$I$78),IF(OR(Q644="Tanker",Q644="Gas tanker",Q644="Chemical tanker",Q644="Oil tanker"),Alukset_fx!$H$70*(Alukset_Käynnit_Lask!K644^Alukset_fx!$I$70),IF(Q644="Container ship",Alukset_fx!$H$72*(Alukset_Käynnit_Lask!K644^Alukset_fx!$I$72),IF(Q644="Barge",0,IF(Q644="RoPax",Alukset_fx!$H$75*(Alukset_Käynnit_Lask!K644^Alukset_fx!$I$75),IF(OR(Q644="RoRo",Q644="Vehicle carrier"),Alukset_fx!$H$74*(Alukset_Käynnit_Lask!K644^Alukset_fx!$I$74),Alukset_fx!$H$77*(Alukset_Käynnit_Lask!K644^Alukset_fx!$I$77))))))))),"-")</f>
        <v>0</v>
      </c>
      <c r="T644" s="208">
        <f>IF(R644=0,IF(Q644="Other dry cargo",S644*Alukset_fx!$B$71,IF(OR(Q644="Dry bulk",Q644="Bulk carrier"),S644*Alukset_fx!$B$69,IF(Q644="Tugboat",S644*Alukset_fx!$B$76,IF(OR(Q644="Tanker",Q644="Gas tanker",Q644="Chemical tanker",Q644="Oil tanker"),S644*Alukset_fx!$B$68,IF(OR(Q644="RoRo",Q644="Vehicle carrier"),S644*Alukset_fx!$B$72,IF(Q644="RoPax",S644*Alukset_fx!$B$73,IF(Q644="Container ship",S644*Alukset_fx!$B$70,S644*Alukset_fx!$B$75))))))),"-")</f>
        <v>0</v>
      </c>
      <c r="U644" s="208">
        <f t="shared" si="114"/>
        <v>0</v>
      </c>
      <c r="V644" s="208">
        <f t="shared" si="115"/>
        <v>0</v>
      </c>
      <c r="W644" s="202">
        <f>Alukset_Käynnit!N651</f>
        <v>0</v>
      </c>
      <c r="X644" s="211">
        <f>IF(Q644="Other dry cargo", Alukset_fx!$C$52, IF(OR(Q644="Dry bulk",Q644="Bulk carrier"),Alukset_fx!$C$35,IF(OR(Q644="Tanker",Q644="Gas tanker",Q644="Oil tanker"),Alukset_fx!$C$57,IF(Q644="Chemical tanker",Alukset_fx!$C$56,IF(OR(Q644="Tugboat",Q644="Barge"),0,IF(Q644="Other vessel",Alukset_fx!$C$54,IF(Q644="Container ship",Alukset_fx!$C$37,IF(OR(Q644="RoPax",Q644="RoRo",Q644="Vehicle carrier"),Alukset_fx!$C$55,0))))))))</f>
        <v>0</v>
      </c>
      <c r="Y644" s="211">
        <f>IF(Q644="Other dry cargo", Alukset_fx!$Q$52, IF(OR(Q644="Dry bulk",Q644="Bulk carrier"),Alukset_fx!$Q$35,IF(OR(Q644="Tanker",Q644="Gas tanker",Q644="Oil tanker"),Alukset_fx!$Q$57,IF(Q644="Chemical tanker",Alukset_fx!$Q$56,IF(OR(Q644="Tugboat",Q644="Barge"),0,IF(Q644="Other vessel",Alukset_fx!$Q$54,IF(Q644="Container ship",Alukset_fx!$Q$37,IF(OR(Q644="RoPax",Q644="RoRo",Q644="Vehicle carrier"),Alukset_fx!$Q$55,0))))))))</f>
        <v>0</v>
      </c>
      <c r="Z644" t="str">
        <f t="shared" si="116"/>
        <v>MDO/MGO</v>
      </c>
      <c r="AA644" t="str">
        <f t="shared" si="117"/>
        <v>MSD</v>
      </c>
      <c r="AB644" t="str">
        <f t="shared" si="118"/>
        <v>MDO/MGO</v>
      </c>
      <c r="AC644" t="str">
        <f t="shared" si="119"/>
        <v>MSD</v>
      </c>
      <c r="AD644" t="str">
        <f t="shared" si="120"/>
        <v>MDO/MGO</v>
      </c>
      <c r="AE644" t="str">
        <f t="shared" si="121"/>
        <v>ST</v>
      </c>
      <c r="AG644">
        <f>Alukset_Käynnit!O651</f>
        <v>0</v>
      </c>
      <c r="AH644" s="207">
        <f>IF(AA644="SSD",((U644*Alukset_fx!$B$24)*Alukset_Käynnit_Lask!W644*(Alukset_fx!$K$49)/1000),IF(AA644="MSD",((U644*Alukset_fx!$B$24)*Alukset_Käynnit_Lask!W644*(Alukset_fx!$K$52)/1000),IF(AA644="HSD",((U644*Alukset_fx!$B$24)*Alukset_Käynnit_Lask!W644*(Alukset_fx!$K$55)/1000),0)))</f>
        <v>0</v>
      </c>
      <c r="AI644" s="207">
        <f>IF(AC644="MSD",((V644*Alukset_fx!$B$25)*Alukset_Käynnit_Lask!W644*(Alukset_fx!$L$52)/1000),IF(AC644="HSD",((V644*Alukset_fx!$B$25)*Alukset_Käynnit_Lask!W644*(Alukset_fx!$L$55)/1000),0))</f>
        <v>0</v>
      </c>
      <c r="AJ644" s="207">
        <f>X644*W644*Alukset_fx!$K$61/1000</f>
        <v>0</v>
      </c>
      <c r="AK644">
        <v>0</v>
      </c>
      <c r="AL644" s="207">
        <f>IF(AG644="Käytetty",0,IF(AC644="MSD",((V644*Alukset_fx!$O$25)*Alukset_Käynnit_Lask!O644*(Alukset_fx!$L$52)/1000),IF(AC644="HSD",((V644*Alukset_fx!$O$25)*Alukset_Käynnit_Lask!O644*(Alukset_fx!$L$55)/1000),0)))</f>
        <v>0</v>
      </c>
      <c r="AM644" s="207">
        <f>IF(AG644="Käytetty",0,Y644*O644*Alukset_fx!$K$61/1000)</f>
        <v>0</v>
      </c>
      <c r="AN644" s="213">
        <f t="shared" si="122"/>
        <v>0</v>
      </c>
    </row>
    <row r="645" spans="1:40" x14ac:dyDescent="0.25">
      <c r="A645" s="203">
        <f>Alukset_Käynnit!A652</f>
        <v>0</v>
      </c>
      <c r="B645" s="203">
        <f>Alukset_Käynnit!B652</f>
        <v>0</v>
      </c>
      <c r="C645" s="262">
        <f>Alukset_Käynnit!C652</f>
        <v>0</v>
      </c>
      <c r="D645" s="266">
        <f>Alukset_Käynnit!D652</f>
        <v>0</v>
      </c>
      <c r="E645" s="262">
        <f>Alukset_Käynnit!E652</f>
        <v>0</v>
      </c>
      <c r="F645" s="262">
        <f>Alukset_Käynnit!F652</f>
        <v>0</v>
      </c>
      <c r="G645" s="262">
        <f>Alukset_Käynnit!G652</f>
        <v>0</v>
      </c>
      <c r="H645" s="262">
        <f>Alukset_Käynnit!H652</f>
        <v>0</v>
      </c>
      <c r="I645" s="262">
        <f>Alukset_Käynnit!I652</f>
        <v>0</v>
      </c>
      <c r="J645" s="262">
        <f>Alukset_Käynnit!J652</f>
        <v>0</v>
      </c>
      <c r="K645" s="262">
        <f>Alukset_Käynnit!K652</f>
        <v>0</v>
      </c>
      <c r="L645" s="205">
        <f>Alukset_Käynnit!L652</f>
        <v>0</v>
      </c>
      <c r="N645" s="273">
        <f t="shared" si="123"/>
        <v>0</v>
      </c>
      <c r="O645" s="274">
        <f t="shared" si="124"/>
        <v>0</v>
      </c>
      <c r="Q645" s="204">
        <f t="shared" si="113"/>
        <v>0</v>
      </c>
      <c r="R645" s="202">
        <f>IF(Q645="Other dry cargo",L645*Alukset_fx!$B$71,IF(OR(Q645="Dry bulk",Q645="Bulk carrier"),L645*Alukset_fx!$B$69,IF(Q645="Tugboat",L645*Alukset_fx!$B$76,IF(OR(Q645="Tanker",Q645="Gas tanker",Q645="Chemical tanker",Q645="Oil tanker"),L645*Alukset_fx!$B$68,IF(OR(Q645="RoRo",Q645="Vehicle carrier"),L645*Alukset_fx!$B$72,IF(Q645="RoPax",L645*Alukset_fx!$B$73,IF(Q645="Container ship",L645*Alukset_fx!$B$70,IF(Q645="Barge",0,L645*Alukset_fx!$B$75))))))))</f>
        <v>0</v>
      </c>
      <c r="S645" s="210">
        <f>IF(L645=0,IF(Q645="Other dry cargo",Alukset_fx!$H$73*(Alukset_Käynnit_Lask!K645^Alukset_fx!$I$73),IF(OR(Q645="Dry Bulk",Q645="Bulk carrier"),Alukset_fx!$H$71*(Alukset_Käynnit_Lask!K645^Alukset_fx!$I$71),IF(Q645="Tugboat",Alukset_fx!$H$78*(Alukset_Käynnit_Lask!K645^Alukset_fx!$I$78),IF(OR(Q645="Tanker",Q645="Gas tanker",Q645="Chemical tanker",Q645="Oil tanker"),Alukset_fx!$H$70*(Alukset_Käynnit_Lask!K645^Alukset_fx!$I$70),IF(Q645="Container ship",Alukset_fx!$H$72*(Alukset_Käynnit_Lask!K645^Alukset_fx!$I$72),IF(Q645="Barge",0,IF(Q645="RoPax",Alukset_fx!$H$75*(Alukset_Käynnit_Lask!K645^Alukset_fx!$I$75),IF(OR(Q645="RoRo",Q645="Vehicle carrier"),Alukset_fx!$H$74*(Alukset_Käynnit_Lask!K645^Alukset_fx!$I$74),Alukset_fx!$H$77*(Alukset_Käynnit_Lask!K645^Alukset_fx!$I$77))))))))),"-")</f>
        <v>0</v>
      </c>
      <c r="T645" s="208">
        <f>IF(R645=0,IF(Q645="Other dry cargo",S645*Alukset_fx!$B$71,IF(OR(Q645="Dry bulk",Q645="Bulk carrier"),S645*Alukset_fx!$B$69,IF(Q645="Tugboat",S645*Alukset_fx!$B$76,IF(OR(Q645="Tanker",Q645="Gas tanker",Q645="Chemical tanker",Q645="Oil tanker"),S645*Alukset_fx!$B$68,IF(OR(Q645="RoRo",Q645="Vehicle carrier"),S645*Alukset_fx!$B$72,IF(Q645="RoPax",S645*Alukset_fx!$B$73,IF(Q645="Container ship",S645*Alukset_fx!$B$70,S645*Alukset_fx!$B$75))))))),"-")</f>
        <v>0</v>
      </c>
      <c r="U645" s="208">
        <f t="shared" si="114"/>
        <v>0</v>
      </c>
      <c r="V645" s="208">
        <f t="shared" si="115"/>
        <v>0</v>
      </c>
      <c r="W645" s="202">
        <f>Alukset_Käynnit!N652</f>
        <v>0</v>
      </c>
      <c r="X645" s="211">
        <f>IF(Q645="Other dry cargo", Alukset_fx!$C$52, IF(OR(Q645="Dry bulk",Q645="Bulk carrier"),Alukset_fx!$C$35,IF(OR(Q645="Tanker",Q645="Gas tanker",Q645="Oil tanker"),Alukset_fx!$C$57,IF(Q645="Chemical tanker",Alukset_fx!$C$56,IF(OR(Q645="Tugboat",Q645="Barge"),0,IF(Q645="Other vessel",Alukset_fx!$C$54,IF(Q645="Container ship",Alukset_fx!$C$37,IF(OR(Q645="RoPax",Q645="RoRo",Q645="Vehicle carrier"),Alukset_fx!$C$55,0))))))))</f>
        <v>0</v>
      </c>
      <c r="Y645" s="211">
        <f>IF(Q645="Other dry cargo", Alukset_fx!$Q$52, IF(OR(Q645="Dry bulk",Q645="Bulk carrier"),Alukset_fx!$Q$35,IF(OR(Q645="Tanker",Q645="Gas tanker",Q645="Oil tanker"),Alukset_fx!$Q$57,IF(Q645="Chemical tanker",Alukset_fx!$Q$56,IF(OR(Q645="Tugboat",Q645="Barge"),0,IF(Q645="Other vessel",Alukset_fx!$Q$54,IF(Q645="Container ship",Alukset_fx!$Q$37,IF(OR(Q645="RoPax",Q645="RoRo",Q645="Vehicle carrier"),Alukset_fx!$Q$55,0))))))))</f>
        <v>0</v>
      </c>
      <c r="Z645" t="str">
        <f t="shared" si="116"/>
        <v>MDO/MGO</v>
      </c>
      <c r="AA645" t="str">
        <f t="shared" si="117"/>
        <v>MSD</v>
      </c>
      <c r="AB645" t="str">
        <f t="shared" si="118"/>
        <v>MDO/MGO</v>
      </c>
      <c r="AC645" t="str">
        <f t="shared" si="119"/>
        <v>MSD</v>
      </c>
      <c r="AD645" t="str">
        <f t="shared" si="120"/>
        <v>MDO/MGO</v>
      </c>
      <c r="AE645" t="str">
        <f t="shared" si="121"/>
        <v>ST</v>
      </c>
      <c r="AG645">
        <f>Alukset_Käynnit!O652</f>
        <v>0</v>
      </c>
      <c r="AH645" s="207">
        <f>IF(AA645="SSD",((U645*Alukset_fx!$B$24)*Alukset_Käynnit_Lask!W645*(Alukset_fx!$K$49)/1000),IF(AA645="MSD",((U645*Alukset_fx!$B$24)*Alukset_Käynnit_Lask!W645*(Alukset_fx!$K$52)/1000),IF(AA645="HSD",((U645*Alukset_fx!$B$24)*Alukset_Käynnit_Lask!W645*(Alukset_fx!$K$55)/1000),0)))</f>
        <v>0</v>
      </c>
      <c r="AI645" s="207">
        <f>IF(AC645="MSD",((V645*Alukset_fx!$B$25)*Alukset_Käynnit_Lask!W645*(Alukset_fx!$L$52)/1000),IF(AC645="HSD",((V645*Alukset_fx!$B$25)*Alukset_Käynnit_Lask!W645*(Alukset_fx!$L$55)/1000),0))</f>
        <v>0</v>
      </c>
      <c r="AJ645" s="207">
        <f>X645*W645*Alukset_fx!$K$61/1000</f>
        <v>0</v>
      </c>
      <c r="AK645">
        <v>0</v>
      </c>
      <c r="AL645" s="207">
        <f>IF(AG645="Käytetty",0,IF(AC645="MSD",((V645*Alukset_fx!$O$25)*Alukset_Käynnit_Lask!O645*(Alukset_fx!$L$52)/1000),IF(AC645="HSD",((V645*Alukset_fx!$O$25)*Alukset_Käynnit_Lask!O645*(Alukset_fx!$L$55)/1000),0)))</f>
        <v>0</v>
      </c>
      <c r="AM645" s="207">
        <f>IF(AG645="Käytetty",0,Y645*O645*Alukset_fx!$K$61/1000)</f>
        <v>0</v>
      </c>
      <c r="AN645" s="213">
        <f t="shared" si="122"/>
        <v>0</v>
      </c>
    </row>
    <row r="646" spans="1:40" x14ac:dyDescent="0.25">
      <c r="A646" s="203">
        <f>Alukset_Käynnit!A653</f>
        <v>0</v>
      </c>
      <c r="B646" s="203">
        <f>Alukset_Käynnit!B653</f>
        <v>0</v>
      </c>
      <c r="C646" s="262">
        <f>Alukset_Käynnit!C653</f>
        <v>0</v>
      </c>
      <c r="D646" s="266">
        <f>Alukset_Käynnit!D653</f>
        <v>0</v>
      </c>
      <c r="E646" s="262">
        <f>Alukset_Käynnit!E653</f>
        <v>0</v>
      </c>
      <c r="F646" s="262">
        <f>Alukset_Käynnit!F653</f>
        <v>0</v>
      </c>
      <c r="G646" s="262">
        <f>Alukset_Käynnit!G653</f>
        <v>0</v>
      </c>
      <c r="H646" s="262">
        <f>Alukset_Käynnit!H653</f>
        <v>0</v>
      </c>
      <c r="I646" s="262">
        <f>Alukset_Käynnit!I653</f>
        <v>0</v>
      </c>
      <c r="J646" s="262">
        <f>Alukset_Käynnit!J653</f>
        <v>0</v>
      </c>
      <c r="K646" s="262">
        <f>Alukset_Käynnit!K653</f>
        <v>0</v>
      </c>
      <c r="L646" s="205">
        <f>Alukset_Käynnit!L653</f>
        <v>0</v>
      </c>
      <c r="N646" s="273">
        <f t="shared" si="123"/>
        <v>0</v>
      </c>
      <c r="O646" s="274">
        <f t="shared" si="124"/>
        <v>0</v>
      </c>
      <c r="Q646" s="204">
        <f t="shared" si="113"/>
        <v>0</v>
      </c>
      <c r="R646" s="202">
        <f>IF(Q646="Other dry cargo",L646*Alukset_fx!$B$71,IF(OR(Q646="Dry bulk",Q646="Bulk carrier"),L646*Alukset_fx!$B$69,IF(Q646="Tugboat",L646*Alukset_fx!$B$76,IF(OR(Q646="Tanker",Q646="Gas tanker",Q646="Chemical tanker",Q646="Oil tanker"),L646*Alukset_fx!$B$68,IF(OR(Q646="RoRo",Q646="Vehicle carrier"),L646*Alukset_fx!$B$72,IF(Q646="RoPax",L646*Alukset_fx!$B$73,IF(Q646="Container ship",L646*Alukset_fx!$B$70,IF(Q646="Barge",0,L646*Alukset_fx!$B$75))))))))</f>
        <v>0</v>
      </c>
      <c r="S646" s="210">
        <f>IF(L646=0,IF(Q646="Other dry cargo",Alukset_fx!$H$73*(Alukset_Käynnit_Lask!K646^Alukset_fx!$I$73),IF(OR(Q646="Dry Bulk",Q646="Bulk carrier"),Alukset_fx!$H$71*(Alukset_Käynnit_Lask!K646^Alukset_fx!$I$71),IF(Q646="Tugboat",Alukset_fx!$H$78*(Alukset_Käynnit_Lask!K646^Alukset_fx!$I$78),IF(OR(Q646="Tanker",Q646="Gas tanker",Q646="Chemical tanker",Q646="Oil tanker"),Alukset_fx!$H$70*(Alukset_Käynnit_Lask!K646^Alukset_fx!$I$70),IF(Q646="Container ship",Alukset_fx!$H$72*(Alukset_Käynnit_Lask!K646^Alukset_fx!$I$72),IF(Q646="Barge",0,IF(Q646="RoPax",Alukset_fx!$H$75*(Alukset_Käynnit_Lask!K646^Alukset_fx!$I$75),IF(OR(Q646="RoRo",Q646="Vehicle carrier"),Alukset_fx!$H$74*(Alukset_Käynnit_Lask!K646^Alukset_fx!$I$74),Alukset_fx!$H$77*(Alukset_Käynnit_Lask!K646^Alukset_fx!$I$77))))))))),"-")</f>
        <v>0</v>
      </c>
      <c r="T646" s="208">
        <f>IF(R646=0,IF(Q646="Other dry cargo",S646*Alukset_fx!$B$71,IF(OR(Q646="Dry bulk",Q646="Bulk carrier"),S646*Alukset_fx!$B$69,IF(Q646="Tugboat",S646*Alukset_fx!$B$76,IF(OR(Q646="Tanker",Q646="Gas tanker",Q646="Chemical tanker",Q646="Oil tanker"),S646*Alukset_fx!$B$68,IF(OR(Q646="RoRo",Q646="Vehicle carrier"),S646*Alukset_fx!$B$72,IF(Q646="RoPax",S646*Alukset_fx!$B$73,IF(Q646="Container ship",S646*Alukset_fx!$B$70,S646*Alukset_fx!$B$75))))))),"-")</f>
        <v>0</v>
      </c>
      <c r="U646" s="208">
        <f t="shared" si="114"/>
        <v>0</v>
      </c>
      <c r="V646" s="208">
        <f t="shared" si="115"/>
        <v>0</v>
      </c>
      <c r="W646" s="202">
        <f>Alukset_Käynnit!N653</f>
        <v>0</v>
      </c>
      <c r="X646" s="211">
        <f>IF(Q646="Other dry cargo", Alukset_fx!$C$52, IF(OR(Q646="Dry bulk",Q646="Bulk carrier"),Alukset_fx!$C$35,IF(OR(Q646="Tanker",Q646="Gas tanker",Q646="Oil tanker"),Alukset_fx!$C$57,IF(Q646="Chemical tanker",Alukset_fx!$C$56,IF(OR(Q646="Tugboat",Q646="Barge"),0,IF(Q646="Other vessel",Alukset_fx!$C$54,IF(Q646="Container ship",Alukset_fx!$C$37,IF(OR(Q646="RoPax",Q646="RoRo",Q646="Vehicle carrier"),Alukset_fx!$C$55,0))))))))</f>
        <v>0</v>
      </c>
      <c r="Y646" s="211">
        <f>IF(Q646="Other dry cargo", Alukset_fx!$Q$52, IF(OR(Q646="Dry bulk",Q646="Bulk carrier"),Alukset_fx!$Q$35,IF(OR(Q646="Tanker",Q646="Gas tanker",Q646="Oil tanker"),Alukset_fx!$Q$57,IF(Q646="Chemical tanker",Alukset_fx!$Q$56,IF(OR(Q646="Tugboat",Q646="Barge"),0,IF(Q646="Other vessel",Alukset_fx!$Q$54,IF(Q646="Container ship",Alukset_fx!$Q$37,IF(OR(Q646="RoPax",Q646="RoRo",Q646="Vehicle carrier"),Alukset_fx!$Q$55,0))))))))</f>
        <v>0</v>
      </c>
      <c r="Z646" t="str">
        <f t="shared" si="116"/>
        <v>MDO/MGO</v>
      </c>
      <c r="AA646" t="str">
        <f t="shared" si="117"/>
        <v>MSD</v>
      </c>
      <c r="AB646" t="str">
        <f t="shared" si="118"/>
        <v>MDO/MGO</v>
      </c>
      <c r="AC646" t="str">
        <f t="shared" si="119"/>
        <v>MSD</v>
      </c>
      <c r="AD646" t="str">
        <f t="shared" si="120"/>
        <v>MDO/MGO</v>
      </c>
      <c r="AE646" t="str">
        <f t="shared" si="121"/>
        <v>ST</v>
      </c>
      <c r="AG646">
        <f>Alukset_Käynnit!O653</f>
        <v>0</v>
      </c>
      <c r="AH646" s="207">
        <f>IF(AA646="SSD",((U646*Alukset_fx!$B$24)*Alukset_Käynnit_Lask!W646*(Alukset_fx!$K$49)/1000),IF(AA646="MSD",((U646*Alukset_fx!$B$24)*Alukset_Käynnit_Lask!W646*(Alukset_fx!$K$52)/1000),IF(AA646="HSD",((U646*Alukset_fx!$B$24)*Alukset_Käynnit_Lask!W646*(Alukset_fx!$K$55)/1000),0)))</f>
        <v>0</v>
      </c>
      <c r="AI646" s="207">
        <f>IF(AC646="MSD",((V646*Alukset_fx!$B$25)*Alukset_Käynnit_Lask!W646*(Alukset_fx!$L$52)/1000),IF(AC646="HSD",((V646*Alukset_fx!$B$25)*Alukset_Käynnit_Lask!W646*(Alukset_fx!$L$55)/1000),0))</f>
        <v>0</v>
      </c>
      <c r="AJ646" s="207">
        <f>X646*W646*Alukset_fx!$K$61/1000</f>
        <v>0</v>
      </c>
      <c r="AK646">
        <v>0</v>
      </c>
      <c r="AL646" s="207">
        <f>IF(AG646="Käytetty",0,IF(AC646="MSD",((V646*Alukset_fx!$O$25)*Alukset_Käynnit_Lask!O646*(Alukset_fx!$L$52)/1000),IF(AC646="HSD",((V646*Alukset_fx!$O$25)*Alukset_Käynnit_Lask!O646*(Alukset_fx!$L$55)/1000),0)))</f>
        <v>0</v>
      </c>
      <c r="AM646" s="207">
        <f>IF(AG646="Käytetty",0,Y646*O646*Alukset_fx!$K$61/1000)</f>
        <v>0</v>
      </c>
      <c r="AN646" s="213">
        <f t="shared" si="122"/>
        <v>0</v>
      </c>
    </row>
    <row r="647" spans="1:40" x14ac:dyDescent="0.25">
      <c r="A647" s="203">
        <f>Alukset_Käynnit!A654</f>
        <v>0</v>
      </c>
      <c r="B647" s="203">
        <f>Alukset_Käynnit!B654</f>
        <v>0</v>
      </c>
      <c r="C647" s="262">
        <f>Alukset_Käynnit!C654</f>
        <v>0</v>
      </c>
      <c r="D647" s="266">
        <f>Alukset_Käynnit!D654</f>
        <v>0</v>
      </c>
      <c r="E647" s="262">
        <f>Alukset_Käynnit!E654</f>
        <v>0</v>
      </c>
      <c r="F647" s="262">
        <f>Alukset_Käynnit!F654</f>
        <v>0</v>
      </c>
      <c r="G647" s="262">
        <f>Alukset_Käynnit!G654</f>
        <v>0</v>
      </c>
      <c r="H647" s="262">
        <f>Alukset_Käynnit!H654</f>
        <v>0</v>
      </c>
      <c r="I647" s="262">
        <f>Alukset_Käynnit!I654</f>
        <v>0</v>
      </c>
      <c r="J647" s="262">
        <f>Alukset_Käynnit!J654</f>
        <v>0</v>
      </c>
      <c r="K647" s="262">
        <f>Alukset_Käynnit!K654</f>
        <v>0</v>
      </c>
      <c r="L647" s="205">
        <f>Alukset_Käynnit!L654</f>
        <v>0</v>
      </c>
      <c r="N647" s="273">
        <f t="shared" si="123"/>
        <v>0</v>
      </c>
      <c r="O647" s="274">
        <f t="shared" si="124"/>
        <v>0</v>
      </c>
      <c r="Q647" s="204">
        <f t="shared" si="113"/>
        <v>0</v>
      </c>
      <c r="R647" s="202">
        <f>IF(Q647="Other dry cargo",L647*Alukset_fx!$B$71,IF(OR(Q647="Dry bulk",Q647="Bulk carrier"),L647*Alukset_fx!$B$69,IF(Q647="Tugboat",L647*Alukset_fx!$B$76,IF(OR(Q647="Tanker",Q647="Gas tanker",Q647="Chemical tanker",Q647="Oil tanker"),L647*Alukset_fx!$B$68,IF(OR(Q647="RoRo",Q647="Vehicle carrier"),L647*Alukset_fx!$B$72,IF(Q647="RoPax",L647*Alukset_fx!$B$73,IF(Q647="Container ship",L647*Alukset_fx!$B$70,IF(Q647="Barge",0,L647*Alukset_fx!$B$75))))))))</f>
        <v>0</v>
      </c>
      <c r="S647" s="210">
        <f>IF(L647=0,IF(Q647="Other dry cargo",Alukset_fx!$H$73*(Alukset_Käynnit_Lask!K647^Alukset_fx!$I$73),IF(OR(Q647="Dry Bulk",Q647="Bulk carrier"),Alukset_fx!$H$71*(Alukset_Käynnit_Lask!K647^Alukset_fx!$I$71),IF(Q647="Tugboat",Alukset_fx!$H$78*(Alukset_Käynnit_Lask!K647^Alukset_fx!$I$78),IF(OR(Q647="Tanker",Q647="Gas tanker",Q647="Chemical tanker",Q647="Oil tanker"),Alukset_fx!$H$70*(Alukset_Käynnit_Lask!K647^Alukset_fx!$I$70),IF(Q647="Container ship",Alukset_fx!$H$72*(Alukset_Käynnit_Lask!K647^Alukset_fx!$I$72),IF(Q647="Barge",0,IF(Q647="RoPax",Alukset_fx!$H$75*(Alukset_Käynnit_Lask!K647^Alukset_fx!$I$75),IF(OR(Q647="RoRo",Q647="Vehicle carrier"),Alukset_fx!$H$74*(Alukset_Käynnit_Lask!K647^Alukset_fx!$I$74),Alukset_fx!$H$77*(Alukset_Käynnit_Lask!K647^Alukset_fx!$I$77))))))))),"-")</f>
        <v>0</v>
      </c>
      <c r="T647" s="208">
        <f>IF(R647=0,IF(Q647="Other dry cargo",S647*Alukset_fx!$B$71,IF(OR(Q647="Dry bulk",Q647="Bulk carrier"),S647*Alukset_fx!$B$69,IF(Q647="Tugboat",S647*Alukset_fx!$B$76,IF(OR(Q647="Tanker",Q647="Gas tanker",Q647="Chemical tanker",Q647="Oil tanker"),S647*Alukset_fx!$B$68,IF(OR(Q647="RoRo",Q647="Vehicle carrier"),S647*Alukset_fx!$B$72,IF(Q647="RoPax",S647*Alukset_fx!$B$73,IF(Q647="Container ship",S647*Alukset_fx!$B$70,S647*Alukset_fx!$B$75))))))),"-")</f>
        <v>0</v>
      </c>
      <c r="U647" s="208">
        <f t="shared" si="114"/>
        <v>0</v>
      </c>
      <c r="V647" s="208">
        <f t="shared" si="115"/>
        <v>0</v>
      </c>
      <c r="W647" s="202">
        <f>Alukset_Käynnit!N654</f>
        <v>0</v>
      </c>
      <c r="X647" s="211">
        <f>IF(Q647="Other dry cargo", Alukset_fx!$C$52, IF(OR(Q647="Dry bulk",Q647="Bulk carrier"),Alukset_fx!$C$35,IF(OR(Q647="Tanker",Q647="Gas tanker",Q647="Oil tanker"),Alukset_fx!$C$57,IF(Q647="Chemical tanker",Alukset_fx!$C$56,IF(OR(Q647="Tugboat",Q647="Barge"),0,IF(Q647="Other vessel",Alukset_fx!$C$54,IF(Q647="Container ship",Alukset_fx!$C$37,IF(OR(Q647="RoPax",Q647="RoRo",Q647="Vehicle carrier"),Alukset_fx!$C$55,0))))))))</f>
        <v>0</v>
      </c>
      <c r="Y647" s="211">
        <f>IF(Q647="Other dry cargo", Alukset_fx!$Q$52, IF(OR(Q647="Dry bulk",Q647="Bulk carrier"),Alukset_fx!$Q$35,IF(OR(Q647="Tanker",Q647="Gas tanker",Q647="Oil tanker"),Alukset_fx!$Q$57,IF(Q647="Chemical tanker",Alukset_fx!$Q$56,IF(OR(Q647="Tugboat",Q647="Barge"),0,IF(Q647="Other vessel",Alukset_fx!$Q$54,IF(Q647="Container ship",Alukset_fx!$Q$37,IF(OR(Q647="RoPax",Q647="RoRo",Q647="Vehicle carrier"),Alukset_fx!$Q$55,0))))))))</f>
        <v>0</v>
      </c>
      <c r="Z647" t="str">
        <f t="shared" si="116"/>
        <v>MDO/MGO</v>
      </c>
      <c r="AA647" t="str">
        <f t="shared" si="117"/>
        <v>MSD</v>
      </c>
      <c r="AB647" t="str">
        <f t="shared" si="118"/>
        <v>MDO/MGO</v>
      </c>
      <c r="AC647" t="str">
        <f t="shared" si="119"/>
        <v>MSD</v>
      </c>
      <c r="AD647" t="str">
        <f t="shared" si="120"/>
        <v>MDO/MGO</v>
      </c>
      <c r="AE647" t="str">
        <f t="shared" si="121"/>
        <v>ST</v>
      </c>
      <c r="AG647">
        <f>Alukset_Käynnit!O654</f>
        <v>0</v>
      </c>
      <c r="AH647" s="207">
        <f>IF(AA647="SSD",((U647*Alukset_fx!$B$24)*Alukset_Käynnit_Lask!W647*(Alukset_fx!$K$49)/1000),IF(AA647="MSD",((U647*Alukset_fx!$B$24)*Alukset_Käynnit_Lask!W647*(Alukset_fx!$K$52)/1000),IF(AA647="HSD",((U647*Alukset_fx!$B$24)*Alukset_Käynnit_Lask!W647*(Alukset_fx!$K$55)/1000),0)))</f>
        <v>0</v>
      </c>
      <c r="AI647" s="207">
        <f>IF(AC647="MSD",((V647*Alukset_fx!$B$25)*Alukset_Käynnit_Lask!W647*(Alukset_fx!$L$52)/1000),IF(AC647="HSD",((V647*Alukset_fx!$B$25)*Alukset_Käynnit_Lask!W647*(Alukset_fx!$L$55)/1000),0))</f>
        <v>0</v>
      </c>
      <c r="AJ647" s="207">
        <f>X647*W647*Alukset_fx!$K$61/1000</f>
        <v>0</v>
      </c>
      <c r="AK647">
        <v>0</v>
      </c>
      <c r="AL647" s="207">
        <f>IF(AG647="Käytetty",0,IF(AC647="MSD",((V647*Alukset_fx!$O$25)*Alukset_Käynnit_Lask!O647*(Alukset_fx!$L$52)/1000),IF(AC647="HSD",((V647*Alukset_fx!$O$25)*Alukset_Käynnit_Lask!O647*(Alukset_fx!$L$55)/1000),0)))</f>
        <v>0</v>
      </c>
      <c r="AM647" s="207">
        <f>IF(AG647="Käytetty",0,Y647*O647*Alukset_fx!$K$61/1000)</f>
        <v>0</v>
      </c>
      <c r="AN647" s="213">
        <f t="shared" si="122"/>
        <v>0</v>
      </c>
    </row>
    <row r="648" spans="1:40" x14ac:dyDescent="0.25">
      <c r="A648" s="203">
        <f>Alukset_Käynnit!A655</f>
        <v>0</v>
      </c>
      <c r="B648" s="203">
        <f>Alukset_Käynnit!B655</f>
        <v>0</v>
      </c>
      <c r="C648" s="262">
        <f>Alukset_Käynnit!C655</f>
        <v>0</v>
      </c>
      <c r="D648" s="266">
        <f>Alukset_Käynnit!D655</f>
        <v>0</v>
      </c>
      <c r="E648" s="262">
        <f>Alukset_Käynnit!E655</f>
        <v>0</v>
      </c>
      <c r="F648" s="262">
        <f>Alukset_Käynnit!F655</f>
        <v>0</v>
      </c>
      <c r="G648" s="262">
        <f>Alukset_Käynnit!G655</f>
        <v>0</v>
      </c>
      <c r="H648" s="262">
        <f>Alukset_Käynnit!H655</f>
        <v>0</v>
      </c>
      <c r="I648" s="262">
        <f>Alukset_Käynnit!I655</f>
        <v>0</v>
      </c>
      <c r="J648" s="262">
        <f>Alukset_Käynnit!J655</f>
        <v>0</v>
      </c>
      <c r="K648" s="262">
        <f>Alukset_Käynnit!K655</f>
        <v>0</v>
      </c>
      <c r="L648" s="205">
        <f>Alukset_Käynnit!L655</f>
        <v>0</v>
      </c>
      <c r="N648" s="273">
        <f t="shared" si="123"/>
        <v>0</v>
      </c>
      <c r="O648" s="274">
        <f t="shared" si="124"/>
        <v>0</v>
      </c>
      <c r="Q648" s="204">
        <f t="shared" si="113"/>
        <v>0</v>
      </c>
      <c r="R648" s="202">
        <f>IF(Q648="Other dry cargo",L648*Alukset_fx!$B$71,IF(OR(Q648="Dry bulk",Q648="Bulk carrier"),L648*Alukset_fx!$B$69,IF(Q648="Tugboat",L648*Alukset_fx!$B$76,IF(OR(Q648="Tanker",Q648="Gas tanker",Q648="Chemical tanker",Q648="Oil tanker"),L648*Alukset_fx!$B$68,IF(OR(Q648="RoRo",Q648="Vehicle carrier"),L648*Alukset_fx!$B$72,IF(Q648="RoPax",L648*Alukset_fx!$B$73,IF(Q648="Container ship",L648*Alukset_fx!$B$70,IF(Q648="Barge",0,L648*Alukset_fx!$B$75))))))))</f>
        <v>0</v>
      </c>
      <c r="S648" s="210">
        <f>IF(L648=0,IF(Q648="Other dry cargo",Alukset_fx!$H$73*(Alukset_Käynnit_Lask!K648^Alukset_fx!$I$73),IF(OR(Q648="Dry Bulk",Q648="Bulk carrier"),Alukset_fx!$H$71*(Alukset_Käynnit_Lask!K648^Alukset_fx!$I$71),IF(Q648="Tugboat",Alukset_fx!$H$78*(Alukset_Käynnit_Lask!K648^Alukset_fx!$I$78),IF(OR(Q648="Tanker",Q648="Gas tanker",Q648="Chemical tanker",Q648="Oil tanker"),Alukset_fx!$H$70*(Alukset_Käynnit_Lask!K648^Alukset_fx!$I$70),IF(Q648="Container ship",Alukset_fx!$H$72*(Alukset_Käynnit_Lask!K648^Alukset_fx!$I$72),IF(Q648="Barge",0,IF(Q648="RoPax",Alukset_fx!$H$75*(Alukset_Käynnit_Lask!K648^Alukset_fx!$I$75),IF(OR(Q648="RoRo",Q648="Vehicle carrier"),Alukset_fx!$H$74*(Alukset_Käynnit_Lask!K648^Alukset_fx!$I$74),Alukset_fx!$H$77*(Alukset_Käynnit_Lask!K648^Alukset_fx!$I$77))))))))),"-")</f>
        <v>0</v>
      </c>
      <c r="T648" s="208">
        <f>IF(R648=0,IF(Q648="Other dry cargo",S648*Alukset_fx!$B$71,IF(OR(Q648="Dry bulk",Q648="Bulk carrier"),S648*Alukset_fx!$B$69,IF(Q648="Tugboat",S648*Alukset_fx!$B$76,IF(OR(Q648="Tanker",Q648="Gas tanker",Q648="Chemical tanker",Q648="Oil tanker"),S648*Alukset_fx!$B$68,IF(OR(Q648="RoRo",Q648="Vehicle carrier"),S648*Alukset_fx!$B$72,IF(Q648="RoPax",S648*Alukset_fx!$B$73,IF(Q648="Container ship",S648*Alukset_fx!$B$70,S648*Alukset_fx!$B$75))))))),"-")</f>
        <v>0</v>
      </c>
      <c r="U648" s="208">
        <f t="shared" si="114"/>
        <v>0</v>
      </c>
      <c r="V648" s="208">
        <f t="shared" si="115"/>
        <v>0</v>
      </c>
      <c r="W648" s="202">
        <f>Alukset_Käynnit!N655</f>
        <v>0</v>
      </c>
      <c r="X648" s="211">
        <f>IF(Q648="Other dry cargo", Alukset_fx!$C$52, IF(OR(Q648="Dry bulk",Q648="Bulk carrier"),Alukset_fx!$C$35,IF(OR(Q648="Tanker",Q648="Gas tanker",Q648="Oil tanker"),Alukset_fx!$C$57,IF(Q648="Chemical tanker",Alukset_fx!$C$56,IF(OR(Q648="Tugboat",Q648="Barge"),0,IF(Q648="Other vessel",Alukset_fx!$C$54,IF(Q648="Container ship",Alukset_fx!$C$37,IF(OR(Q648="RoPax",Q648="RoRo",Q648="Vehicle carrier"),Alukset_fx!$C$55,0))))))))</f>
        <v>0</v>
      </c>
      <c r="Y648" s="211">
        <f>IF(Q648="Other dry cargo", Alukset_fx!$Q$52, IF(OR(Q648="Dry bulk",Q648="Bulk carrier"),Alukset_fx!$Q$35,IF(OR(Q648="Tanker",Q648="Gas tanker",Q648="Oil tanker"),Alukset_fx!$Q$57,IF(Q648="Chemical tanker",Alukset_fx!$Q$56,IF(OR(Q648="Tugboat",Q648="Barge"),0,IF(Q648="Other vessel",Alukset_fx!$Q$54,IF(Q648="Container ship",Alukset_fx!$Q$37,IF(OR(Q648="RoPax",Q648="RoRo",Q648="Vehicle carrier"),Alukset_fx!$Q$55,0))))))))</f>
        <v>0</v>
      </c>
      <c r="Z648" t="str">
        <f t="shared" si="116"/>
        <v>MDO/MGO</v>
      </c>
      <c r="AA648" t="str">
        <f t="shared" si="117"/>
        <v>MSD</v>
      </c>
      <c r="AB648" t="str">
        <f t="shared" si="118"/>
        <v>MDO/MGO</v>
      </c>
      <c r="AC648" t="str">
        <f t="shared" si="119"/>
        <v>MSD</v>
      </c>
      <c r="AD648" t="str">
        <f t="shared" si="120"/>
        <v>MDO/MGO</v>
      </c>
      <c r="AE648" t="str">
        <f t="shared" si="121"/>
        <v>ST</v>
      </c>
      <c r="AG648">
        <f>Alukset_Käynnit!O655</f>
        <v>0</v>
      </c>
      <c r="AH648" s="207">
        <f>IF(AA648="SSD",((U648*Alukset_fx!$B$24)*Alukset_Käynnit_Lask!W648*(Alukset_fx!$K$49)/1000),IF(AA648="MSD",((U648*Alukset_fx!$B$24)*Alukset_Käynnit_Lask!W648*(Alukset_fx!$K$52)/1000),IF(AA648="HSD",((U648*Alukset_fx!$B$24)*Alukset_Käynnit_Lask!W648*(Alukset_fx!$K$55)/1000),0)))</f>
        <v>0</v>
      </c>
      <c r="AI648" s="207">
        <f>IF(AC648="MSD",((V648*Alukset_fx!$B$25)*Alukset_Käynnit_Lask!W648*(Alukset_fx!$L$52)/1000),IF(AC648="HSD",((V648*Alukset_fx!$B$25)*Alukset_Käynnit_Lask!W648*(Alukset_fx!$L$55)/1000),0))</f>
        <v>0</v>
      </c>
      <c r="AJ648" s="207">
        <f>X648*W648*Alukset_fx!$K$61/1000</f>
        <v>0</v>
      </c>
      <c r="AK648">
        <v>0</v>
      </c>
      <c r="AL648" s="207">
        <f>IF(AG648="Käytetty",0,IF(AC648="MSD",((V648*Alukset_fx!$O$25)*Alukset_Käynnit_Lask!O648*(Alukset_fx!$L$52)/1000),IF(AC648="HSD",((V648*Alukset_fx!$O$25)*Alukset_Käynnit_Lask!O648*(Alukset_fx!$L$55)/1000),0)))</f>
        <v>0</v>
      </c>
      <c r="AM648" s="207">
        <f>IF(AG648="Käytetty",0,Y648*O648*Alukset_fx!$K$61/1000)</f>
        <v>0</v>
      </c>
      <c r="AN648" s="213">
        <f t="shared" si="122"/>
        <v>0</v>
      </c>
    </row>
    <row r="649" spans="1:40" x14ac:dyDescent="0.25">
      <c r="A649" s="203">
        <f>Alukset_Käynnit!A656</f>
        <v>0</v>
      </c>
      <c r="B649" s="203">
        <f>Alukset_Käynnit!B656</f>
        <v>0</v>
      </c>
      <c r="C649" s="262">
        <f>Alukset_Käynnit!C656</f>
        <v>0</v>
      </c>
      <c r="D649" s="266">
        <f>Alukset_Käynnit!D656</f>
        <v>0</v>
      </c>
      <c r="E649" s="262">
        <f>Alukset_Käynnit!E656</f>
        <v>0</v>
      </c>
      <c r="F649" s="262">
        <f>Alukset_Käynnit!F656</f>
        <v>0</v>
      </c>
      <c r="G649" s="262">
        <f>Alukset_Käynnit!G656</f>
        <v>0</v>
      </c>
      <c r="H649" s="262">
        <f>Alukset_Käynnit!H656</f>
        <v>0</v>
      </c>
      <c r="I649" s="262">
        <f>Alukset_Käynnit!I656</f>
        <v>0</v>
      </c>
      <c r="J649" s="262">
        <f>Alukset_Käynnit!J656</f>
        <v>0</v>
      </c>
      <c r="K649" s="262">
        <f>Alukset_Käynnit!K656</f>
        <v>0</v>
      </c>
      <c r="L649" s="205">
        <f>Alukset_Käynnit!L656</f>
        <v>0</v>
      </c>
      <c r="N649" s="273">
        <f t="shared" si="123"/>
        <v>0</v>
      </c>
      <c r="O649" s="274">
        <f t="shared" si="124"/>
        <v>0</v>
      </c>
      <c r="Q649" s="204">
        <f t="shared" si="113"/>
        <v>0</v>
      </c>
      <c r="R649" s="202">
        <f>IF(Q649="Other dry cargo",L649*Alukset_fx!$B$71,IF(OR(Q649="Dry bulk",Q649="Bulk carrier"),L649*Alukset_fx!$B$69,IF(Q649="Tugboat",L649*Alukset_fx!$B$76,IF(OR(Q649="Tanker",Q649="Gas tanker",Q649="Chemical tanker",Q649="Oil tanker"),L649*Alukset_fx!$B$68,IF(OR(Q649="RoRo",Q649="Vehicle carrier"),L649*Alukset_fx!$B$72,IF(Q649="RoPax",L649*Alukset_fx!$B$73,IF(Q649="Container ship",L649*Alukset_fx!$B$70,IF(Q649="Barge",0,L649*Alukset_fx!$B$75))))))))</f>
        <v>0</v>
      </c>
      <c r="S649" s="210">
        <f>IF(L649=0,IF(Q649="Other dry cargo",Alukset_fx!$H$73*(Alukset_Käynnit_Lask!K649^Alukset_fx!$I$73),IF(OR(Q649="Dry Bulk",Q649="Bulk carrier"),Alukset_fx!$H$71*(Alukset_Käynnit_Lask!K649^Alukset_fx!$I$71),IF(Q649="Tugboat",Alukset_fx!$H$78*(Alukset_Käynnit_Lask!K649^Alukset_fx!$I$78),IF(OR(Q649="Tanker",Q649="Gas tanker",Q649="Chemical tanker",Q649="Oil tanker"),Alukset_fx!$H$70*(Alukset_Käynnit_Lask!K649^Alukset_fx!$I$70),IF(Q649="Container ship",Alukset_fx!$H$72*(Alukset_Käynnit_Lask!K649^Alukset_fx!$I$72),IF(Q649="Barge",0,IF(Q649="RoPax",Alukset_fx!$H$75*(Alukset_Käynnit_Lask!K649^Alukset_fx!$I$75),IF(OR(Q649="RoRo",Q649="Vehicle carrier"),Alukset_fx!$H$74*(Alukset_Käynnit_Lask!K649^Alukset_fx!$I$74),Alukset_fx!$H$77*(Alukset_Käynnit_Lask!K649^Alukset_fx!$I$77))))))))),"-")</f>
        <v>0</v>
      </c>
      <c r="T649" s="208">
        <f>IF(R649=0,IF(Q649="Other dry cargo",S649*Alukset_fx!$B$71,IF(OR(Q649="Dry bulk",Q649="Bulk carrier"),S649*Alukset_fx!$B$69,IF(Q649="Tugboat",S649*Alukset_fx!$B$76,IF(OR(Q649="Tanker",Q649="Gas tanker",Q649="Chemical tanker",Q649="Oil tanker"),S649*Alukset_fx!$B$68,IF(OR(Q649="RoRo",Q649="Vehicle carrier"),S649*Alukset_fx!$B$72,IF(Q649="RoPax",S649*Alukset_fx!$B$73,IF(Q649="Container ship",S649*Alukset_fx!$B$70,S649*Alukset_fx!$B$75))))))),"-")</f>
        <v>0</v>
      </c>
      <c r="U649" s="208">
        <f t="shared" si="114"/>
        <v>0</v>
      </c>
      <c r="V649" s="208">
        <f t="shared" si="115"/>
        <v>0</v>
      </c>
      <c r="W649" s="202">
        <f>Alukset_Käynnit!N656</f>
        <v>0</v>
      </c>
      <c r="X649" s="211">
        <f>IF(Q649="Other dry cargo", Alukset_fx!$C$52, IF(OR(Q649="Dry bulk",Q649="Bulk carrier"),Alukset_fx!$C$35,IF(OR(Q649="Tanker",Q649="Gas tanker",Q649="Oil tanker"),Alukset_fx!$C$57,IF(Q649="Chemical tanker",Alukset_fx!$C$56,IF(OR(Q649="Tugboat",Q649="Barge"),0,IF(Q649="Other vessel",Alukset_fx!$C$54,IF(Q649="Container ship",Alukset_fx!$C$37,IF(OR(Q649="RoPax",Q649="RoRo",Q649="Vehicle carrier"),Alukset_fx!$C$55,0))))))))</f>
        <v>0</v>
      </c>
      <c r="Y649" s="211">
        <f>IF(Q649="Other dry cargo", Alukset_fx!$Q$52, IF(OR(Q649="Dry bulk",Q649="Bulk carrier"),Alukset_fx!$Q$35,IF(OR(Q649="Tanker",Q649="Gas tanker",Q649="Oil tanker"),Alukset_fx!$Q$57,IF(Q649="Chemical tanker",Alukset_fx!$Q$56,IF(OR(Q649="Tugboat",Q649="Barge"),0,IF(Q649="Other vessel",Alukset_fx!$Q$54,IF(Q649="Container ship",Alukset_fx!$Q$37,IF(OR(Q649="RoPax",Q649="RoRo",Q649="Vehicle carrier"),Alukset_fx!$Q$55,0))))))))</f>
        <v>0</v>
      </c>
      <c r="Z649" t="str">
        <f t="shared" si="116"/>
        <v>MDO/MGO</v>
      </c>
      <c r="AA649" t="str">
        <f t="shared" si="117"/>
        <v>MSD</v>
      </c>
      <c r="AB649" t="str">
        <f t="shared" si="118"/>
        <v>MDO/MGO</v>
      </c>
      <c r="AC649" t="str">
        <f t="shared" si="119"/>
        <v>MSD</v>
      </c>
      <c r="AD649" t="str">
        <f t="shared" si="120"/>
        <v>MDO/MGO</v>
      </c>
      <c r="AE649" t="str">
        <f t="shared" si="121"/>
        <v>ST</v>
      </c>
      <c r="AG649">
        <f>Alukset_Käynnit!O656</f>
        <v>0</v>
      </c>
      <c r="AH649" s="207">
        <f>IF(AA649="SSD",((U649*Alukset_fx!$B$24)*Alukset_Käynnit_Lask!W649*(Alukset_fx!$K$49)/1000),IF(AA649="MSD",((U649*Alukset_fx!$B$24)*Alukset_Käynnit_Lask!W649*(Alukset_fx!$K$52)/1000),IF(AA649="HSD",((U649*Alukset_fx!$B$24)*Alukset_Käynnit_Lask!W649*(Alukset_fx!$K$55)/1000),0)))</f>
        <v>0</v>
      </c>
      <c r="AI649" s="207">
        <f>IF(AC649="MSD",((V649*Alukset_fx!$B$25)*Alukset_Käynnit_Lask!W649*(Alukset_fx!$L$52)/1000),IF(AC649="HSD",((V649*Alukset_fx!$B$25)*Alukset_Käynnit_Lask!W649*(Alukset_fx!$L$55)/1000),0))</f>
        <v>0</v>
      </c>
      <c r="AJ649" s="207">
        <f>X649*W649*Alukset_fx!$K$61/1000</f>
        <v>0</v>
      </c>
      <c r="AK649">
        <v>0</v>
      </c>
      <c r="AL649" s="207">
        <f>IF(AG649="Käytetty",0,IF(AC649="MSD",((V649*Alukset_fx!$O$25)*Alukset_Käynnit_Lask!O649*(Alukset_fx!$L$52)/1000),IF(AC649="HSD",((V649*Alukset_fx!$O$25)*Alukset_Käynnit_Lask!O649*(Alukset_fx!$L$55)/1000),0)))</f>
        <v>0</v>
      </c>
      <c r="AM649" s="207">
        <f>IF(AG649="Käytetty",0,Y649*O649*Alukset_fx!$K$61/1000)</f>
        <v>0</v>
      </c>
      <c r="AN649" s="213">
        <f t="shared" si="122"/>
        <v>0</v>
      </c>
    </row>
    <row r="650" spans="1:40" x14ac:dyDescent="0.25">
      <c r="A650" s="203">
        <f>Alukset_Käynnit!A657</f>
        <v>0</v>
      </c>
      <c r="B650" s="203">
        <f>Alukset_Käynnit!B657</f>
        <v>0</v>
      </c>
      <c r="C650" s="262">
        <f>Alukset_Käynnit!C657</f>
        <v>0</v>
      </c>
      <c r="D650" s="266">
        <f>Alukset_Käynnit!D657</f>
        <v>0</v>
      </c>
      <c r="E650" s="262">
        <f>Alukset_Käynnit!E657</f>
        <v>0</v>
      </c>
      <c r="F650" s="262">
        <f>Alukset_Käynnit!F657</f>
        <v>0</v>
      </c>
      <c r="G650" s="262">
        <f>Alukset_Käynnit!G657</f>
        <v>0</v>
      </c>
      <c r="H650" s="262">
        <f>Alukset_Käynnit!H657</f>
        <v>0</v>
      </c>
      <c r="I650" s="262">
        <f>Alukset_Käynnit!I657</f>
        <v>0</v>
      </c>
      <c r="J650" s="262">
        <f>Alukset_Käynnit!J657</f>
        <v>0</v>
      </c>
      <c r="K650" s="262">
        <f>Alukset_Käynnit!K657</f>
        <v>0</v>
      </c>
      <c r="L650" s="205">
        <f>Alukset_Käynnit!L657</f>
        <v>0</v>
      </c>
      <c r="N650" s="273">
        <f t="shared" si="123"/>
        <v>0</v>
      </c>
      <c r="O650" s="274">
        <f t="shared" si="124"/>
        <v>0</v>
      </c>
      <c r="Q650" s="204">
        <f t="shared" si="113"/>
        <v>0</v>
      </c>
      <c r="R650" s="202">
        <f>IF(Q650="Other dry cargo",L650*Alukset_fx!$B$71,IF(OR(Q650="Dry bulk",Q650="Bulk carrier"),L650*Alukset_fx!$B$69,IF(Q650="Tugboat",L650*Alukset_fx!$B$76,IF(OR(Q650="Tanker",Q650="Gas tanker",Q650="Chemical tanker",Q650="Oil tanker"),L650*Alukset_fx!$B$68,IF(OR(Q650="RoRo",Q650="Vehicle carrier"),L650*Alukset_fx!$B$72,IF(Q650="RoPax",L650*Alukset_fx!$B$73,IF(Q650="Container ship",L650*Alukset_fx!$B$70,IF(Q650="Barge",0,L650*Alukset_fx!$B$75))))))))</f>
        <v>0</v>
      </c>
      <c r="S650" s="210">
        <f>IF(L650=0,IF(Q650="Other dry cargo",Alukset_fx!$H$73*(Alukset_Käynnit_Lask!K650^Alukset_fx!$I$73),IF(OR(Q650="Dry Bulk",Q650="Bulk carrier"),Alukset_fx!$H$71*(Alukset_Käynnit_Lask!K650^Alukset_fx!$I$71),IF(Q650="Tugboat",Alukset_fx!$H$78*(Alukset_Käynnit_Lask!K650^Alukset_fx!$I$78),IF(OR(Q650="Tanker",Q650="Gas tanker",Q650="Chemical tanker",Q650="Oil tanker"),Alukset_fx!$H$70*(Alukset_Käynnit_Lask!K650^Alukset_fx!$I$70),IF(Q650="Container ship",Alukset_fx!$H$72*(Alukset_Käynnit_Lask!K650^Alukset_fx!$I$72),IF(Q650="Barge",0,IF(Q650="RoPax",Alukset_fx!$H$75*(Alukset_Käynnit_Lask!K650^Alukset_fx!$I$75),IF(OR(Q650="RoRo",Q650="Vehicle carrier"),Alukset_fx!$H$74*(Alukset_Käynnit_Lask!K650^Alukset_fx!$I$74),Alukset_fx!$H$77*(Alukset_Käynnit_Lask!K650^Alukset_fx!$I$77))))))))),"-")</f>
        <v>0</v>
      </c>
      <c r="T650" s="208">
        <f>IF(R650=0,IF(Q650="Other dry cargo",S650*Alukset_fx!$B$71,IF(OR(Q650="Dry bulk",Q650="Bulk carrier"),S650*Alukset_fx!$B$69,IF(Q650="Tugboat",S650*Alukset_fx!$B$76,IF(OR(Q650="Tanker",Q650="Gas tanker",Q650="Chemical tanker",Q650="Oil tanker"),S650*Alukset_fx!$B$68,IF(OR(Q650="RoRo",Q650="Vehicle carrier"),S650*Alukset_fx!$B$72,IF(Q650="RoPax",S650*Alukset_fx!$B$73,IF(Q650="Container ship",S650*Alukset_fx!$B$70,S650*Alukset_fx!$B$75))))))),"-")</f>
        <v>0</v>
      </c>
      <c r="U650" s="208">
        <f t="shared" si="114"/>
        <v>0</v>
      </c>
      <c r="V650" s="208">
        <f t="shared" si="115"/>
        <v>0</v>
      </c>
      <c r="W650" s="202">
        <f>Alukset_Käynnit!N657</f>
        <v>0</v>
      </c>
      <c r="X650" s="211">
        <f>IF(Q650="Other dry cargo", Alukset_fx!$C$52, IF(OR(Q650="Dry bulk",Q650="Bulk carrier"),Alukset_fx!$C$35,IF(OR(Q650="Tanker",Q650="Gas tanker",Q650="Oil tanker"),Alukset_fx!$C$57,IF(Q650="Chemical tanker",Alukset_fx!$C$56,IF(OR(Q650="Tugboat",Q650="Barge"),0,IF(Q650="Other vessel",Alukset_fx!$C$54,IF(Q650="Container ship",Alukset_fx!$C$37,IF(OR(Q650="RoPax",Q650="RoRo",Q650="Vehicle carrier"),Alukset_fx!$C$55,0))))))))</f>
        <v>0</v>
      </c>
      <c r="Y650" s="211">
        <f>IF(Q650="Other dry cargo", Alukset_fx!$Q$52, IF(OR(Q650="Dry bulk",Q650="Bulk carrier"),Alukset_fx!$Q$35,IF(OR(Q650="Tanker",Q650="Gas tanker",Q650="Oil tanker"),Alukset_fx!$Q$57,IF(Q650="Chemical tanker",Alukset_fx!$Q$56,IF(OR(Q650="Tugboat",Q650="Barge"),0,IF(Q650="Other vessel",Alukset_fx!$Q$54,IF(Q650="Container ship",Alukset_fx!$Q$37,IF(OR(Q650="RoPax",Q650="RoRo",Q650="Vehicle carrier"),Alukset_fx!$Q$55,0))))))))</f>
        <v>0</v>
      </c>
      <c r="Z650" t="str">
        <f t="shared" si="116"/>
        <v>MDO/MGO</v>
      </c>
      <c r="AA650" t="str">
        <f t="shared" si="117"/>
        <v>MSD</v>
      </c>
      <c r="AB650" t="str">
        <f t="shared" si="118"/>
        <v>MDO/MGO</v>
      </c>
      <c r="AC650" t="str">
        <f t="shared" si="119"/>
        <v>MSD</v>
      </c>
      <c r="AD650" t="str">
        <f t="shared" si="120"/>
        <v>MDO/MGO</v>
      </c>
      <c r="AE650" t="str">
        <f t="shared" si="121"/>
        <v>ST</v>
      </c>
      <c r="AG650">
        <f>Alukset_Käynnit!O657</f>
        <v>0</v>
      </c>
      <c r="AH650" s="207">
        <f>IF(AA650="SSD",((U650*Alukset_fx!$B$24)*Alukset_Käynnit_Lask!W650*(Alukset_fx!$K$49)/1000),IF(AA650="MSD",((U650*Alukset_fx!$B$24)*Alukset_Käynnit_Lask!W650*(Alukset_fx!$K$52)/1000),IF(AA650="HSD",((U650*Alukset_fx!$B$24)*Alukset_Käynnit_Lask!W650*(Alukset_fx!$K$55)/1000),0)))</f>
        <v>0</v>
      </c>
      <c r="AI650" s="207">
        <f>IF(AC650="MSD",((V650*Alukset_fx!$B$25)*Alukset_Käynnit_Lask!W650*(Alukset_fx!$L$52)/1000),IF(AC650="HSD",((V650*Alukset_fx!$B$25)*Alukset_Käynnit_Lask!W650*(Alukset_fx!$L$55)/1000),0))</f>
        <v>0</v>
      </c>
      <c r="AJ650" s="207">
        <f>X650*W650*Alukset_fx!$K$61/1000</f>
        <v>0</v>
      </c>
      <c r="AK650">
        <v>0</v>
      </c>
      <c r="AL650" s="207">
        <f>IF(AG650="Käytetty",0,IF(AC650="MSD",((V650*Alukset_fx!$O$25)*Alukset_Käynnit_Lask!O650*(Alukset_fx!$L$52)/1000),IF(AC650="HSD",((V650*Alukset_fx!$O$25)*Alukset_Käynnit_Lask!O650*(Alukset_fx!$L$55)/1000),0)))</f>
        <v>0</v>
      </c>
      <c r="AM650" s="207">
        <f>IF(AG650="Käytetty",0,Y650*O650*Alukset_fx!$K$61/1000)</f>
        <v>0</v>
      </c>
      <c r="AN650" s="213">
        <f t="shared" si="122"/>
        <v>0</v>
      </c>
    </row>
    <row r="651" spans="1:40" x14ac:dyDescent="0.25">
      <c r="A651" s="203">
        <f>Alukset_Käynnit!A658</f>
        <v>0</v>
      </c>
      <c r="B651" s="203">
        <f>Alukset_Käynnit!B658</f>
        <v>0</v>
      </c>
      <c r="C651" s="262">
        <f>Alukset_Käynnit!C658</f>
        <v>0</v>
      </c>
      <c r="D651" s="266">
        <f>Alukset_Käynnit!D658</f>
        <v>0</v>
      </c>
      <c r="E651" s="262">
        <f>Alukset_Käynnit!E658</f>
        <v>0</v>
      </c>
      <c r="F651" s="262">
        <f>Alukset_Käynnit!F658</f>
        <v>0</v>
      </c>
      <c r="G651" s="262">
        <f>Alukset_Käynnit!G658</f>
        <v>0</v>
      </c>
      <c r="H651" s="262">
        <f>Alukset_Käynnit!H658</f>
        <v>0</v>
      </c>
      <c r="I651" s="262">
        <f>Alukset_Käynnit!I658</f>
        <v>0</v>
      </c>
      <c r="J651" s="262">
        <f>Alukset_Käynnit!J658</f>
        <v>0</v>
      </c>
      <c r="K651" s="262">
        <f>Alukset_Käynnit!K658</f>
        <v>0</v>
      </c>
      <c r="L651" s="205">
        <f>Alukset_Käynnit!L658</f>
        <v>0</v>
      </c>
      <c r="N651" s="273">
        <f t="shared" si="123"/>
        <v>0</v>
      </c>
      <c r="O651" s="274">
        <f t="shared" si="124"/>
        <v>0</v>
      </c>
      <c r="Q651" s="204">
        <f t="shared" si="113"/>
        <v>0</v>
      </c>
      <c r="R651" s="202">
        <f>IF(Q651="Other dry cargo",L651*Alukset_fx!$B$71,IF(OR(Q651="Dry bulk",Q651="Bulk carrier"),L651*Alukset_fx!$B$69,IF(Q651="Tugboat",L651*Alukset_fx!$B$76,IF(OR(Q651="Tanker",Q651="Gas tanker",Q651="Chemical tanker",Q651="Oil tanker"),L651*Alukset_fx!$B$68,IF(OR(Q651="RoRo",Q651="Vehicle carrier"),L651*Alukset_fx!$B$72,IF(Q651="RoPax",L651*Alukset_fx!$B$73,IF(Q651="Container ship",L651*Alukset_fx!$B$70,IF(Q651="Barge",0,L651*Alukset_fx!$B$75))))))))</f>
        <v>0</v>
      </c>
      <c r="S651" s="210">
        <f>IF(L651=0,IF(Q651="Other dry cargo",Alukset_fx!$H$73*(Alukset_Käynnit_Lask!K651^Alukset_fx!$I$73),IF(OR(Q651="Dry Bulk",Q651="Bulk carrier"),Alukset_fx!$H$71*(Alukset_Käynnit_Lask!K651^Alukset_fx!$I$71),IF(Q651="Tugboat",Alukset_fx!$H$78*(Alukset_Käynnit_Lask!K651^Alukset_fx!$I$78),IF(OR(Q651="Tanker",Q651="Gas tanker",Q651="Chemical tanker",Q651="Oil tanker"),Alukset_fx!$H$70*(Alukset_Käynnit_Lask!K651^Alukset_fx!$I$70),IF(Q651="Container ship",Alukset_fx!$H$72*(Alukset_Käynnit_Lask!K651^Alukset_fx!$I$72),IF(Q651="Barge",0,IF(Q651="RoPax",Alukset_fx!$H$75*(Alukset_Käynnit_Lask!K651^Alukset_fx!$I$75),IF(OR(Q651="RoRo",Q651="Vehicle carrier"),Alukset_fx!$H$74*(Alukset_Käynnit_Lask!K651^Alukset_fx!$I$74),Alukset_fx!$H$77*(Alukset_Käynnit_Lask!K651^Alukset_fx!$I$77))))))))),"-")</f>
        <v>0</v>
      </c>
      <c r="T651" s="208">
        <f>IF(R651=0,IF(Q651="Other dry cargo",S651*Alukset_fx!$B$71,IF(OR(Q651="Dry bulk",Q651="Bulk carrier"),S651*Alukset_fx!$B$69,IF(Q651="Tugboat",S651*Alukset_fx!$B$76,IF(OR(Q651="Tanker",Q651="Gas tanker",Q651="Chemical tanker",Q651="Oil tanker"),S651*Alukset_fx!$B$68,IF(OR(Q651="RoRo",Q651="Vehicle carrier"),S651*Alukset_fx!$B$72,IF(Q651="RoPax",S651*Alukset_fx!$B$73,IF(Q651="Container ship",S651*Alukset_fx!$B$70,S651*Alukset_fx!$B$75))))))),"-")</f>
        <v>0</v>
      </c>
      <c r="U651" s="208">
        <f t="shared" si="114"/>
        <v>0</v>
      </c>
      <c r="V651" s="208">
        <f t="shared" si="115"/>
        <v>0</v>
      </c>
      <c r="W651" s="202">
        <f>Alukset_Käynnit!N658</f>
        <v>0</v>
      </c>
      <c r="X651" s="211">
        <f>IF(Q651="Other dry cargo", Alukset_fx!$C$52, IF(OR(Q651="Dry bulk",Q651="Bulk carrier"),Alukset_fx!$C$35,IF(OR(Q651="Tanker",Q651="Gas tanker",Q651="Oil tanker"),Alukset_fx!$C$57,IF(Q651="Chemical tanker",Alukset_fx!$C$56,IF(OR(Q651="Tugboat",Q651="Barge"),0,IF(Q651="Other vessel",Alukset_fx!$C$54,IF(Q651="Container ship",Alukset_fx!$C$37,IF(OR(Q651="RoPax",Q651="RoRo",Q651="Vehicle carrier"),Alukset_fx!$C$55,0))))))))</f>
        <v>0</v>
      </c>
      <c r="Y651" s="211">
        <f>IF(Q651="Other dry cargo", Alukset_fx!$Q$52, IF(OR(Q651="Dry bulk",Q651="Bulk carrier"),Alukset_fx!$Q$35,IF(OR(Q651="Tanker",Q651="Gas tanker",Q651="Oil tanker"),Alukset_fx!$Q$57,IF(Q651="Chemical tanker",Alukset_fx!$Q$56,IF(OR(Q651="Tugboat",Q651="Barge"),0,IF(Q651="Other vessel",Alukset_fx!$Q$54,IF(Q651="Container ship",Alukset_fx!$Q$37,IF(OR(Q651="RoPax",Q651="RoRo",Q651="Vehicle carrier"),Alukset_fx!$Q$55,0))))))))</f>
        <v>0</v>
      </c>
      <c r="Z651" t="str">
        <f t="shared" si="116"/>
        <v>MDO/MGO</v>
      </c>
      <c r="AA651" t="str">
        <f t="shared" si="117"/>
        <v>MSD</v>
      </c>
      <c r="AB651" t="str">
        <f t="shared" si="118"/>
        <v>MDO/MGO</v>
      </c>
      <c r="AC651" t="str">
        <f t="shared" si="119"/>
        <v>MSD</v>
      </c>
      <c r="AD651" t="str">
        <f t="shared" si="120"/>
        <v>MDO/MGO</v>
      </c>
      <c r="AE651" t="str">
        <f t="shared" si="121"/>
        <v>ST</v>
      </c>
      <c r="AG651">
        <f>Alukset_Käynnit!O658</f>
        <v>0</v>
      </c>
      <c r="AH651" s="207">
        <f>IF(AA651="SSD",((U651*Alukset_fx!$B$24)*Alukset_Käynnit_Lask!W651*(Alukset_fx!$K$49)/1000),IF(AA651="MSD",((U651*Alukset_fx!$B$24)*Alukset_Käynnit_Lask!W651*(Alukset_fx!$K$52)/1000),IF(AA651="HSD",((U651*Alukset_fx!$B$24)*Alukset_Käynnit_Lask!W651*(Alukset_fx!$K$55)/1000),0)))</f>
        <v>0</v>
      </c>
      <c r="AI651" s="207">
        <f>IF(AC651="MSD",((V651*Alukset_fx!$B$25)*Alukset_Käynnit_Lask!W651*(Alukset_fx!$L$52)/1000),IF(AC651="HSD",((V651*Alukset_fx!$B$25)*Alukset_Käynnit_Lask!W651*(Alukset_fx!$L$55)/1000),0))</f>
        <v>0</v>
      </c>
      <c r="AJ651" s="207">
        <f>X651*W651*Alukset_fx!$K$61/1000</f>
        <v>0</v>
      </c>
      <c r="AK651">
        <v>0</v>
      </c>
      <c r="AL651" s="207">
        <f>IF(AG651="Käytetty",0,IF(AC651="MSD",((V651*Alukset_fx!$O$25)*Alukset_Käynnit_Lask!O651*(Alukset_fx!$L$52)/1000),IF(AC651="HSD",((V651*Alukset_fx!$O$25)*Alukset_Käynnit_Lask!O651*(Alukset_fx!$L$55)/1000),0)))</f>
        <v>0</v>
      </c>
      <c r="AM651" s="207">
        <f>IF(AG651="Käytetty",0,Y651*O651*Alukset_fx!$K$61/1000)</f>
        <v>0</v>
      </c>
      <c r="AN651" s="213">
        <f t="shared" si="122"/>
        <v>0</v>
      </c>
    </row>
    <row r="652" spans="1:40" x14ac:dyDescent="0.25">
      <c r="A652" s="203">
        <f>Alukset_Käynnit!A659</f>
        <v>0</v>
      </c>
      <c r="B652" s="203">
        <f>Alukset_Käynnit!B659</f>
        <v>0</v>
      </c>
      <c r="C652" s="262">
        <f>Alukset_Käynnit!C659</f>
        <v>0</v>
      </c>
      <c r="D652" s="266">
        <f>Alukset_Käynnit!D659</f>
        <v>0</v>
      </c>
      <c r="E652" s="262">
        <f>Alukset_Käynnit!E659</f>
        <v>0</v>
      </c>
      <c r="F652" s="262">
        <f>Alukset_Käynnit!F659</f>
        <v>0</v>
      </c>
      <c r="G652" s="262">
        <f>Alukset_Käynnit!G659</f>
        <v>0</v>
      </c>
      <c r="H652" s="262">
        <f>Alukset_Käynnit!H659</f>
        <v>0</v>
      </c>
      <c r="I652" s="262">
        <f>Alukset_Käynnit!I659</f>
        <v>0</v>
      </c>
      <c r="J652" s="262">
        <f>Alukset_Käynnit!J659</f>
        <v>0</v>
      </c>
      <c r="K652" s="262">
        <f>Alukset_Käynnit!K659</f>
        <v>0</v>
      </c>
      <c r="L652" s="205">
        <f>Alukset_Käynnit!L659</f>
        <v>0</v>
      </c>
      <c r="N652" s="273">
        <f t="shared" si="123"/>
        <v>0</v>
      </c>
      <c r="O652" s="274">
        <f t="shared" si="124"/>
        <v>0</v>
      </c>
      <c r="Q652" s="204">
        <f t="shared" si="113"/>
        <v>0</v>
      </c>
      <c r="R652" s="202">
        <f>IF(Q652="Other dry cargo",L652*Alukset_fx!$B$71,IF(OR(Q652="Dry bulk",Q652="Bulk carrier"),L652*Alukset_fx!$B$69,IF(Q652="Tugboat",L652*Alukset_fx!$B$76,IF(OR(Q652="Tanker",Q652="Gas tanker",Q652="Chemical tanker",Q652="Oil tanker"),L652*Alukset_fx!$B$68,IF(OR(Q652="RoRo",Q652="Vehicle carrier"),L652*Alukset_fx!$B$72,IF(Q652="RoPax",L652*Alukset_fx!$B$73,IF(Q652="Container ship",L652*Alukset_fx!$B$70,IF(Q652="Barge",0,L652*Alukset_fx!$B$75))))))))</f>
        <v>0</v>
      </c>
      <c r="S652" s="210">
        <f>IF(L652=0,IF(Q652="Other dry cargo",Alukset_fx!$H$73*(Alukset_Käynnit_Lask!K652^Alukset_fx!$I$73),IF(OR(Q652="Dry Bulk",Q652="Bulk carrier"),Alukset_fx!$H$71*(Alukset_Käynnit_Lask!K652^Alukset_fx!$I$71),IF(Q652="Tugboat",Alukset_fx!$H$78*(Alukset_Käynnit_Lask!K652^Alukset_fx!$I$78),IF(OR(Q652="Tanker",Q652="Gas tanker",Q652="Chemical tanker",Q652="Oil tanker"),Alukset_fx!$H$70*(Alukset_Käynnit_Lask!K652^Alukset_fx!$I$70),IF(Q652="Container ship",Alukset_fx!$H$72*(Alukset_Käynnit_Lask!K652^Alukset_fx!$I$72),IF(Q652="Barge",0,IF(Q652="RoPax",Alukset_fx!$H$75*(Alukset_Käynnit_Lask!K652^Alukset_fx!$I$75),IF(OR(Q652="RoRo",Q652="Vehicle carrier"),Alukset_fx!$H$74*(Alukset_Käynnit_Lask!K652^Alukset_fx!$I$74),Alukset_fx!$H$77*(Alukset_Käynnit_Lask!K652^Alukset_fx!$I$77))))))))),"-")</f>
        <v>0</v>
      </c>
      <c r="T652" s="208">
        <f>IF(R652=0,IF(Q652="Other dry cargo",S652*Alukset_fx!$B$71,IF(OR(Q652="Dry bulk",Q652="Bulk carrier"),S652*Alukset_fx!$B$69,IF(Q652="Tugboat",S652*Alukset_fx!$B$76,IF(OR(Q652="Tanker",Q652="Gas tanker",Q652="Chemical tanker",Q652="Oil tanker"),S652*Alukset_fx!$B$68,IF(OR(Q652="RoRo",Q652="Vehicle carrier"),S652*Alukset_fx!$B$72,IF(Q652="RoPax",S652*Alukset_fx!$B$73,IF(Q652="Container ship",S652*Alukset_fx!$B$70,S652*Alukset_fx!$B$75))))))),"-")</f>
        <v>0</v>
      </c>
      <c r="U652" s="208">
        <f t="shared" si="114"/>
        <v>0</v>
      </c>
      <c r="V652" s="208">
        <f t="shared" si="115"/>
        <v>0</v>
      </c>
      <c r="W652" s="202">
        <f>Alukset_Käynnit!N659</f>
        <v>0</v>
      </c>
      <c r="X652" s="211">
        <f>IF(Q652="Other dry cargo", Alukset_fx!$C$52, IF(OR(Q652="Dry bulk",Q652="Bulk carrier"),Alukset_fx!$C$35,IF(OR(Q652="Tanker",Q652="Gas tanker",Q652="Oil tanker"),Alukset_fx!$C$57,IF(Q652="Chemical tanker",Alukset_fx!$C$56,IF(OR(Q652="Tugboat",Q652="Barge"),0,IF(Q652="Other vessel",Alukset_fx!$C$54,IF(Q652="Container ship",Alukset_fx!$C$37,IF(OR(Q652="RoPax",Q652="RoRo",Q652="Vehicle carrier"),Alukset_fx!$C$55,0))))))))</f>
        <v>0</v>
      </c>
      <c r="Y652" s="211">
        <f>IF(Q652="Other dry cargo", Alukset_fx!$Q$52, IF(OR(Q652="Dry bulk",Q652="Bulk carrier"),Alukset_fx!$Q$35,IF(OR(Q652="Tanker",Q652="Gas tanker",Q652="Oil tanker"),Alukset_fx!$Q$57,IF(Q652="Chemical tanker",Alukset_fx!$Q$56,IF(OR(Q652="Tugboat",Q652="Barge"),0,IF(Q652="Other vessel",Alukset_fx!$Q$54,IF(Q652="Container ship",Alukset_fx!$Q$37,IF(OR(Q652="RoPax",Q652="RoRo",Q652="Vehicle carrier"),Alukset_fx!$Q$55,0))))))))</f>
        <v>0</v>
      </c>
      <c r="Z652" t="str">
        <f t="shared" si="116"/>
        <v>MDO/MGO</v>
      </c>
      <c r="AA652" t="str">
        <f t="shared" si="117"/>
        <v>MSD</v>
      </c>
      <c r="AB652" t="str">
        <f t="shared" si="118"/>
        <v>MDO/MGO</v>
      </c>
      <c r="AC652" t="str">
        <f t="shared" si="119"/>
        <v>MSD</v>
      </c>
      <c r="AD652" t="str">
        <f t="shared" si="120"/>
        <v>MDO/MGO</v>
      </c>
      <c r="AE652" t="str">
        <f t="shared" si="121"/>
        <v>ST</v>
      </c>
      <c r="AG652">
        <f>Alukset_Käynnit!O659</f>
        <v>0</v>
      </c>
      <c r="AH652" s="207">
        <f>IF(AA652="SSD",((U652*Alukset_fx!$B$24)*Alukset_Käynnit_Lask!W652*(Alukset_fx!$K$49)/1000),IF(AA652="MSD",((U652*Alukset_fx!$B$24)*Alukset_Käynnit_Lask!W652*(Alukset_fx!$K$52)/1000),IF(AA652="HSD",((U652*Alukset_fx!$B$24)*Alukset_Käynnit_Lask!W652*(Alukset_fx!$K$55)/1000),0)))</f>
        <v>0</v>
      </c>
      <c r="AI652" s="207">
        <f>IF(AC652="MSD",((V652*Alukset_fx!$B$25)*Alukset_Käynnit_Lask!W652*(Alukset_fx!$L$52)/1000),IF(AC652="HSD",((V652*Alukset_fx!$B$25)*Alukset_Käynnit_Lask!W652*(Alukset_fx!$L$55)/1000),0))</f>
        <v>0</v>
      </c>
      <c r="AJ652" s="207">
        <f>X652*W652*Alukset_fx!$K$61/1000</f>
        <v>0</v>
      </c>
      <c r="AK652">
        <v>0</v>
      </c>
      <c r="AL652" s="207">
        <f>IF(AG652="Käytetty",0,IF(AC652="MSD",((V652*Alukset_fx!$O$25)*Alukset_Käynnit_Lask!O652*(Alukset_fx!$L$52)/1000),IF(AC652="HSD",((V652*Alukset_fx!$O$25)*Alukset_Käynnit_Lask!O652*(Alukset_fx!$L$55)/1000),0)))</f>
        <v>0</v>
      </c>
      <c r="AM652" s="207">
        <f>IF(AG652="Käytetty",0,Y652*O652*Alukset_fx!$K$61/1000)</f>
        <v>0</v>
      </c>
      <c r="AN652" s="213">
        <f t="shared" si="122"/>
        <v>0</v>
      </c>
    </row>
    <row r="653" spans="1:40" x14ac:dyDescent="0.25">
      <c r="A653" s="203">
        <f>Alukset_Käynnit!A660</f>
        <v>0</v>
      </c>
      <c r="B653" s="203">
        <f>Alukset_Käynnit!B660</f>
        <v>0</v>
      </c>
      <c r="C653" s="262">
        <f>Alukset_Käynnit!C660</f>
        <v>0</v>
      </c>
      <c r="D653" s="266">
        <f>Alukset_Käynnit!D660</f>
        <v>0</v>
      </c>
      <c r="E653" s="262">
        <f>Alukset_Käynnit!E660</f>
        <v>0</v>
      </c>
      <c r="F653" s="262">
        <f>Alukset_Käynnit!F660</f>
        <v>0</v>
      </c>
      <c r="G653" s="262">
        <f>Alukset_Käynnit!G660</f>
        <v>0</v>
      </c>
      <c r="H653" s="262">
        <f>Alukset_Käynnit!H660</f>
        <v>0</v>
      </c>
      <c r="I653" s="262">
        <f>Alukset_Käynnit!I660</f>
        <v>0</v>
      </c>
      <c r="J653" s="262">
        <f>Alukset_Käynnit!J660</f>
        <v>0</v>
      </c>
      <c r="K653" s="262">
        <f>Alukset_Käynnit!K660</f>
        <v>0</v>
      </c>
      <c r="L653" s="205">
        <f>Alukset_Käynnit!L660</f>
        <v>0</v>
      </c>
      <c r="N653" s="273">
        <f t="shared" si="123"/>
        <v>0</v>
      </c>
      <c r="O653" s="274">
        <f t="shared" si="124"/>
        <v>0</v>
      </c>
      <c r="Q653" s="204">
        <f t="shared" si="113"/>
        <v>0</v>
      </c>
      <c r="R653" s="202">
        <f>IF(Q653="Other dry cargo",L653*Alukset_fx!$B$71,IF(OR(Q653="Dry bulk",Q653="Bulk carrier"),L653*Alukset_fx!$B$69,IF(Q653="Tugboat",L653*Alukset_fx!$B$76,IF(OR(Q653="Tanker",Q653="Gas tanker",Q653="Chemical tanker",Q653="Oil tanker"),L653*Alukset_fx!$B$68,IF(OR(Q653="RoRo",Q653="Vehicle carrier"),L653*Alukset_fx!$B$72,IF(Q653="RoPax",L653*Alukset_fx!$B$73,IF(Q653="Container ship",L653*Alukset_fx!$B$70,IF(Q653="Barge",0,L653*Alukset_fx!$B$75))))))))</f>
        <v>0</v>
      </c>
      <c r="S653" s="210">
        <f>IF(L653=0,IF(Q653="Other dry cargo",Alukset_fx!$H$73*(Alukset_Käynnit_Lask!K653^Alukset_fx!$I$73),IF(OR(Q653="Dry Bulk",Q653="Bulk carrier"),Alukset_fx!$H$71*(Alukset_Käynnit_Lask!K653^Alukset_fx!$I$71),IF(Q653="Tugboat",Alukset_fx!$H$78*(Alukset_Käynnit_Lask!K653^Alukset_fx!$I$78),IF(OR(Q653="Tanker",Q653="Gas tanker",Q653="Chemical tanker",Q653="Oil tanker"),Alukset_fx!$H$70*(Alukset_Käynnit_Lask!K653^Alukset_fx!$I$70),IF(Q653="Container ship",Alukset_fx!$H$72*(Alukset_Käynnit_Lask!K653^Alukset_fx!$I$72),IF(Q653="Barge",0,IF(Q653="RoPax",Alukset_fx!$H$75*(Alukset_Käynnit_Lask!K653^Alukset_fx!$I$75),IF(OR(Q653="RoRo",Q653="Vehicle carrier"),Alukset_fx!$H$74*(Alukset_Käynnit_Lask!K653^Alukset_fx!$I$74),Alukset_fx!$H$77*(Alukset_Käynnit_Lask!K653^Alukset_fx!$I$77))))))))),"-")</f>
        <v>0</v>
      </c>
      <c r="T653" s="208">
        <f>IF(R653=0,IF(Q653="Other dry cargo",S653*Alukset_fx!$B$71,IF(OR(Q653="Dry bulk",Q653="Bulk carrier"),S653*Alukset_fx!$B$69,IF(Q653="Tugboat",S653*Alukset_fx!$B$76,IF(OR(Q653="Tanker",Q653="Gas tanker",Q653="Chemical tanker",Q653="Oil tanker"),S653*Alukset_fx!$B$68,IF(OR(Q653="RoRo",Q653="Vehicle carrier"),S653*Alukset_fx!$B$72,IF(Q653="RoPax",S653*Alukset_fx!$B$73,IF(Q653="Container ship",S653*Alukset_fx!$B$70,S653*Alukset_fx!$B$75))))))),"-")</f>
        <v>0</v>
      </c>
      <c r="U653" s="208">
        <f t="shared" si="114"/>
        <v>0</v>
      </c>
      <c r="V653" s="208">
        <f t="shared" si="115"/>
        <v>0</v>
      </c>
      <c r="W653" s="202">
        <f>Alukset_Käynnit!N660</f>
        <v>0</v>
      </c>
      <c r="X653" s="211">
        <f>IF(Q653="Other dry cargo", Alukset_fx!$C$52, IF(OR(Q653="Dry bulk",Q653="Bulk carrier"),Alukset_fx!$C$35,IF(OR(Q653="Tanker",Q653="Gas tanker",Q653="Oil tanker"),Alukset_fx!$C$57,IF(Q653="Chemical tanker",Alukset_fx!$C$56,IF(OR(Q653="Tugboat",Q653="Barge"),0,IF(Q653="Other vessel",Alukset_fx!$C$54,IF(Q653="Container ship",Alukset_fx!$C$37,IF(OR(Q653="RoPax",Q653="RoRo",Q653="Vehicle carrier"),Alukset_fx!$C$55,0))))))))</f>
        <v>0</v>
      </c>
      <c r="Y653" s="211">
        <f>IF(Q653="Other dry cargo", Alukset_fx!$Q$52, IF(OR(Q653="Dry bulk",Q653="Bulk carrier"),Alukset_fx!$Q$35,IF(OR(Q653="Tanker",Q653="Gas tanker",Q653="Oil tanker"),Alukset_fx!$Q$57,IF(Q653="Chemical tanker",Alukset_fx!$Q$56,IF(OR(Q653="Tugboat",Q653="Barge"),0,IF(Q653="Other vessel",Alukset_fx!$Q$54,IF(Q653="Container ship",Alukset_fx!$Q$37,IF(OR(Q653="RoPax",Q653="RoRo",Q653="Vehicle carrier"),Alukset_fx!$Q$55,0))))))))</f>
        <v>0</v>
      </c>
      <c r="Z653" t="str">
        <f t="shared" si="116"/>
        <v>MDO/MGO</v>
      </c>
      <c r="AA653" t="str">
        <f t="shared" si="117"/>
        <v>MSD</v>
      </c>
      <c r="AB653" t="str">
        <f t="shared" si="118"/>
        <v>MDO/MGO</v>
      </c>
      <c r="AC653" t="str">
        <f t="shared" si="119"/>
        <v>MSD</v>
      </c>
      <c r="AD653" t="str">
        <f t="shared" si="120"/>
        <v>MDO/MGO</v>
      </c>
      <c r="AE653" t="str">
        <f t="shared" si="121"/>
        <v>ST</v>
      </c>
      <c r="AG653">
        <f>Alukset_Käynnit!O660</f>
        <v>0</v>
      </c>
      <c r="AH653" s="207">
        <f>IF(AA653="SSD",((U653*Alukset_fx!$B$24)*Alukset_Käynnit_Lask!W653*(Alukset_fx!$K$49)/1000),IF(AA653="MSD",((U653*Alukset_fx!$B$24)*Alukset_Käynnit_Lask!W653*(Alukset_fx!$K$52)/1000),IF(AA653="HSD",((U653*Alukset_fx!$B$24)*Alukset_Käynnit_Lask!W653*(Alukset_fx!$K$55)/1000),0)))</f>
        <v>0</v>
      </c>
      <c r="AI653" s="207">
        <f>IF(AC653="MSD",((V653*Alukset_fx!$B$25)*Alukset_Käynnit_Lask!W653*(Alukset_fx!$L$52)/1000),IF(AC653="HSD",((V653*Alukset_fx!$B$25)*Alukset_Käynnit_Lask!W653*(Alukset_fx!$L$55)/1000),0))</f>
        <v>0</v>
      </c>
      <c r="AJ653" s="207">
        <f>X653*W653*Alukset_fx!$K$61/1000</f>
        <v>0</v>
      </c>
      <c r="AK653">
        <v>0</v>
      </c>
      <c r="AL653" s="207">
        <f>IF(AG653="Käytetty",0,IF(AC653="MSD",((V653*Alukset_fx!$O$25)*Alukset_Käynnit_Lask!O653*(Alukset_fx!$L$52)/1000),IF(AC653="HSD",((V653*Alukset_fx!$O$25)*Alukset_Käynnit_Lask!O653*(Alukset_fx!$L$55)/1000),0)))</f>
        <v>0</v>
      </c>
      <c r="AM653" s="207">
        <f>IF(AG653="Käytetty",0,Y653*O653*Alukset_fx!$K$61/1000)</f>
        <v>0</v>
      </c>
      <c r="AN653" s="213">
        <f t="shared" si="122"/>
        <v>0</v>
      </c>
    </row>
    <row r="654" spans="1:40" x14ac:dyDescent="0.25">
      <c r="A654" s="203">
        <f>Alukset_Käynnit!A661</f>
        <v>0</v>
      </c>
      <c r="B654" s="203">
        <f>Alukset_Käynnit!B661</f>
        <v>0</v>
      </c>
      <c r="C654" s="262">
        <f>Alukset_Käynnit!C661</f>
        <v>0</v>
      </c>
      <c r="D654" s="266">
        <f>Alukset_Käynnit!D661</f>
        <v>0</v>
      </c>
      <c r="E654" s="262">
        <f>Alukset_Käynnit!E661</f>
        <v>0</v>
      </c>
      <c r="F654" s="262">
        <f>Alukset_Käynnit!F661</f>
        <v>0</v>
      </c>
      <c r="G654" s="262">
        <f>Alukset_Käynnit!G661</f>
        <v>0</v>
      </c>
      <c r="H654" s="262">
        <f>Alukset_Käynnit!H661</f>
        <v>0</v>
      </c>
      <c r="I654" s="262">
        <f>Alukset_Käynnit!I661</f>
        <v>0</v>
      </c>
      <c r="J654" s="262">
        <f>Alukset_Käynnit!J661</f>
        <v>0</v>
      </c>
      <c r="K654" s="262">
        <f>Alukset_Käynnit!K661</f>
        <v>0</v>
      </c>
      <c r="L654" s="205">
        <f>Alukset_Käynnit!L661</f>
        <v>0</v>
      </c>
      <c r="N654" s="273">
        <f t="shared" si="123"/>
        <v>0</v>
      </c>
      <c r="O654" s="274">
        <f t="shared" si="124"/>
        <v>0</v>
      </c>
      <c r="Q654" s="204">
        <f t="shared" ref="Q654:Q701" si="125">IF(H654="Muu kuivalasti","Other dry cargo",IF(H654="Muu kuivalastialus","Other dry cargo",IF(H654="Hinaaja","Tugboat",IF(H654="Proomu","Barge",IF(H654="Pusku-Proomu","Barge",IF(H654="Säiliöalus","Tanker",IF(H654="Ro-Ro-Matkustaja-Alus","RoPax",IF(H654="Irtolastialus","Bulk carrier",IF(H654="Kaasusäiliöalus","Gas tanker",IF(H654="Kemikaalisäiliöalus","Chemical tanker",IF(H654="Muu Alus","Other Vessel",IF(H654="Ro-Ro-Lastialus","RoRo",IF(H654="Öljysäiliöalus","Oil tanker",IF(H654="Ajoneuvojenkuljetusalus","Vehicle carrier",IF(H654="Kuiva Bulk","Dry bulk",IF(H654="Konttialus","Container ship",H654))))))))))))))))</f>
        <v>0</v>
      </c>
      <c r="R654" s="202">
        <f>IF(Q654="Other dry cargo",L654*Alukset_fx!$B$71,IF(OR(Q654="Dry bulk",Q654="Bulk carrier"),L654*Alukset_fx!$B$69,IF(Q654="Tugboat",L654*Alukset_fx!$B$76,IF(OR(Q654="Tanker",Q654="Gas tanker",Q654="Chemical tanker",Q654="Oil tanker"),L654*Alukset_fx!$B$68,IF(OR(Q654="RoRo",Q654="Vehicle carrier"),L654*Alukset_fx!$B$72,IF(Q654="RoPax",L654*Alukset_fx!$B$73,IF(Q654="Container ship",L654*Alukset_fx!$B$70,IF(Q654="Barge",0,L654*Alukset_fx!$B$75))))))))</f>
        <v>0</v>
      </c>
      <c r="S654" s="210">
        <f>IF(L654=0,IF(Q654="Other dry cargo",Alukset_fx!$H$73*(Alukset_Käynnit_Lask!K654^Alukset_fx!$I$73),IF(OR(Q654="Dry Bulk",Q654="Bulk carrier"),Alukset_fx!$H$71*(Alukset_Käynnit_Lask!K654^Alukset_fx!$I$71),IF(Q654="Tugboat",Alukset_fx!$H$78*(Alukset_Käynnit_Lask!K654^Alukset_fx!$I$78),IF(OR(Q654="Tanker",Q654="Gas tanker",Q654="Chemical tanker",Q654="Oil tanker"),Alukset_fx!$H$70*(Alukset_Käynnit_Lask!K654^Alukset_fx!$I$70),IF(Q654="Container ship",Alukset_fx!$H$72*(Alukset_Käynnit_Lask!K654^Alukset_fx!$I$72),IF(Q654="Barge",0,IF(Q654="RoPax",Alukset_fx!$H$75*(Alukset_Käynnit_Lask!K654^Alukset_fx!$I$75),IF(OR(Q654="RoRo",Q654="Vehicle carrier"),Alukset_fx!$H$74*(Alukset_Käynnit_Lask!K654^Alukset_fx!$I$74),Alukset_fx!$H$77*(Alukset_Käynnit_Lask!K654^Alukset_fx!$I$77))))))))),"-")</f>
        <v>0</v>
      </c>
      <c r="T654" s="208">
        <f>IF(R654=0,IF(Q654="Other dry cargo",S654*Alukset_fx!$B$71,IF(OR(Q654="Dry bulk",Q654="Bulk carrier"),S654*Alukset_fx!$B$69,IF(Q654="Tugboat",S654*Alukset_fx!$B$76,IF(OR(Q654="Tanker",Q654="Gas tanker",Q654="Chemical tanker",Q654="Oil tanker"),S654*Alukset_fx!$B$68,IF(OR(Q654="RoRo",Q654="Vehicle carrier"),S654*Alukset_fx!$B$72,IF(Q654="RoPax",S654*Alukset_fx!$B$73,IF(Q654="Container ship",S654*Alukset_fx!$B$70,S654*Alukset_fx!$B$75))))))),"-")</f>
        <v>0</v>
      </c>
      <c r="U654" s="208">
        <f t="shared" ref="U654:U701" si="126">IF(L654=0,S654,L654)</f>
        <v>0</v>
      </c>
      <c r="V654" s="208">
        <f t="shared" ref="V654:V701" si="127">IF(R654=0,T654,R654)</f>
        <v>0</v>
      </c>
      <c r="W654" s="202">
        <f>Alukset_Käynnit!N661</f>
        <v>0</v>
      </c>
      <c r="X654" s="211">
        <f>IF(Q654="Other dry cargo", Alukset_fx!$C$52, IF(OR(Q654="Dry bulk",Q654="Bulk carrier"),Alukset_fx!$C$35,IF(OR(Q654="Tanker",Q654="Gas tanker",Q654="Oil tanker"),Alukset_fx!$C$57,IF(Q654="Chemical tanker",Alukset_fx!$C$56,IF(OR(Q654="Tugboat",Q654="Barge"),0,IF(Q654="Other vessel",Alukset_fx!$C$54,IF(Q654="Container ship",Alukset_fx!$C$37,IF(OR(Q654="RoPax",Q654="RoRo",Q654="Vehicle carrier"),Alukset_fx!$C$55,0))))))))</f>
        <v>0</v>
      </c>
      <c r="Y654" s="211">
        <f>IF(Q654="Other dry cargo", Alukset_fx!$Q$52, IF(OR(Q654="Dry bulk",Q654="Bulk carrier"),Alukset_fx!$Q$35,IF(OR(Q654="Tanker",Q654="Gas tanker",Q654="Oil tanker"),Alukset_fx!$Q$57,IF(Q654="Chemical tanker",Alukset_fx!$Q$56,IF(OR(Q654="Tugboat",Q654="Barge"),0,IF(Q654="Other vessel",Alukset_fx!$Q$54,IF(Q654="Container ship",Alukset_fx!$Q$37,IF(OR(Q654="RoPax",Q654="RoRo",Q654="Vehicle carrier"),Alukset_fx!$Q$55,0))))))))</f>
        <v>0</v>
      </c>
      <c r="Z654" t="str">
        <f t="shared" ref="Z654:Z701" si="128">IF(Q654="Barge","-","MDO/MGO")</f>
        <v>MDO/MGO</v>
      </c>
      <c r="AA654" t="str">
        <f t="shared" ref="AA654:AA701" si="129">IF(Q654="Container ship","SSD",IF(Q654="Tugboat","HSD",IF(Q654="Barge","-","MSD")))</f>
        <v>MSD</v>
      </c>
      <c r="AB654" t="str">
        <f t="shared" ref="AB654:AB701" si="130">IF(Q654="Barge","-","MDO/MGO")</f>
        <v>MDO/MGO</v>
      </c>
      <c r="AC654" t="str">
        <f t="shared" ref="AC654:AC701" si="131">IF(Q654="Barge","-","MSD")</f>
        <v>MSD</v>
      </c>
      <c r="AD654" t="str">
        <f t="shared" ref="AD654:AD701" si="132">IF(OR(Q654="Tugboat",Q654="Barge"),"-","MDO/MGO")</f>
        <v>MDO/MGO</v>
      </c>
      <c r="AE654" t="str">
        <f t="shared" ref="AE654:AE701" si="133">IF(OR(Q654="Barge",Q654="Tugboat"),"-","ST")</f>
        <v>ST</v>
      </c>
      <c r="AG654">
        <f>Alukset_Käynnit!O661</f>
        <v>0</v>
      </c>
      <c r="AH654" s="207">
        <f>IF(AA654="SSD",((U654*Alukset_fx!$B$24)*Alukset_Käynnit_Lask!W654*(Alukset_fx!$K$49)/1000),IF(AA654="MSD",((U654*Alukset_fx!$B$24)*Alukset_Käynnit_Lask!W654*(Alukset_fx!$K$52)/1000),IF(AA654="HSD",((U654*Alukset_fx!$B$24)*Alukset_Käynnit_Lask!W654*(Alukset_fx!$K$55)/1000),0)))</f>
        <v>0</v>
      </c>
      <c r="AI654" s="207">
        <f>IF(AC654="MSD",((V654*Alukset_fx!$B$25)*Alukset_Käynnit_Lask!W654*(Alukset_fx!$L$52)/1000),IF(AC654="HSD",((V654*Alukset_fx!$B$25)*Alukset_Käynnit_Lask!W654*(Alukset_fx!$L$55)/1000),0))</f>
        <v>0</v>
      </c>
      <c r="AJ654" s="207">
        <f>X654*W654*Alukset_fx!$K$61/1000</f>
        <v>0</v>
      </c>
      <c r="AK654">
        <v>0</v>
      </c>
      <c r="AL654" s="207">
        <f>IF(AG654="Käytetty",0,IF(AC654="MSD",((V654*Alukset_fx!$O$25)*Alukset_Käynnit_Lask!O654*(Alukset_fx!$L$52)/1000),IF(AC654="HSD",((V654*Alukset_fx!$O$25)*Alukset_Käynnit_Lask!O654*(Alukset_fx!$L$55)/1000),0)))</f>
        <v>0</v>
      </c>
      <c r="AM654" s="207">
        <f>IF(AG654="Käytetty",0,Y654*O654*Alukset_fx!$K$61/1000)</f>
        <v>0</v>
      </c>
      <c r="AN654" s="213">
        <f t="shared" ref="AN654:AN701" si="134">SUM(AH654:AM654)/1000</f>
        <v>0</v>
      </c>
    </row>
    <row r="655" spans="1:40" x14ac:dyDescent="0.25">
      <c r="A655" s="203">
        <f>Alukset_Käynnit!A662</f>
        <v>0</v>
      </c>
      <c r="B655" s="203">
        <f>Alukset_Käynnit!B662</f>
        <v>0</v>
      </c>
      <c r="C655" s="262">
        <f>Alukset_Käynnit!C662</f>
        <v>0</v>
      </c>
      <c r="D655" s="266">
        <f>Alukset_Käynnit!D662</f>
        <v>0</v>
      </c>
      <c r="E655" s="262">
        <f>Alukset_Käynnit!E662</f>
        <v>0</v>
      </c>
      <c r="F655" s="262">
        <f>Alukset_Käynnit!F662</f>
        <v>0</v>
      </c>
      <c r="G655" s="262">
        <f>Alukset_Käynnit!G662</f>
        <v>0</v>
      </c>
      <c r="H655" s="262">
        <f>Alukset_Käynnit!H662</f>
        <v>0</v>
      </c>
      <c r="I655" s="262">
        <f>Alukset_Käynnit!I662</f>
        <v>0</v>
      </c>
      <c r="J655" s="262">
        <f>Alukset_Käynnit!J662</f>
        <v>0</v>
      </c>
      <c r="K655" s="262">
        <f>Alukset_Käynnit!K662</f>
        <v>0</v>
      </c>
      <c r="L655" s="205">
        <f>Alukset_Käynnit!L662</f>
        <v>0</v>
      </c>
      <c r="N655" s="273">
        <f t="shared" si="123"/>
        <v>0</v>
      </c>
      <c r="O655" s="274">
        <f t="shared" si="124"/>
        <v>0</v>
      </c>
      <c r="Q655" s="204">
        <f t="shared" si="125"/>
        <v>0</v>
      </c>
      <c r="R655" s="202">
        <f>IF(Q655="Other dry cargo",L655*Alukset_fx!$B$71,IF(OR(Q655="Dry bulk",Q655="Bulk carrier"),L655*Alukset_fx!$B$69,IF(Q655="Tugboat",L655*Alukset_fx!$B$76,IF(OR(Q655="Tanker",Q655="Gas tanker",Q655="Chemical tanker",Q655="Oil tanker"),L655*Alukset_fx!$B$68,IF(OR(Q655="RoRo",Q655="Vehicle carrier"),L655*Alukset_fx!$B$72,IF(Q655="RoPax",L655*Alukset_fx!$B$73,IF(Q655="Container ship",L655*Alukset_fx!$B$70,IF(Q655="Barge",0,L655*Alukset_fx!$B$75))))))))</f>
        <v>0</v>
      </c>
      <c r="S655" s="210">
        <f>IF(L655=0,IF(Q655="Other dry cargo",Alukset_fx!$H$73*(Alukset_Käynnit_Lask!K655^Alukset_fx!$I$73),IF(OR(Q655="Dry Bulk",Q655="Bulk carrier"),Alukset_fx!$H$71*(Alukset_Käynnit_Lask!K655^Alukset_fx!$I$71),IF(Q655="Tugboat",Alukset_fx!$H$78*(Alukset_Käynnit_Lask!K655^Alukset_fx!$I$78),IF(OR(Q655="Tanker",Q655="Gas tanker",Q655="Chemical tanker",Q655="Oil tanker"),Alukset_fx!$H$70*(Alukset_Käynnit_Lask!K655^Alukset_fx!$I$70),IF(Q655="Container ship",Alukset_fx!$H$72*(Alukset_Käynnit_Lask!K655^Alukset_fx!$I$72),IF(Q655="Barge",0,IF(Q655="RoPax",Alukset_fx!$H$75*(Alukset_Käynnit_Lask!K655^Alukset_fx!$I$75),IF(OR(Q655="RoRo",Q655="Vehicle carrier"),Alukset_fx!$H$74*(Alukset_Käynnit_Lask!K655^Alukset_fx!$I$74),Alukset_fx!$H$77*(Alukset_Käynnit_Lask!K655^Alukset_fx!$I$77))))))))),"-")</f>
        <v>0</v>
      </c>
      <c r="T655" s="208">
        <f>IF(R655=0,IF(Q655="Other dry cargo",S655*Alukset_fx!$B$71,IF(OR(Q655="Dry bulk",Q655="Bulk carrier"),S655*Alukset_fx!$B$69,IF(Q655="Tugboat",S655*Alukset_fx!$B$76,IF(OR(Q655="Tanker",Q655="Gas tanker",Q655="Chemical tanker",Q655="Oil tanker"),S655*Alukset_fx!$B$68,IF(OR(Q655="RoRo",Q655="Vehicle carrier"),S655*Alukset_fx!$B$72,IF(Q655="RoPax",S655*Alukset_fx!$B$73,IF(Q655="Container ship",S655*Alukset_fx!$B$70,S655*Alukset_fx!$B$75))))))),"-")</f>
        <v>0</v>
      </c>
      <c r="U655" s="208">
        <f t="shared" si="126"/>
        <v>0</v>
      </c>
      <c r="V655" s="208">
        <f t="shared" si="127"/>
        <v>0</v>
      </c>
      <c r="W655" s="202">
        <f>Alukset_Käynnit!N662</f>
        <v>0</v>
      </c>
      <c r="X655" s="211">
        <f>IF(Q655="Other dry cargo", Alukset_fx!$C$52, IF(OR(Q655="Dry bulk",Q655="Bulk carrier"),Alukset_fx!$C$35,IF(OR(Q655="Tanker",Q655="Gas tanker",Q655="Oil tanker"),Alukset_fx!$C$57,IF(Q655="Chemical tanker",Alukset_fx!$C$56,IF(OR(Q655="Tugboat",Q655="Barge"),0,IF(Q655="Other vessel",Alukset_fx!$C$54,IF(Q655="Container ship",Alukset_fx!$C$37,IF(OR(Q655="RoPax",Q655="RoRo",Q655="Vehicle carrier"),Alukset_fx!$C$55,0))))))))</f>
        <v>0</v>
      </c>
      <c r="Y655" s="211">
        <f>IF(Q655="Other dry cargo", Alukset_fx!$Q$52, IF(OR(Q655="Dry bulk",Q655="Bulk carrier"),Alukset_fx!$Q$35,IF(OR(Q655="Tanker",Q655="Gas tanker",Q655="Oil tanker"),Alukset_fx!$Q$57,IF(Q655="Chemical tanker",Alukset_fx!$Q$56,IF(OR(Q655="Tugboat",Q655="Barge"),0,IF(Q655="Other vessel",Alukset_fx!$Q$54,IF(Q655="Container ship",Alukset_fx!$Q$37,IF(OR(Q655="RoPax",Q655="RoRo",Q655="Vehicle carrier"),Alukset_fx!$Q$55,0))))))))</f>
        <v>0</v>
      </c>
      <c r="Z655" t="str">
        <f t="shared" si="128"/>
        <v>MDO/MGO</v>
      </c>
      <c r="AA655" t="str">
        <f t="shared" si="129"/>
        <v>MSD</v>
      </c>
      <c r="AB655" t="str">
        <f t="shared" si="130"/>
        <v>MDO/MGO</v>
      </c>
      <c r="AC655" t="str">
        <f t="shared" si="131"/>
        <v>MSD</v>
      </c>
      <c r="AD655" t="str">
        <f t="shared" si="132"/>
        <v>MDO/MGO</v>
      </c>
      <c r="AE655" t="str">
        <f t="shared" si="133"/>
        <v>ST</v>
      </c>
      <c r="AG655">
        <f>Alukset_Käynnit!O662</f>
        <v>0</v>
      </c>
      <c r="AH655" s="207">
        <f>IF(AA655="SSD",((U655*Alukset_fx!$B$24)*Alukset_Käynnit_Lask!W655*(Alukset_fx!$K$49)/1000),IF(AA655="MSD",((U655*Alukset_fx!$B$24)*Alukset_Käynnit_Lask!W655*(Alukset_fx!$K$52)/1000),IF(AA655="HSD",((U655*Alukset_fx!$B$24)*Alukset_Käynnit_Lask!W655*(Alukset_fx!$K$55)/1000),0)))</f>
        <v>0</v>
      </c>
      <c r="AI655" s="207">
        <f>IF(AC655="MSD",((V655*Alukset_fx!$B$25)*Alukset_Käynnit_Lask!W655*(Alukset_fx!$L$52)/1000),IF(AC655="HSD",((V655*Alukset_fx!$B$25)*Alukset_Käynnit_Lask!W655*(Alukset_fx!$L$55)/1000),0))</f>
        <v>0</v>
      </c>
      <c r="AJ655" s="207">
        <f>X655*W655*Alukset_fx!$K$61/1000</f>
        <v>0</v>
      </c>
      <c r="AK655">
        <v>0</v>
      </c>
      <c r="AL655" s="207">
        <f>IF(AG655="Käytetty",0,IF(AC655="MSD",((V655*Alukset_fx!$O$25)*Alukset_Käynnit_Lask!O655*(Alukset_fx!$L$52)/1000),IF(AC655="HSD",((V655*Alukset_fx!$O$25)*Alukset_Käynnit_Lask!O655*(Alukset_fx!$L$55)/1000),0)))</f>
        <v>0</v>
      </c>
      <c r="AM655" s="207">
        <f>IF(AG655="Käytetty",0,Y655*O655*Alukset_fx!$K$61/1000)</f>
        <v>0</v>
      </c>
      <c r="AN655" s="213">
        <f t="shared" si="134"/>
        <v>0</v>
      </c>
    </row>
    <row r="656" spans="1:40" x14ac:dyDescent="0.25">
      <c r="A656" s="203">
        <f>Alukset_Käynnit!A663</f>
        <v>0</v>
      </c>
      <c r="B656" s="203">
        <f>Alukset_Käynnit!B663</f>
        <v>0</v>
      </c>
      <c r="C656" s="262">
        <f>Alukset_Käynnit!C663</f>
        <v>0</v>
      </c>
      <c r="D656" s="266">
        <f>Alukset_Käynnit!D663</f>
        <v>0</v>
      </c>
      <c r="E656" s="262">
        <f>Alukset_Käynnit!E663</f>
        <v>0</v>
      </c>
      <c r="F656" s="262">
        <f>Alukset_Käynnit!F663</f>
        <v>0</v>
      </c>
      <c r="G656" s="262">
        <f>Alukset_Käynnit!G663</f>
        <v>0</v>
      </c>
      <c r="H656" s="262">
        <f>Alukset_Käynnit!H663</f>
        <v>0</v>
      </c>
      <c r="I656" s="262">
        <f>Alukset_Käynnit!I663</f>
        <v>0</v>
      </c>
      <c r="J656" s="262">
        <f>Alukset_Käynnit!J663</f>
        <v>0</v>
      </c>
      <c r="K656" s="262">
        <f>Alukset_Käynnit!K663</f>
        <v>0</v>
      </c>
      <c r="L656" s="205">
        <f>Alukset_Käynnit!L663</f>
        <v>0</v>
      </c>
      <c r="N656" s="273">
        <f t="shared" si="123"/>
        <v>0</v>
      </c>
      <c r="O656" s="274">
        <f t="shared" si="124"/>
        <v>0</v>
      </c>
      <c r="Q656" s="204">
        <f t="shared" si="125"/>
        <v>0</v>
      </c>
      <c r="R656" s="202">
        <f>IF(Q656="Other dry cargo",L656*Alukset_fx!$B$71,IF(OR(Q656="Dry bulk",Q656="Bulk carrier"),L656*Alukset_fx!$B$69,IF(Q656="Tugboat",L656*Alukset_fx!$B$76,IF(OR(Q656="Tanker",Q656="Gas tanker",Q656="Chemical tanker",Q656="Oil tanker"),L656*Alukset_fx!$B$68,IF(OR(Q656="RoRo",Q656="Vehicle carrier"),L656*Alukset_fx!$B$72,IF(Q656="RoPax",L656*Alukset_fx!$B$73,IF(Q656="Container ship",L656*Alukset_fx!$B$70,IF(Q656="Barge",0,L656*Alukset_fx!$B$75))))))))</f>
        <v>0</v>
      </c>
      <c r="S656" s="210">
        <f>IF(L656=0,IF(Q656="Other dry cargo",Alukset_fx!$H$73*(Alukset_Käynnit_Lask!K656^Alukset_fx!$I$73),IF(OR(Q656="Dry Bulk",Q656="Bulk carrier"),Alukset_fx!$H$71*(Alukset_Käynnit_Lask!K656^Alukset_fx!$I$71),IF(Q656="Tugboat",Alukset_fx!$H$78*(Alukset_Käynnit_Lask!K656^Alukset_fx!$I$78),IF(OR(Q656="Tanker",Q656="Gas tanker",Q656="Chemical tanker",Q656="Oil tanker"),Alukset_fx!$H$70*(Alukset_Käynnit_Lask!K656^Alukset_fx!$I$70),IF(Q656="Container ship",Alukset_fx!$H$72*(Alukset_Käynnit_Lask!K656^Alukset_fx!$I$72),IF(Q656="Barge",0,IF(Q656="RoPax",Alukset_fx!$H$75*(Alukset_Käynnit_Lask!K656^Alukset_fx!$I$75),IF(OR(Q656="RoRo",Q656="Vehicle carrier"),Alukset_fx!$H$74*(Alukset_Käynnit_Lask!K656^Alukset_fx!$I$74),Alukset_fx!$H$77*(Alukset_Käynnit_Lask!K656^Alukset_fx!$I$77))))))))),"-")</f>
        <v>0</v>
      </c>
      <c r="T656" s="208">
        <f>IF(R656=0,IF(Q656="Other dry cargo",S656*Alukset_fx!$B$71,IF(OR(Q656="Dry bulk",Q656="Bulk carrier"),S656*Alukset_fx!$B$69,IF(Q656="Tugboat",S656*Alukset_fx!$B$76,IF(OR(Q656="Tanker",Q656="Gas tanker",Q656="Chemical tanker",Q656="Oil tanker"),S656*Alukset_fx!$B$68,IF(OR(Q656="RoRo",Q656="Vehicle carrier"),S656*Alukset_fx!$B$72,IF(Q656="RoPax",S656*Alukset_fx!$B$73,IF(Q656="Container ship",S656*Alukset_fx!$B$70,S656*Alukset_fx!$B$75))))))),"-")</f>
        <v>0</v>
      </c>
      <c r="U656" s="208">
        <f t="shared" si="126"/>
        <v>0</v>
      </c>
      <c r="V656" s="208">
        <f t="shared" si="127"/>
        <v>0</v>
      </c>
      <c r="W656" s="202">
        <f>Alukset_Käynnit!N663</f>
        <v>0</v>
      </c>
      <c r="X656" s="211">
        <f>IF(Q656="Other dry cargo", Alukset_fx!$C$52, IF(OR(Q656="Dry bulk",Q656="Bulk carrier"),Alukset_fx!$C$35,IF(OR(Q656="Tanker",Q656="Gas tanker",Q656="Oil tanker"),Alukset_fx!$C$57,IF(Q656="Chemical tanker",Alukset_fx!$C$56,IF(OR(Q656="Tugboat",Q656="Barge"),0,IF(Q656="Other vessel",Alukset_fx!$C$54,IF(Q656="Container ship",Alukset_fx!$C$37,IF(OR(Q656="RoPax",Q656="RoRo",Q656="Vehicle carrier"),Alukset_fx!$C$55,0))))))))</f>
        <v>0</v>
      </c>
      <c r="Y656" s="211">
        <f>IF(Q656="Other dry cargo", Alukset_fx!$Q$52, IF(OR(Q656="Dry bulk",Q656="Bulk carrier"),Alukset_fx!$Q$35,IF(OR(Q656="Tanker",Q656="Gas tanker",Q656="Oil tanker"),Alukset_fx!$Q$57,IF(Q656="Chemical tanker",Alukset_fx!$Q$56,IF(OR(Q656="Tugboat",Q656="Barge"),0,IF(Q656="Other vessel",Alukset_fx!$Q$54,IF(Q656="Container ship",Alukset_fx!$Q$37,IF(OR(Q656="RoPax",Q656="RoRo",Q656="Vehicle carrier"),Alukset_fx!$Q$55,0))))))))</f>
        <v>0</v>
      </c>
      <c r="Z656" t="str">
        <f t="shared" si="128"/>
        <v>MDO/MGO</v>
      </c>
      <c r="AA656" t="str">
        <f t="shared" si="129"/>
        <v>MSD</v>
      </c>
      <c r="AB656" t="str">
        <f t="shared" si="130"/>
        <v>MDO/MGO</v>
      </c>
      <c r="AC656" t="str">
        <f t="shared" si="131"/>
        <v>MSD</v>
      </c>
      <c r="AD656" t="str">
        <f t="shared" si="132"/>
        <v>MDO/MGO</v>
      </c>
      <c r="AE656" t="str">
        <f t="shared" si="133"/>
        <v>ST</v>
      </c>
      <c r="AG656">
        <f>Alukset_Käynnit!O663</f>
        <v>0</v>
      </c>
      <c r="AH656" s="207">
        <f>IF(AA656="SSD",((U656*Alukset_fx!$B$24)*Alukset_Käynnit_Lask!W656*(Alukset_fx!$K$49)/1000),IF(AA656="MSD",((U656*Alukset_fx!$B$24)*Alukset_Käynnit_Lask!W656*(Alukset_fx!$K$52)/1000),IF(AA656="HSD",((U656*Alukset_fx!$B$24)*Alukset_Käynnit_Lask!W656*(Alukset_fx!$K$55)/1000),0)))</f>
        <v>0</v>
      </c>
      <c r="AI656" s="207">
        <f>IF(AC656="MSD",((V656*Alukset_fx!$B$25)*Alukset_Käynnit_Lask!W656*(Alukset_fx!$L$52)/1000),IF(AC656="HSD",((V656*Alukset_fx!$B$25)*Alukset_Käynnit_Lask!W656*(Alukset_fx!$L$55)/1000),0))</f>
        <v>0</v>
      </c>
      <c r="AJ656" s="207">
        <f>X656*W656*Alukset_fx!$K$61/1000</f>
        <v>0</v>
      </c>
      <c r="AK656">
        <v>0</v>
      </c>
      <c r="AL656" s="207">
        <f>IF(AG656="Käytetty",0,IF(AC656="MSD",((V656*Alukset_fx!$O$25)*Alukset_Käynnit_Lask!O656*(Alukset_fx!$L$52)/1000),IF(AC656="HSD",((V656*Alukset_fx!$O$25)*Alukset_Käynnit_Lask!O656*(Alukset_fx!$L$55)/1000),0)))</f>
        <v>0</v>
      </c>
      <c r="AM656" s="207">
        <f>IF(AG656="Käytetty",0,Y656*O656*Alukset_fx!$K$61/1000)</f>
        <v>0</v>
      </c>
      <c r="AN656" s="213">
        <f t="shared" si="134"/>
        <v>0</v>
      </c>
    </row>
    <row r="657" spans="1:40" x14ac:dyDescent="0.25">
      <c r="A657" s="203">
        <f>Alukset_Käynnit!A664</f>
        <v>0</v>
      </c>
      <c r="B657" s="203">
        <f>Alukset_Käynnit!B664</f>
        <v>0</v>
      </c>
      <c r="C657" s="262">
        <f>Alukset_Käynnit!C664</f>
        <v>0</v>
      </c>
      <c r="D657" s="266">
        <f>Alukset_Käynnit!D664</f>
        <v>0</v>
      </c>
      <c r="E657" s="262">
        <f>Alukset_Käynnit!E664</f>
        <v>0</v>
      </c>
      <c r="F657" s="262">
        <f>Alukset_Käynnit!F664</f>
        <v>0</v>
      </c>
      <c r="G657" s="262">
        <f>Alukset_Käynnit!G664</f>
        <v>0</v>
      </c>
      <c r="H657" s="262">
        <f>Alukset_Käynnit!H664</f>
        <v>0</v>
      </c>
      <c r="I657" s="262">
        <f>Alukset_Käynnit!I664</f>
        <v>0</v>
      </c>
      <c r="J657" s="262">
        <f>Alukset_Käynnit!J664</f>
        <v>0</v>
      </c>
      <c r="K657" s="262">
        <f>Alukset_Käynnit!K664</f>
        <v>0</v>
      </c>
      <c r="L657" s="205">
        <f>Alukset_Käynnit!L664</f>
        <v>0</v>
      </c>
      <c r="N657" s="273">
        <f t="shared" si="123"/>
        <v>0</v>
      </c>
      <c r="O657" s="274">
        <f t="shared" si="124"/>
        <v>0</v>
      </c>
      <c r="Q657" s="204">
        <f t="shared" si="125"/>
        <v>0</v>
      </c>
      <c r="R657" s="202">
        <f>IF(Q657="Other dry cargo",L657*Alukset_fx!$B$71,IF(OR(Q657="Dry bulk",Q657="Bulk carrier"),L657*Alukset_fx!$B$69,IF(Q657="Tugboat",L657*Alukset_fx!$B$76,IF(OR(Q657="Tanker",Q657="Gas tanker",Q657="Chemical tanker",Q657="Oil tanker"),L657*Alukset_fx!$B$68,IF(OR(Q657="RoRo",Q657="Vehicle carrier"),L657*Alukset_fx!$B$72,IF(Q657="RoPax",L657*Alukset_fx!$B$73,IF(Q657="Container ship",L657*Alukset_fx!$B$70,IF(Q657="Barge",0,L657*Alukset_fx!$B$75))))))))</f>
        <v>0</v>
      </c>
      <c r="S657" s="210">
        <f>IF(L657=0,IF(Q657="Other dry cargo",Alukset_fx!$H$73*(Alukset_Käynnit_Lask!K657^Alukset_fx!$I$73),IF(OR(Q657="Dry Bulk",Q657="Bulk carrier"),Alukset_fx!$H$71*(Alukset_Käynnit_Lask!K657^Alukset_fx!$I$71),IF(Q657="Tugboat",Alukset_fx!$H$78*(Alukset_Käynnit_Lask!K657^Alukset_fx!$I$78),IF(OR(Q657="Tanker",Q657="Gas tanker",Q657="Chemical tanker",Q657="Oil tanker"),Alukset_fx!$H$70*(Alukset_Käynnit_Lask!K657^Alukset_fx!$I$70),IF(Q657="Container ship",Alukset_fx!$H$72*(Alukset_Käynnit_Lask!K657^Alukset_fx!$I$72),IF(Q657="Barge",0,IF(Q657="RoPax",Alukset_fx!$H$75*(Alukset_Käynnit_Lask!K657^Alukset_fx!$I$75),IF(OR(Q657="RoRo",Q657="Vehicle carrier"),Alukset_fx!$H$74*(Alukset_Käynnit_Lask!K657^Alukset_fx!$I$74),Alukset_fx!$H$77*(Alukset_Käynnit_Lask!K657^Alukset_fx!$I$77))))))))),"-")</f>
        <v>0</v>
      </c>
      <c r="T657" s="208">
        <f>IF(R657=0,IF(Q657="Other dry cargo",S657*Alukset_fx!$B$71,IF(OR(Q657="Dry bulk",Q657="Bulk carrier"),S657*Alukset_fx!$B$69,IF(Q657="Tugboat",S657*Alukset_fx!$B$76,IF(OR(Q657="Tanker",Q657="Gas tanker",Q657="Chemical tanker",Q657="Oil tanker"),S657*Alukset_fx!$B$68,IF(OR(Q657="RoRo",Q657="Vehicle carrier"),S657*Alukset_fx!$B$72,IF(Q657="RoPax",S657*Alukset_fx!$B$73,IF(Q657="Container ship",S657*Alukset_fx!$B$70,S657*Alukset_fx!$B$75))))))),"-")</f>
        <v>0</v>
      </c>
      <c r="U657" s="208">
        <f t="shared" si="126"/>
        <v>0</v>
      </c>
      <c r="V657" s="208">
        <f t="shared" si="127"/>
        <v>0</v>
      </c>
      <c r="W657" s="202">
        <f>Alukset_Käynnit!N664</f>
        <v>0</v>
      </c>
      <c r="X657" s="211">
        <f>IF(Q657="Other dry cargo", Alukset_fx!$C$52, IF(OR(Q657="Dry bulk",Q657="Bulk carrier"),Alukset_fx!$C$35,IF(OR(Q657="Tanker",Q657="Gas tanker",Q657="Oil tanker"),Alukset_fx!$C$57,IF(Q657="Chemical tanker",Alukset_fx!$C$56,IF(OR(Q657="Tugboat",Q657="Barge"),0,IF(Q657="Other vessel",Alukset_fx!$C$54,IF(Q657="Container ship",Alukset_fx!$C$37,IF(OR(Q657="RoPax",Q657="RoRo",Q657="Vehicle carrier"),Alukset_fx!$C$55,0))))))))</f>
        <v>0</v>
      </c>
      <c r="Y657" s="211">
        <f>IF(Q657="Other dry cargo", Alukset_fx!$Q$52, IF(OR(Q657="Dry bulk",Q657="Bulk carrier"),Alukset_fx!$Q$35,IF(OR(Q657="Tanker",Q657="Gas tanker",Q657="Oil tanker"),Alukset_fx!$Q$57,IF(Q657="Chemical tanker",Alukset_fx!$Q$56,IF(OR(Q657="Tugboat",Q657="Barge"),0,IF(Q657="Other vessel",Alukset_fx!$Q$54,IF(Q657="Container ship",Alukset_fx!$Q$37,IF(OR(Q657="RoPax",Q657="RoRo",Q657="Vehicle carrier"),Alukset_fx!$Q$55,0))))))))</f>
        <v>0</v>
      </c>
      <c r="Z657" t="str">
        <f t="shared" si="128"/>
        <v>MDO/MGO</v>
      </c>
      <c r="AA657" t="str">
        <f t="shared" si="129"/>
        <v>MSD</v>
      </c>
      <c r="AB657" t="str">
        <f t="shared" si="130"/>
        <v>MDO/MGO</v>
      </c>
      <c r="AC657" t="str">
        <f t="shared" si="131"/>
        <v>MSD</v>
      </c>
      <c r="AD657" t="str">
        <f t="shared" si="132"/>
        <v>MDO/MGO</v>
      </c>
      <c r="AE657" t="str">
        <f t="shared" si="133"/>
        <v>ST</v>
      </c>
      <c r="AG657">
        <f>Alukset_Käynnit!O664</f>
        <v>0</v>
      </c>
      <c r="AH657" s="207">
        <f>IF(AA657="SSD",((U657*Alukset_fx!$B$24)*Alukset_Käynnit_Lask!W657*(Alukset_fx!$K$49)/1000),IF(AA657="MSD",((U657*Alukset_fx!$B$24)*Alukset_Käynnit_Lask!W657*(Alukset_fx!$K$52)/1000),IF(AA657="HSD",((U657*Alukset_fx!$B$24)*Alukset_Käynnit_Lask!W657*(Alukset_fx!$K$55)/1000),0)))</f>
        <v>0</v>
      </c>
      <c r="AI657" s="207">
        <f>IF(AC657="MSD",((V657*Alukset_fx!$B$25)*Alukset_Käynnit_Lask!W657*(Alukset_fx!$L$52)/1000),IF(AC657="HSD",((V657*Alukset_fx!$B$25)*Alukset_Käynnit_Lask!W657*(Alukset_fx!$L$55)/1000),0))</f>
        <v>0</v>
      </c>
      <c r="AJ657" s="207">
        <f>X657*W657*Alukset_fx!$K$61/1000</f>
        <v>0</v>
      </c>
      <c r="AK657">
        <v>0</v>
      </c>
      <c r="AL657" s="207">
        <f>IF(AG657="Käytetty",0,IF(AC657="MSD",((V657*Alukset_fx!$O$25)*Alukset_Käynnit_Lask!O657*(Alukset_fx!$L$52)/1000),IF(AC657="HSD",((V657*Alukset_fx!$O$25)*Alukset_Käynnit_Lask!O657*(Alukset_fx!$L$55)/1000),0)))</f>
        <v>0</v>
      </c>
      <c r="AM657" s="207">
        <f>IF(AG657="Käytetty",0,Y657*O657*Alukset_fx!$K$61/1000)</f>
        <v>0</v>
      </c>
      <c r="AN657" s="213">
        <f t="shared" si="134"/>
        <v>0</v>
      </c>
    </row>
    <row r="658" spans="1:40" x14ac:dyDescent="0.25">
      <c r="A658" s="203">
        <f>Alukset_Käynnit!A665</f>
        <v>0</v>
      </c>
      <c r="B658" s="203">
        <f>Alukset_Käynnit!B665</f>
        <v>0</v>
      </c>
      <c r="C658" s="262">
        <f>Alukset_Käynnit!C665</f>
        <v>0</v>
      </c>
      <c r="D658" s="266">
        <f>Alukset_Käynnit!D665</f>
        <v>0</v>
      </c>
      <c r="E658" s="262">
        <f>Alukset_Käynnit!E665</f>
        <v>0</v>
      </c>
      <c r="F658" s="262">
        <f>Alukset_Käynnit!F665</f>
        <v>0</v>
      </c>
      <c r="G658" s="262">
        <f>Alukset_Käynnit!G665</f>
        <v>0</v>
      </c>
      <c r="H658" s="262">
        <f>Alukset_Käynnit!H665</f>
        <v>0</v>
      </c>
      <c r="I658" s="262">
        <f>Alukset_Käynnit!I665</f>
        <v>0</v>
      </c>
      <c r="J658" s="262">
        <f>Alukset_Käynnit!J665</f>
        <v>0</v>
      </c>
      <c r="K658" s="262">
        <f>Alukset_Käynnit!K665</f>
        <v>0</v>
      </c>
      <c r="L658" s="205">
        <f>Alukset_Käynnit!L665</f>
        <v>0</v>
      </c>
      <c r="N658" s="273">
        <f t="shared" si="123"/>
        <v>0</v>
      </c>
      <c r="O658" s="274">
        <f t="shared" si="124"/>
        <v>0</v>
      </c>
      <c r="Q658" s="204">
        <f t="shared" si="125"/>
        <v>0</v>
      </c>
      <c r="R658" s="202">
        <f>IF(Q658="Other dry cargo",L658*Alukset_fx!$B$71,IF(OR(Q658="Dry bulk",Q658="Bulk carrier"),L658*Alukset_fx!$B$69,IF(Q658="Tugboat",L658*Alukset_fx!$B$76,IF(OR(Q658="Tanker",Q658="Gas tanker",Q658="Chemical tanker",Q658="Oil tanker"),L658*Alukset_fx!$B$68,IF(OR(Q658="RoRo",Q658="Vehicle carrier"),L658*Alukset_fx!$B$72,IF(Q658="RoPax",L658*Alukset_fx!$B$73,IF(Q658="Container ship",L658*Alukset_fx!$B$70,IF(Q658="Barge",0,L658*Alukset_fx!$B$75))))))))</f>
        <v>0</v>
      </c>
      <c r="S658" s="210">
        <f>IF(L658=0,IF(Q658="Other dry cargo",Alukset_fx!$H$73*(Alukset_Käynnit_Lask!K658^Alukset_fx!$I$73),IF(OR(Q658="Dry Bulk",Q658="Bulk carrier"),Alukset_fx!$H$71*(Alukset_Käynnit_Lask!K658^Alukset_fx!$I$71),IF(Q658="Tugboat",Alukset_fx!$H$78*(Alukset_Käynnit_Lask!K658^Alukset_fx!$I$78),IF(OR(Q658="Tanker",Q658="Gas tanker",Q658="Chemical tanker",Q658="Oil tanker"),Alukset_fx!$H$70*(Alukset_Käynnit_Lask!K658^Alukset_fx!$I$70),IF(Q658="Container ship",Alukset_fx!$H$72*(Alukset_Käynnit_Lask!K658^Alukset_fx!$I$72),IF(Q658="Barge",0,IF(Q658="RoPax",Alukset_fx!$H$75*(Alukset_Käynnit_Lask!K658^Alukset_fx!$I$75),IF(OR(Q658="RoRo",Q658="Vehicle carrier"),Alukset_fx!$H$74*(Alukset_Käynnit_Lask!K658^Alukset_fx!$I$74),Alukset_fx!$H$77*(Alukset_Käynnit_Lask!K658^Alukset_fx!$I$77))))))))),"-")</f>
        <v>0</v>
      </c>
      <c r="T658" s="208">
        <f>IF(R658=0,IF(Q658="Other dry cargo",S658*Alukset_fx!$B$71,IF(OR(Q658="Dry bulk",Q658="Bulk carrier"),S658*Alukset_fx!$B$69,IF(Q658="Tugboat",S658*Alukset_fx!$B$76,IF(OR(Q658="Tanker",Q658="Gas tanker",Q658="Chemical tanker",Q658="Oil tanker"),S658*Alukset_fx!$B$68,IF(OR(Q658="RoRo",Q658="Vehicle carrier"),S658*Alukset_fx!$B$72,IF(Q658="RoPax",S658*Alukset_fx!$B$73,IF(Q658="Container ship",S658*Alukset_fx!$B$70,S658*Alukset_fx!$B$75))))))),"-")</f>
        <v>0</v>
      </c>
      <c r="U658" s="208">
        <f t="shared" si="126"/>
        <v>0</v>
      </c>
      <c r="V658" s="208">
        <f t="shared" si="127"/>
        <v>0</v>
      </c>
      <c r="W658" s="202">
        <f>Alukset_Käynnit!N665</f>
        <v>0</v>
      </c>
      <c r="X658" s="211">
        <f>IF(Q658="Other dry cargo", Alukset_fx!$C$52, IF(OR(Q658="Dry bulk",Q658="Bulk carrier"),Alukset_fx!$C$35,IF(OR(Q658="Tanker",Q658="Gas tanker",Q658="Oil tanker"),Alukset_fx!$C$57,IF(Q658="Chemical tanker",Alukset_fx!$C$56,IF(OR(Q658="Tugboat",Q658="Barge"),0,IF(Q658="Other vessel",Alukset_fx!$C$54,IF(Q658="Container ship",Alukset_fx!$C$37,IF(OR(Q658="RoPax",Q658="RoRo",Q658="Vehicle carrier"),Alukset_fx!$C$55,0))))))))</f>
        <v>0</v>
      </c>
      <c r="Y658" s="211">
        <f>IF(Q658="Other dry cargo", Alukset_fx!$Q$52, IF(OR(Q658="Dry bulk",Q658="Bulk carrier"),Alukset_fx!$Q$35,IF(OR(Q658="Tanker",Q658="Gas tanker",Q658="Oil tanker"),Alukset_fx!$Q$57,IF(Q658="Chemical tanker",Alukset_fx!$Q$56,IF(OR(Q658="Tugboat",Q658="Barge"),0,IF(Q658="Other vessel",Alukset_fx!$Q$54,IF(Q658="Container ship",Alukset_fx!$Q$37,IF(OR(Q658="RoPax",Q658="RoRo",Q658="Vehicle carrier"),Alukset_fx!$Q$55,0))))))))</f>
        <v>0</v>
      </c>
      <c r="Z658" t="str">
        <f t="shared" si="128"/>
        <v>MDO/MGO</v>
      </c>
      <c r="AA658" t="str">
        <f t="shared" si="129"/>
        <v>MSD</v>
      </c>
      <c r="AB658" t="str">
        <f t="shared" si="130"/>
        <v>MDO/MGO</v>
      </c>
      <c r="AC658" t="str">
        <f t="shared" si="131"/>
        <v>MSD</v>
      </c>
      <c r="AD658" t="str">
        <f t="shared" si="132"/>
        <v>MDO/MGO</v>
      </c>
      <c r="AE658" t="str">
        <f t="shared" si="133"/>
        <v>ST</v>
      </c>
      <c r="AG658">
        <f>Alukset_Käynnit!O665</f>
        <v>0</v>
      </c>
      <c r="AH658" s="207">
        <f>IF(AA658="SSD",((U658*Alukset_fx!$B$24)*Alukset_Käynnit_Lask!W658*(Alukset_fx!$K$49)/1000),IF(AA658="MSD",((U658*Alukset_fx!$B$24)*Alukset_Käynnit_Lask!W658*(Alukset_fx!$K$52)/1000),IF(AA658="HSD",((U658*Alukset_fx!$B$24)*Alukset_Käynnit_Lask!W658*(Alukset_fx!$K$55)/1000),0)))</f>
        <v>0</v>
      </c>
      <c r="AI658" s="207">
        <f>IF(AC658="MSD",((V658*Alukset_fx!$B$25)*Alukset_Käynnit_Lask!W658*(Alukset_fx!$L$52)/1000),IF(AC658="HSD",((V658*Alukset_fx!$B$25)*Alukset_Käynnit_Lask!W658*(Alukset_fx!$L$55)/1000),0))</f>
        <v>0</v>
      </c>
      <c r="AJ658" s="207">
        <f>X658*W658*Alukset_fx!$K$61/1000</f>
        <v>0</v>
      </c>
      <c r="AK658">
        <v>0</v>
      </c>
      <c r="AL658" s="207">
        <f>IF(AG658="Käytetty",0,IF(AC658="MSD",((V658*Alukset_fx!$O$25)*Alukset_Käynnit_Lask!O658*(Alukset_fx!$L$52)/1000),IF(AC658="HSD",((V658*Alukset_fx!$O$25)*Alukset_Käynnit_Lask!O658*(Alukset_fx!$L$55)/1000),0)))</f>
        <v>0</v>
      </c>
      <c r="AM658" s="207">
        <f>IF(AG658="Käytetty",0,Y658*O658*Alukset_fx!$K$61/1000)</f>
        <v>0</v>
      </c>
      <c r="AN658" s="213">
        <f t="shared" si="134"/>
        <v>0</v>
      </c>
    </row>
    <row r="659" spans="1:40" x14ac:dyDescent="0.25">
      <c r="A659" s="203">
        <f>Alukset_Käynnit!A666</f>
        <v>0</v>
      </c>
      <c r="B659" s="203">
        <f>Alukset_Käynnit!B666</f>
        <v>0</v>
      </c>
      <c r="C659" s="262">
        <f>Alukset_Käynnit!C666</f>
        <v>0</v>
      </c>
      <c r="D659" s="266">
        <f>Alukset_Käynnit!D666</f>
        <v>0</v>
      </c>
      <c r="E659" s="262">
        <f>Alukset_Käynnit!E666</f>
        <v>0</v>
      </c>
      <c r="F659" s="262">
        <f>Alukset_Käynnit!F666</f>
        <v>0</v>
      </c>
      <c r="G659" s="262">
        <f>Alukset_Käynnit!G666</f>
        <v>0</v>
      </c>
      <c r="H659" s="262">
        <f>Alukset_Käynnit!H666</f>
        <v>0</v>
      </c>
      <c r="I659" s="262">
        <f>Alukset_Käynnit!I666</f>
        <v>0</v>
      </c>
      <c r="J659" s="262">
        <f>Alukset_Käynnit!J666</f>
        <v>0</v>
      </c>
      <c r="K659" s="262">
        <f>Alukset_Käynnit!K666</f>
        <v>0</v>
      </c>
      <c r="L659" s="205">
        <f>Alukset_Käynnit!L666</f>
        <v>0</v>
      </c>
      <c r="N659" s="273">
        <f t="shared" si="123"/>
        <v>0</v>
      </c>
      <c r="O659" s="274">
        <f t="shared" si="124"/>
        <v>0</v>
      </c>
      <c r="Q659" s="204">
        <f t="shared" si="125"/>
        <v>0</v>
      </c>
      <c r="R659" s="202">
        <f>IF(Q659="Other dry cargo",L659*Alukset_fx!$B$71,IF(OR(Q659="Dry bulk",Q659="Bulk carrier"),L659*Alukset_fx!$B$69,IF(Q659="Tugboat",L659*Alukset_fx!$B$76,IF(OR(Q659="Tanker",Q659="Gas tanker",Q659="Chemical tanker",Q659="Oil tanker"),L659*Alukset_fx!$B$68,IF(OR(Q659="RoRo",Q659="Vehicle carrier"),L659*Alukset_fx!$B$72,IF(Q659="RoPax",L659*Alukset_fx!$B$73,IF(Q659="Container ship",L659*Alukset_fx!$B$70,IF(Q659="Barge",0,L659*Alukset_fx!$B$75))))))))</f>
        <v>0</v>
      </c>
      <c r="S659" s="210">
        <f>IF(L659=0,IF(Q659="Other dry cargo",Alukset_fx!$H$73*(Alukset_Käynnit_Lask!K659^Alukset_fx!$I$73),IF(OR(Q659="Dry Bulk",Q659="Bulk carrier"),Alukset_fx!$H$71*(Alukset_Käynnit_Lask!K659^Alukset_fx!$I$71),IF(Q659="Tugboat",Alukset_fx!$H$78*(Alukset_Käynnit_Lask!K659^Alukset_fx!$I$78),IF(OR(Q659="Tanker",Q659="Gas tanker",Q659="Chemical tanker",Q659="Oil tanker"),Alukset_fx!$H$70*(Alukset_Käynnit_Lask!K659^Alukset_fx!$I$70),IF(Q659="Container ship",Alukset_fx!$H$72*(Alukset_Käynnit_Lask!K659^Alukset_fx!$I$72),IF(Q659="Barge",0,IF(Q659="RoPax",Alukset_fx!$H$75*(Alukset_Käynnit_Lask!K659^Alukset_fx!$I$75),IF(OR(Q659="RoRo",Q659="Vehicle carrier"),Alukset_fx!$H$74*(Alukset_Käynnit_Lask!K659^Alukset_fx!$I$74),Alukset_fx!$H$77*(Alukset_Käynnit_Lask!K659^Alukset_fx!$I$77))))))))),"-")</f>
        <v>0</v>
      </c>
      <c r="T659" s="208">
        <f>IF(R659=0,IF(Q659="Other dry cargo",S659*Alukset_fx!$B$71,IF(OR(Q659="Dry bulk",Q659="Bulk carrier"),S659*Alukset_fx!$B$69,IF(Q659="Tugboat",S659*Alukset_fx!$B$76,IF(OR(Q659="Tanker",Q659="Gas tanker",Q659="Chemical tanker",Q659="Oil tanker"),S659*Alukset_fx!$B$68,IF(OR(Q659="RoRo",Q659="Vehicle carrier"),S659*Alukset_fx!$B$72,IF(Q659="RoPax",S659*Alukset_fx!$B$73,IF(Q659="Container ship",S659*Alukset_fx!$B$70,S659*Alukset_fx!$B$75))))))),"-")</f>
        <v>0</v>
      </c>
      <c r="U659" s="208">
        <f t="shared" si="126"/>
        <v>0</v>
      </c>
      <c r="V659" s="208">
        <f t="shared" si="127"/>
        <v>0</v>
      </c>
      <c r="W659" s="202">
        <f>Alukset_Käynnit!N666</f>
        <v>0</v>
      </c>
      <c r="X659" s="211">
        <f>IF(Q659="Other dry cargo", Alukset_fx!$C$52, IF(OR(Q659="Dry bulk",Q659="Bulk carrier"),Alukset_fx!$C$35,IF(OR(Q659="Tanker",Q659="Gas tanker",Q659="Oil tanker"),Alukset_fx!$C$57,IF(Q659="Chemical tanker",Alukset_fx!$C$56,IF(OR(Q659="Tugboat",Q659="Barge"),0,IF(Q659="Other vessel",Alukset_fx!$C$54,IF(Q659="Container ship",Alukset_fx!$C$37,IF(OR(Q659="RoPax",Q659="RoRo",Q659="Vehicle carrier"),Alukset_fx!$C$55,0))))))))</f>
        <v>0</v>
      </c>
      <c r="Y659" s="211">
        <f>IF(Q659="Other dry cargo", Alukset_fx!$Q$52, IF(OR(Q659="Dry bulk",Q659="Bulk carrier"),Alukset_fx!$Q$35,IF(OR(Q659="Tanker",Q659="Gas tanker",Q659="Oil tanker"),Alukset_fx!$Q$57,IF(Q659="Chemical tanker",Alukset_fx!$Q$56,IF(OR(Q659="Tugboat",Q659="Barge"),0,IF(Q659="Other vessel",Alukset_fx!$Q$54,IF(Q659="Container ship",Alukset_fx!$Q$37,IF(OR(Q659="RoPax",Q659="RoRo",Q659="Vehicle carrier"),Alukset_fx!$Q$55,0))))))))</f>
        <v>0</v>
      </c>
      <c r="Z659" t="str">
        <f t="shared" si="128"/>
        <v>MDO/MGO</v>
      </c>
      <c r="AA659" t="str">
        <f t="shared" si="129"/>
        <v>MSD</v>
      </c>
      <c r="AB659" t="str">
        <f t="shared" si="130"/>
        <v>MDO/MGO</v>
      </c>
      <c r="AC659" t="str">
        <f t="shared" si="131"/>
        <v>MSD</v>
      </c>
      <c r="AD659" t="str">
        <f t="shared" si="132"/>
        <v>MDO/MGO</v>
      </c>
      <c r="AE659" t="str">
        <f t="shared" si="133"/>
        <v>ST</v>
      </c>
      <c r="AG659">
        <f>Alukset_Käynnit!O666</f>
        <v>0</v>
      </c>
      <c r="AH659" s="207">
        <f>IF(AA659="SSD",((U659*Alukset_fx!$B$24)*Alukset_Käynnit_Lask!W659*(Alukset_fx!$K$49)/1000),IF(AA659="MSD",((U659*Alukset_fx!$B$24)*Alukset_Käynnit_Lask!W659*(Alukset_fx!$K$52)/1000),IF(AA659="HSD",((U659*Alukset_fx!$B$24)*Alukset_Käynnit_Lask!W659*(Alukset_fx!$K$55)/1000),0)))</f>
        <v>0</v>
      </c>
      <c r="AI659" s="207">
        <f>IF(AC659="MSD",((V659*Alukset_fx!$B$25)*Alukset_Käynnit_Lask!W659*(Alukset_fx!$L$52)/1000),IF(AC659="HSD",((V659*Alukset_fx!$B$25)*Alukset_Käynnit_Lask!W659*(Alukset_fx!$L$55)/1000),0))</f>
        <v>0</v>
      </c>
      <c r="AJ659" s="207">
        <f>X659*W659*Alukset_fx!$K$61/1000</f>
        <v>0</v>
      </c>
      <c r="AK659">
        <v>0</v>
      </c>
      <c r="AL659" s="207">
        <f>IF(AG659="Käytetty",0,IF(AC659="MSD",((V659*Alukset_fx!$O$25)*Alukset_Käynnit_Lask!O659*(Alukset_fx!$L$52)/1000),IF(AC659="HSD",((V659*Alukset_fx!$O$25)*Alukset_Käynnit_Lask!O659*(Alukset_fx!$L$55)/1000),0)))</f>
        <v>0</v>
      </c>
      <c r="AM659" s="207">
        <f>IF(AG659="Käytetty",0,Y659*O659*Alukset_fx!$K$61/1000)</f>
        <v>0</v>
      </c>
      <c r="AN659" s="213">
        <f t="shared" si="134"/>
        <v>0</v>
      </c>
    </row>
    <row r="660" spans="1:40" x14ac:dyDescent="0.25">
      <c r="A660" s="203">
        <f>Alukset_Käynnit!A667</f>
        <v>0</v>
      </c>
      <c r="B660" s="203">
        <f>Alukset_Käynnit!B667</f>
        <v>0</v>
      </c>
      <c r="C660" s="262">
        <f>Alukset_Käynnit!C667</f>
        <v>0</v>
      </c>
      <c r="D660" s="266">
        <f>Alukset_Käynnit!D667</f>
        <v>0</v>
      </c>
      <c r="E660" s="262">
        <f>Alukset_Käynnit!E667</f>
        <v>0</v>
      </c>
      <c r="F660" s="262">
        <f>Alukset_Käynnit!F667</f>
        <v>0</v>
      </c>
      <c r="G660" s="262">
        <f>Alukset_Käynnit!G667</f>
        <v>0</v>
      </c>
      <c r="H660" s="262">
        <f>Alukset_Käynnit!H667</f>
        <v>0</v>
      </c>
      <c r="I660" s="262">
        <f>Alukset_Käynnit!I667</f>
        <v>0</v>
      </c>
      <c r="J660" s="262">
        <f>Alukset_Käynnit!J667</f>
        <v>0</v>
      </c>
      <c r="K660" s="262">
        <f>Alukset_Käynnit!K667</f>
        <v>0</v>
      </c>
      <c r="L660" s="205">
        <f>Alukset_Käynnit!L667</f>
        <v>0</v>
      </c>
      <c r="N660" s="273">
        <f t="shared" si="123"/>
        <v>0</v>
      </c>
      <c r="O660" s="274">
        <f t="shared" si="124"/>
        <v>0</v>
      </c>
      <c r="Q660" s="204">
        <f t="shared" si="125"/>
        <v>0</v>
      </c>
      <c r="R660" s="202">
        <f>IF(Q660="Other dry cargo",L660*Alukset_fx!$B$71,IF(OR(Q660="Dry bulk",Q660="Bulk carrier"),L660*Alukset_fx!$B$69,IF(Q660="Tugboat",L660*Alukset_fx!$B$76,IF(OR(Q660="Tanker",Q660="Gas tanker",Q660="Chemical tanker",Q660="Oil tanker"),L660*Alukset_fx!$B$68,IF(OR(Q660="RoRo",Q660="Vehicle carrier"),L660*Alukset_fx!$B$72,IF(Q660="RoPax",L660*Alukset_fx!$B$73,IF(Q660="Container ship",L660*Alukset_fx!$B$70,IF(Q660="Barge",0,L660*Alukset_fx!$B$75))))))))</f>
        <v>0</v>
      </c>
      <c r="S660" s="210">
        <f>IF(L660=0,IF(Q660="Other dry cargo",Alukset_fx!$H$73*(Alukset_Käynnit_Lask!K660^Alukset_fx!$I$73),IF(OR(Q660="Dry Bulk",Q660="Bulk carrier"),Alukset_fx!$H$71*(Alukset_Käynnit_Lask!K660^Alukset_fx!$I$71),IF(Q660="Tugboat",Alukset_fx!$H$78*(Alukset_Käynnit_Lask!K660^Alukset_fx!$I$78),IF(OR(Q660="Tanker",Q660="Gas tanker",Q660="Chemical tanker",Q660="Oil tanker"),Alukset_fx!$H$70*(Alukset_Käynnit_Lask!K660^Alukset_fx!$I$70),IF(Q660="Container ship",Alukset_fx!$H$72*(Alukset_Käynnit_Lask!K660^Alukset_fx!$I$72),IF(Q660="Barge",0,IF(Q660="RoPax",Alukset_fx!$H$75*(Alukset_Käynnit_Lask!K660^Alukset_fx!$I$75),IF(OR(Q660="RoRo",Q660="Vehicle carrier"),Alukset_fx!$H$74*(Alukset_Käynnit_Lask!K660^Alukset_fx!$I$74),Alukset_fx!$H$77*(Alukset_Käynnit_Lask!K660^Alukset_fx!$I$77))))))))),"-")</f>
        <v>0</v>
      </c>
      <c r="T660" s="208">
        <f>IF(R660=0,IF(Q660="Other dry cargo",S660*Alukset_fx!$B$71,IF(OR(Q660="Dry bulk",Q660="Bulk carrier"),S660*Alukset_fx!$B$69,IF(Q660="Tugboat",S660*Alukset_fx!$B$76,IF(OR(Q660="Tanker",Q660="Gas tanker",Q660="Chemical tanker",Q660="Oil tanker"),S660*Alukset_fx!$B$68,IF(OR(Q660="RoRo",Q660="Vehicle carrier"),S660*Alukset_fx!$B$72,IF(Q660="RoPax",S660*Alukset_fx!$B$73,IF(Q660="Container ship",S660*Alukset_fx!$B$70,S660*Alukset_fx!$B$75))))))),"-")</f>
        <v>0</v>
      </c>
      <c r="U660" s="208">
        <f t="shared" si="126"/>
        <v>0</v>
      </c>
      <c r="V660" s="208">
        <f t="shared" si="127"/>
        <v>0</v>
      </c>
      <c r="W660" s="202">
        <f>Alukset_Käynnit!N667</f>
        <v>0</v>
      </c>
      <c r="X660" s="211">
        <f>IF(Q660="Other dry cargo", Alukset_fx!$C$52, IF(OR(Q660="Dry bulk",Q660="Bulk carrier"),Alukset_fx!$C$35,IF(OR(Q660="Tanker",Q660="Gas tanker",Q660="Oil tanker"),Alukset_fx!$C$57,IF(Q660="Chemical tanker",Alukset_fx!$C$56,IF(OR(Q660="Tugboat",Q660="Barge"),0,IF(Q660="Other vessel",Alukset_fx!$C$54,IF(Q660="Container ship",Alukset_fx!$C$37,IF(OR(Q660="RoPax",Q660="RoRo",Q660="Vehicle carrier"),Alukset_fx!$C$55,0))))))))</f>
        <v>0</v>
      </c>
      <c r="Y660" s="211">
        <f>IF(Q660="Other dry cargo", Alukset_fx!$Q$52, IF(OR(Q660="Dry bulk",Q660="Bulk carrier"),Alukset_fx!$Q$35,IF(OR(Q660="Tanker",Q660="Gas tanker",Q660="Oil tanker"),Alukset_fx!$Q$57,IF(Q660="Chemical tanker",Alukset_fx!$Q$56,IF(OR(Q660="Tugboat",Q660="Barge"),0,IF(Q660="Other vessel",Alukset_fx!$Q$54,IF(Q660="Container ship",Alukset_fx!$Q$37,IF(OR(Q660="RoPax",Q660="RoRo",Q660="Vehicle carrier"),Alukset_fx!$Q$55,0))))))))</f>
        <v>0</v>
      </c>
      <c r="Z660" t="str">
        <f t="shared" si="128"/>
        <v>MDO/MGO</v>
      </c>
      <c r="AA660" t="str">
        <f t="shared" si="129"/>
        <v>MSD</v>
      </c>
      <c r="AB660" t="str">
        <f t="shared" si="130"/>
        <v>MDO/MGO</v>
      </c>
      <c r="AC660" t="str">
        <f t="shared" si="131"/>
        <v>MSD</v>
      </c>
      <c r="AD660" t="str">
        <f t="shared" si="132"/>
        <v>MDO/MGO</v>
      </c>
      <c r="AE660" t="str">
        <f t="shared" si="133"/>
        <v>ST</v>
      </c>
      <c r="AG660">
        <f>Alukset_Käynnit!O667</f>
        <v>0</v>
      </c>
      <c r="AH660" s="207">
        <f>IF(AA660="SSD",((U660*Alukset_fx!$B$24)*Alukset_Käynnit_Lask!W660*(Alukset_fx!$K$49)/1000),IF(AA660="MSD",((U660*Alukset_fx!$B$24)*Alukset_Käynnit_Lask!W660*(Alukset_fx!$K$52)/1000),IF(AA660="HSD",((U660*Alukset_fx!$B$24)*Alukset_Käynnit_Lask!W660*(Alukset_fx!$K$55)/1000),0)))</f>
        <v>0</v>
      </c>
      <c r="AI660" s="207">
        <f>IF(AC660="MSD",((V660*Alukset_fx!$B$25)*Alukset_Käynnit_Lask!W660*(Alukset_fx!$L$52)/1000),IF(AC660="HSD",((V660*Alukset_fx!$B$25)*Alukset_Käynnit_Lask!W660*(Alukset_fx!$L$55)/1000),0))</f>
        <v>0</v>
      </c>
      <c r="AJ660" s="207">
        <f>X660*W660*Alukset_fx!$K$61/1000</f>
        <v>0</v>
      </c>
      <c r="AK660">
        <v>0</v>
      </c>
      <c r="AL660" s="207">
        <f>IF(AG660="Käytetty",0,IF(AC660="MSD",((V660*Alukset_fx!$O$25)*Alukset_Käynnit_Lask!O660*(Alukset_fx!$L$52)/1000),IF(AC660="HSD",((V660*Alukset_fx!$O$25)*Alukset_Käynnit_Lask!O660*(Alukset_fx!$L$55)/1000),0)))</f>
        <v>0</v>
      </c>
      <c r="AM660" s="207">
        <f>IF(AG660="Käytetty",0,Y660*O660*Alukset_fx!$K$61/1000)</f>
        <v>0</v>
      </c>
      <c r="AN660" s="213">
        <f t="shared" si="134"/>
        <v>0</v>
      </c>
    </row>
    <row r="661" spans="1:40" x14ac:dyDescent="0.25">
      <c r="A661" s="203">
        <f>Alukset_Käynnit!A668</f>
        <v>0</v>
      </c>
      <c r="B661" s="203">
        <f>Alukset_Käynnit!B668</f>
        <v>0</v>
      </c>
      <c r="C661" s="262">
        <f>Alukset_Käynnit!C668</f>
        <v>0</v>
      </c>
      <c r="D661" s="266">
        <f>Alukset_Käynnit!D668</f>
        <v>0</v>
      </c>
      <c r="E661" s="262">
        <f>Alukset_Käynnit!E668</f>
        <v>0</v>
      </c>
      <c r="F661" s="262">
        <f>Alukset_Käynnit!F668</f>
        <v>0</v>
      </c>
      <c r="G661" s="262">
        <f>Alukset_Käynnit!G668</f>
        <v>0</v>
      </c>
      <c r="H661" s="262">
        <f>Alukset_Käynnit!H668</f>
        <v>0</v>
      </c>
      <c r="I661" s="262">
        <f>Alukset_Käynnit!I668</f>
        <v>0</v>
      </c>
      <c r="J661" s="262">
        <f>Alukset_Käynnit!J668</f>
        <v>0</v>
      </c>
      <c r="K661" s="262">
        <f>Alukset_Käynnit!K668</f>
        <v>0</v>
      </c>
      <c r="L661" s="205">
        <f>Alukset_Käynnit!L668</f>
        <v>0</v>
      </c>
      <c r="N661" s="273">
        <f t="shared" ref="N661:N701" si="135">(B661-A661)*1440</f>
        <v>0</v>
      </c>
      <c r="O661" s="274">
        <f t="shared" ref="O661:O701" si="136">N661/60</f>
        <v>0</v>
      </c>
      <c r="Q661" s="204">
        <f t="shared" si="125"/>
        <v>0</v>
      </c>
      <c r="R661" s="202">
        <f>IF(Q661="Other dry cargo",L661*Alukset_fx!$B$71,IF(OR(Q661="Dry bulk",Q661="Bulk carrier"),L661*Alukset_fx!$B$69,IF(Q661="Tugboat",L661*Alukset_fx!$B$76,IF(OR(Q661="Tanker",Q661="Gas tanker",Q661="Chemical tanker",Q661="Oil tanker"),L661*Alukset_fx!$B$68,IF(OR(Q661="RoRo",Q661="Vehicle carrier"),L661*Alukset_fx!$B$72,IF(Q661="RoPax",L661*Alukset_fx!$B$73,IF(Q661="Container ship",L661*Alukset_fx!$B$70,IF(Q661="Barge",0,L661*Alukset_fx!$B$75))))))))</f>
        <v>0</v>
      </c>
      <c r="S661" s="210">
        <f>IF(L661=0,IF(Q661="Other dry cargo",Alukset_fx!$H$73*(Alukset_Käynnit_Lask!K661^Alukset_fx!$I$73),IF(OR(Q661="Dry Bulk",Q661="Bulk carrier"),Alukset_fx!$H$71*(Alukset_Käynnit_Lask!K661^Alukset_fx!$I$71),IF(Q661="Tugboat",Alukset_fx!$H$78*(Alukset_Käynnit_Lask!K661^Alukset_fx!$I$78),IF(OR(Q661="Tanker",Q661="Gas tanker",Q661="Chemical tanker",Q661="Oil tanker"),Alukset_fx!$H$70*(Alukset_Käynnit_Lask!K661^Alukset_fx!$I$70),IF(Q661="Container ship",Alukset_fx!$H$72*(Alukset_Käynnit_Lask!K661^Alukset_fx!$I$72),IF(Q661="Barge",0,IF(Q661="RoPax",Alukset_fx!$H$75*(Alukset_Käynnit_Lask!K661^Alukset_fx!$I$75),IF(OR(Q661="RoRo",Q661="Vehicle carrier"),Alukset_fx!$H$74*(Alukset_Käynnit_Lask!K661^Alukset_fx!$I$74),Alukset_fx!$H$77*(Alukset_Käynnit_Lask!K661^Alukset_fx!$I$77))))))))),"-")</f>
        <v>0</v>
      </c>
      <c r="T661" s="208">
        <f>IF(R661=0,IF(Q661="Other dry cargo",S661*Alukset_fx!$B$71,IF(OR(Q661="Dry bulk",Q661="Bulk carrier"),S661*Alukset_fx!$B$69,IF(Q661="Tugboat",S661*Alukset_fx!$B$76,IF(OR(Q661="Tanker",Q661="Gas tanker",Q661="Chemical tanker",Q661="Oil tanker"),S661*Alukset_fx!$B$68,IF(OR(Q661="RoRo",Q661="Vehicle carrier"),S661*Alukset_fx!$B$72,IF(Q661="RoPax",S661*Alukset_fx!$B$73,IF(Q661="Container ship",S661*Alukset_fx!$B$70,S661*Alukset_fx!$B$75))))))),"-")</f>
        <v>0</v>
      </c>
      <c r="U661" s="208">
        <f t="shared" si="126"/>
        <v>0</v>
      </c>
      <c r="V661" s="208">
        <f t="shared" si="127"/>
        <v>0</v>
      </c>
      <c r="W661" s="202">
        <f>Alukset_Käynnit!N668</f>
        <v>0</v>
      </c>
      <c r="X661" s="211">
        <f>IF(Q661="Other dry cargo", Alukset_fx!$C$52, IF(OR(Q661="Dry bulk",Q661="Bulk carrier"),Alukset_fx!$C$35,IF(OR(Q661="Tanker",Q661="Gas tanker",Q661="Oil tanker"),Alukset_fx!$C$57,IF(Q661="Chemical tanker",Alukset_fx!$C$56,IF(OR(Q661="Tugboat",Q661="Barge"),0,IF(Q661="Other vessel",Alukset_fx!$C$54,IF(Q661="Container ship",Alukset_fx!$C$37,IF(OR(Q661="RoPax",Q661="RoRo",Q661="Vehicle carrier"),Alukset_fx!$C$55,0))))))))</f>
        <v>0</v>
      </c>
      <c r="Y661" s="211">
        <f>IF(Q661="Other dry cargo", Alukset_fx!$Q$52, IF(OR(Q661="Dry bulk",Q661="Bulk carrier"),Alukset_fx!$Q$35,IF(OR(Q661="Tanker",Q661="Gas tanker",Q661="Oil tanker"),Alukset_fx!$Q$57,IF(Q661="Chemical tanker",Alukset_fx!$Q$56,IF(OR(Q661="Tugboat",Q661="Barge"),0,IF(Q661="Other vessel",Alukset_fx!$Q$54,IF(Q661="Container ship",Alukset_fx!$Q$37,IF(OR(Q661="RoPax",Q661="RoRo",Q661="Vehicle carrier"),Alukset_fx!$Q$55,0))))))))</f>
        <v>0</v>
      </c>
      <c r="Z661" t="str">
        <f t="shared" si="128"/>
        <v>MDO/MGO</v>
      </c>
      <c r="AA661" t="str">
        <f t="shared" si="129"/>
        <v>MSD</v>
      </c>
      <c r="AB661" t="str">
        <f t="shared" si="130"/>
        <v>MDO/MGO</v>
      </c>
      <c r="AC661" t="str">
        <f t="shared" si="131"/>
        <v>MSD</v>
      </c>
      <c r="AD661" t="str">
        <f t="shared" si="132"/>
        <v>MDO/MGO</v>
      </c>
      <c r="AE661" t="str">
        <f t="shared" si="133"/>
        <v>ST</v>
      </c>
      <c r="AG661">
        <f>Alukset_Käynnit!O668</f>
        <v>0</v>
      </c>
      <c r="AH661" s="207">
        <f>IF(AA661="SSD",((U661*Alukset_fx!$B$24)*Alukset_Käynnit_Lask!W661*(Alukset_fx!$K$49)/1000),IF(AA661="MSD",((U661*Alukset_fx!$B$24)*Alukset_Käynnit_Lask!W661*(Alukset_fx!$K$52)/1000),IF(AA661="HSD",((U661*Alukset_fx!$B$24)*Alukset_Käynnit_Lask!W661*(Alukset_fx!$K$55)/1000),0)))</f>
        <v>0</v>
      </c>
      <c r="AI661" s="207">
        <f>IF(AC661="MSD",((V661*Alukset_fx!$B$25)*Alukset_Käynnit_Lask!W661*(Alukset_fx!$L$52)/1000),IF(AC661="HSD",((V661*Alukset_fx!$B$25)*Alukset_Käynnit_Lask!W661*(Alukset_fx!$L$55)/1000),0))</f>
        <v>0</v>
      </c>
      <c r="AJ661" s="207">
        <f>X661*W661*Alukset_fx!$K$61/1000</f>
        <v>0</v>
      </c>
      <c r="AK661">
        <v>0</v>
      </c>
      <c r="AL661" s="207">
        <f>IF(AG661="Käytetty",0,IF(AC661="MSD",((V661*Alukset_fx!$O$25)*Alukset_Käynnit_Lask!O661*(Alukset_fx!$L$52)/1000),IF(AC661="HSD",((V661*Alukset_fx!$O$25)*Alukset_Käynnit_Lask!O661*(Alukset_fx!$L$55)/1000),0)))</f>
        <v>0</v>
      </c>
      <c r="AM661" s="207">
        <f>IF(AG661="Käytetty",0,Y661*O661*Alukset_fx!$K$61/1000)</f>
        <v>0</v>
      </c>
      <c r="AN661" s="213">
        <f t="shared" si="134"/>
        <v>0</v>
      </c>
    </row>
    <row r="662" spans="1:40" x14ac:dyDescent="0.25">
      <c r="A662" s="203">
        <f>Alukset_Käynnit!A669</f>
        <v>0</v>
      </c>
      <c r="B662" s="203">
        <f>Alukset_Käynnit!B669</f>
        <v>0</v>
      </c>
      <c r="C662" s="262">
        <f>Alukset_Käynnit!C669</f>
        <v>0</v>
      </c>
      <c r="D662" s="266">
        <f>Alukset_Käynnit!D669</f>
        <v>0</v>
      </c>
      <c r="E662" s="262">
        <f>Alukset_Käynnit!E669</f>
        <v>0</v>
      </c>
      <c r="F662" s="262">
        <f>Alukset_Käynnit!F669</f>
        <v>0</v>
      </c>
      <c r="G662" s="262">
        <f>Alukset_Käynnit!G669</f>
        <v>0</v>
      </c>
      <c r="H662" s="262">
        <f>Alukset_Käynnit!H669</f>
        <v>0</v>
      </c>
      <c r="I662" s="262">
        <f>Alukset_Käynnit!I669</f>
        <v>0</v>
      </c>
      <c r="J662" s="262">
        <f>Alukset_Käynnit!J669</f>
        <v>0</v>
      </c>
      <c r="K662" s="262">
        <f>Alukset_Käynnit!K669</f>
        <v>0</v>
      </c>
      <c r="L662" s="205">
        <f>Alukset_Käynnit!L669</f>
        <v>0</v>
      </c>
      <c r="N662" s="273">
        <f t="shared" si="135"/>
        <v>0</v>
      </c>
      <c r="O662" s="274">
        <f t="shared" si="136"/>
        <v>0</v>
      </c>
      <c r="Q662" s="204">
        <f t="shared" si="125"/>
        <v>0</v>
      </c>
      <c r="R662" s="202">
        <f>IF(Q662="Other dry cargo",L662*Alukset_fx!$B$71,IF(OR(Q662="Dry bulk",Q662="Bulk carrier"),L662*Alukset_fx!$B$69,IF(Q662="Tugboat",L662*Alukset_fx!$B$76,IF(OR(Q662="Tanker",Q662="Gas tanker",Q662="Chemical tanker",Q662="Oil tanker"),L662*Alukset_fx!$B$68,IF(OR(Q662="RoRo",Q662="Vehicle carrier"),L662*Alukset_fx!$B$72,IF(Q662="RoPax",L662*Alukset_fx!$B$73,IF(Q662="Container ship",L662*Alukset_fx!$B$70,IF(Q662="Barge",0,L662*Alukset_fx!$B$75))))))))</f>
        <v>0</v>
      </c>
      <c r="S662" s="210">
        <f>IF(L662=0,IF(Q662="Other dry cargo",Alukset_fx!$H$73*(Alukset_Käynnit_Lask!K662^Alukset_fx!$I$73),IF(OR(Q662="Dry Bulk",Q662="Bulk carrier"),Alukset_fx!$H$71*(Alukset_Käynnit_Lask!K662^Alukset_fx!$I$71),IF(Q662="Tugboat",Alukset_fx!$H$78*(Alukset_Käynnit_Lask!K662^Alukset_fx!$I$78),IF(OR(Q662="Tanker",Q662="Gas tanker",Q662="Chemical tanker",Q662="Oil tanker"),Alukset_fx!$H$70*(Alukset_Käynnit_Lask!K662^Alukset_fx!$I$70),IF(Q662="Container ship",Alukset_fx!$H$72*(Alukset_Käynnit_Lask!K662^Alukset_fx!$I$72),IF(Q662="Barge",0,IF(Q662="RoPax",Alukset_fx!$H$75*(Alukset_Käynnit_Lask!K662^Alukset_fx!$I$75),IF(OR(Q662="RoRo",Q662="Vehicle carrier"),Alukset_fx!$H$74*(Alukset_Käynnit_Lask!K662^Alukset_fx!$I$74),Alukset_fx!$H$77*(Alukset_Käynnit_Lask!K662^Alukset_fx!$I$77))))))))),"-")</f>
        <v>0</v>
      </c>
      <c r="T662" s="208">
        <f>IF(R662=0,IF(Q662="Other dry cargo",S662*Alukset_fx!$B$71,IF(OR(Q662="Dry bulk",Q662="Bulk carrier"),S662*Alukset_fx!$B$69,IF(Q662="Tugboat",S662*Alukset_fx!$B$76,IF(OR(Q662="Tanker",Q662="Gas tanker",Q662="Chemical tanker",Q662="Oil tanker"),S662*Alukset_fx!$B$68,IF(OR(Q662="RoRo",Q662="Vehicle carrier"),S662*Alukset_fx!$B$72,IF(Q662="RoPax",S662*Alukset_fx!$B$73,IF(Q662="Container ship",S662*Alukset_fx!$B$70,S662*Alukset_fx!$B$75))))))),"-")</f>
        <v>0</v>
      </c>
      <c r="U662" s="208">
        <f t="shared" si="126"/>
        <v>0</v>
      </c>
      <c r="V662" s="208">
        <f t="shared" si="127"/>
        <v>0</v>
      </c>
      <c r="W662" s="202">
        <f>Alukset_Käynnit!N669</f>
        <v>0</v>
      </c>
      <c r="X662" s="211">
        <f>IF(Q662="Other dry cargo", Alukset_fx!$C$52, IF(OR(Q662="Dry bulk",Q662="Bulk carrier"),Alukset_fx!$C$35,IF(OR(Q662="Tanker",Q662="Gas tanker",Q662="Oil tanker"),Alukset_fx!$C$57,IF(Q662="Chemical tanker",Alukset_fx!$C$56,IF(OR(Q662="Tugboat",Q662="Barge"),0,IF(Q662="Other vessel",Alukset_fx!$C$54,IF(Q662="Container ship",Alukset_fx!$C$37,IF(OR(Q662="RoPax",Q662="RoRo",Q662="Vehicle carrier"),Alukset_fx!$C$55,0))))))))</f>
        <v>0</v>
      </c>
      <c r="Y662" s="211">
        <f>IF(Q662="Other dry cargo", Alukset_fx!$Q$52, IF(OR(Q662="Dry bulk",Q662="Bulk carrier"),Alukset_fx!$Q$35,IF(OR(Q662="Tanker",Q662="Gas tanker",Q662="Oil tanker"),Alukset_fx!$Q$57,IF(Q662="Chemical tanker",Alukset_fx!$Q$56,IF(OR(Q662="Tugboat",Q662="Barge"),0,IF(Q662="Other vessel",Alukset_fx!$Q$54,IF(Q662="Container ship",Alukset_fx!$Q$37,IF(OR(Q662="RoPax",Q662="RoRo",Q662="Vehicle carrier"),Alukset_fx!$Q$55,0))))))))</f>
        <v>0</v>
      </c>
      <c r="Z662" t="str">
        <f t="shared" si="128"/>
        <v>MDO/MGO</v>
      </c>
      <c r="AA662" t="str">
        <f t="shared" si="129"/>
        <v>MSD</v>
      </c>
      <c r="AB662" t="str">
        <f t="shared" si="130"/>
        <v>MDO/MGO</v>
      </c>
      <c r="AC662" t="str">
        <f t="shared" si="131"/>
        <v>MSD</v>
      </c>
      <c r="AD662" t="str">
        <f t="shared" si="132"/>
        <v>MDO/MGO</v>
      </c>
      <c r="AE662" t="str">
        <f t="shared" si="133"/>
        <v>ST</v>
      </c>
      <c r="AG662">
        <f>Alukset_Käynnit!O669</f>
        <v>0</v>
      </c>
      <c r="AH662" s="207">
        <f>IF(AA662="SSD",((U662*Alukset_fx!$B$24)*Alukset_Käynnit_Lask!W662*(Alukset_fx!$K$49)/1000),IF(AA662="MSD",((U662*Alukset_fx!$B$24)*Alukset_Käynnit_Lask!W662*(Alukset_fx!$K$52)/1000),IF(AA662="HSD",((U662*Alukset_fx!$B$24)*Alukset_Käynnit_Lask!W662*(Alukset_fx!$K$55)/1000),0)))</f>
        <v>0</v>
      </c>
      <c r="AI662" s="207">
        <f>IF(AC662="MSD",((V662*Alukset_fx!$B$25)*Alukset_Käynnit_Lask!W662*(Alukset_fx!$L$52)/1000),IF(AC662="HSD",((V662*Alukset_fx!$B$25)*Alukset_Käynnit_Lask!W662*(Alukset_fx!$L$55)/1000),0))</f>
        <v>0</v>
      </c>
      <c r="AJ662" s="207">
        <f>X662*W662*Alukset_fx!$K$61/1000</f>
        <v>0</v>
      </c>
      <c r="AK662">
        <v>0</v>
      </c>
      <c r="AL662" s="207">
        <f>IF(AG662="Käytetty",0,IF(AC662="MSD",((V662*Alukset_fx!$O$25)*Alukset_Käynnit_Lask!O662*(Alukset_fx!$L$52)/1000),IF(AC662="HSD",((V662*Alukset_fx!$O$25)*Alukset_Käynnit_Lask!O662*(Alukset_fx!$L$55)/1000),0)))</f>
        <v>0</v>
      </c>
      <c r="AM662" s="207">
        <f>IF(AG662="Käytetty",0,Y662*O662*Alukset_fx!$K$61/1000)</f>
        <v>0</v>
      </c>
      <c r="AN662" s="213">
        <f t="shared" si="134"/>
        <v>0</v>
      </c>
    </row>
    <row r="663" spans="1:40" x14ac:dyDescent="0.25">
      <c r="A663" s="203">
        <f>Alukset_Käynnit!A670</f>
        <v>0</v>
      </c>
      <c r="B663" s="203">
        <f>Alukset_Käynnit!B670</f>
        <v>0</v>
      </c>
      <c r="C663" s="262">
        <f>Alukset_Käynnit!C670</f>
        <v>0</v>
      </c>
      <c r="D663" s="266">
        <f>Alukset_Käynnit!D670</f>
        <v>0</v>
      </c>
      <c r="E663" s="262">
        <f>Alukset_Käynnit!E670</f>
        <v>0</v>
      </c>
      <c r="F663" s="262">
        <f>Alukset_Käynnit!F670</f>
        <v>0</v>
      </c>
      <c r="G663" s="262">
        <f>Alukset_Käynnit!G670</f>
        <v>0</v>
      </c>
      <c r="H663" s="262">
        <f>Alukset_Käynnit!H670</f>
        <v>0</v>
      </c>
      <c r="I663" s="262">
        <f>Alukset_Käynnit!I670</f>
        <v>0</v>
      </c>
      <c r="J663" s="262">
        <f>Alukset_Käynnit!J670</f>
        <v>0</v>
      </c>
      <c r="K663" s="262">
        <f>Alukset_Käynnit!K670</f>
        <v>0</v>
      </c>
      <c r="L663" s="205">
        <f>Alukset_Käynnit!L670</f>
        <v>0</v>
      </c>
      <c r="N663" s="273">
        <f t="shared" si="135"/>
        <v>0</v>
      </c>
      <c r="O663" s="274">
        <f t="shared" si="136"/>
        <v>0</v>
      </c>
      <c r="Q663" s="204">
        <f t="shared" si="125"/>
        <v>0</v>
      </c>
      <c r="R663" s="202">
        <f>IF(Q663="Other dry cargo",L663*Alukset_fx!$B$71,IF(OR(Q663="Dry bulk",Q663="Bulk carrier"),L663*Alukset_fx!$B$69,IF(Q663="Tugboat",L663*Alukset_fx!$B$76,IF(OR(Q663="Tanker",Q663="Gas tanker",Q663="Chemical tanker",Q663="Oil tanker"),L663*Alukset_fx!$B$68,IF(OR(Q663="RoRo",Q663="Vehicle carrier"),L663*Alukset_fx!$B$72,IF(Q663="RoPax",L663*Alukset_fx!$B$73,IF(Q663="Container ship",L663*Alukset_fx!$B$70,IF(Q663="Barge",0,L663*Alukset_fx!$B$75))))))))</f>
        <v>0</v>
      </c>
      <c r="S663" s="210">
        <f>IF(L663=0,IF(Q663="Other dry cargo",Alukset_fx!$H$73*(Alukset_Käynnit_Lask!K663^Alukset_fx!$I$73),IF(OR(Q663="Dry Bulk",Q663="Bulk carrier"),Alukset_fx!$H$71*(Alukset_Käynnit_Lask!K663^Alukset_fx!$I$71),IF(Q663="Tugboat",Alukset_fx!$H$78*(Alukset_Käynnit_Lask!K663^Alukset_fx!$I$78),IF(OR(Q663="Tanker",Q663="Gas tanker",Q663="Chemical tanker",Q663="Oil tanker"),Alukset_fx!$H$70*(Alukset_Käynnit_Lask!K663^Alukset_fx!$I$70),IF(Q663="Container ship",Alukset_fx!$H$72*(Alukset_Käynnit_Lask!K663^Alukset_fx!$I$72),IF(Q663="Barge",0,IF(Q663="RoPax",Alukset_fx!$H$75*(Alukset_Käynnit_Lask!K663^Alukset_fx!$I$75),IF(OR(Q663="RoRo",Q663="Vehicle carrier"),Alukset_fx!$H$74*(Alukset_Käynnit_Lask!K663^Alukset_fx!$I$74),Alukset_fx!$H$77*(Alukset_Käynnit_Lask!K663^Alukset_fx!$I$77))))))))),"-")</f>
        <v>0</v>
      </c>
      <c r="T663" s="208">
        <f>IF(R663=0,IF(Q663="Other dry cargo",S663*Alukset_fx!$B$71,IF(OR(Q663="Dry bulk",Q663="Bulk carrier"),S663*Alukset_fx!$B$69,IF(Q663="Tugboat",S663*Alukset_fx!$B$76,IF(OR(Q663="Tanker",Q663="Gas tanker",Q663="Chemical tanker",Q663="Oil tanker"),S663*Alukset_fx!$B$68,IF(OR(Q663="RoRo",Q663="Vehicle carrier"),S663*Alukset_fx!$B$72,IF(Q663="RoPax",S663*Alukset_fx!$B$73,IF(Q663="Container ship",S663*Alukset_fx!$B$70,S663*Alukset_fx!$B$75))))))),"-")</f>
        <v>0</v>
      </c>
      <c r="U663" s="208">
        <f t="shared" si="126"/>
        <v>0</v>
      </c>
      <c r="V663" s="208">
        <f t="shared" si="127"/>
        <v>0</v>
      </c>
      <c r="W663" s="202">
        <f>Alukset_Käynnit!N670</f>
        <v>0</v>
      </c>
      <c r="X663" s="211">
        <f>IF(Q663="Other dry cargo", Alukset_fx!$C$52, IF(OR(Q663="Dry bulk",Q663="Bulk carrier"),Alukset_fx!$C$35,IF(OR(Q663="Tanker",Q663="Gas tanker",Q663="Oil tanker"),Alukset_fx!$C$57,IF(Q663="Chemical tanker",Alukset_fx!$C$56,IF(OR(Q663="Tugboat",Q663="Barge"),0,IF(Q663="Other vessel",Alukset_fx!$C$54,IF(Q663="Container ship",Alukset_fx!$C$37,IF(OR(Q663="RoPax",Q663="RoRo",Q663="Vehicle carrier"),Alukset_fx!$C$55,0))))))))</f>
        <v>0</v>
      </c>
      <c r="Y663" s="211">
        <f>IF(Q663="Other dry cargo", Alukset_fx!$Q$52, IF(OR(Q663="Dry bulk",Q663="Bulk carrier"),Alukset_fx!$Q$35,IF(OR(Q663="Tanker",Q663="Gas tanker",Q663="Oil tanker"),Alukset_fx!$Q$57,IF(Q663="Chemical tanker",Alukset_fx!$Q$56,IF(OR(Q663="Tugboat",Q663="Barge"),0,IF(Q663="Other vessel",Alukset_fx!$Q$54,IF(Q663="Container ship",Alukset_fx!$Q$37,IF(OR(Q663="RoPax",Q663="RoRo",Q663="Vehicle carrier"),Alukset_fx!$Q$55,0))))))))</f>
        <v>0</v>
      </c>
      <c r="Z663" t="str">
        <f t="shared" si="128"/>
        <v>MDO/MGO</v>
      </c>
      <c r="AA663" t="str">
        <f t="shared" si="129"/>
        <v>MSD</v>
      </c>
      <c r="AB663" t="str">
        <f t="shared" si="130"/>
        <v>MDO/MGO</v>
      </c>
      <c r="AC663" t="str">
        <f t="shared" si="131"/>
        <v>MSD</v>
      </c>
      <c r="AD663" t="str">
        <f t="shared" si="132"/>
        <v>MDO/MGO</v>
      </c>
      <c r="AE663" t="str">
        <f t="shared" si="133"/>
        <v>ST</v>
      </c>
      <c r="AG663">
        <f>Alukset_Käynnit!O670</f>
        <v>0</v>
      </c>
      <c r="AH663" s="207">
        <f>IF(AA663="SSD",((U663*Alukset_fx!$B$24)*Alukset_Käynnit_Lask!W663*(Alukset_fx!$K$49)/1000),IF(AA663="MSD",((U663*Alukset_fx!$B$24)*Alukset_Käynnit_Lask!W663*(Alukset_fx!$K$52)/1000),IF(AA663="HSD",((U663*Alukset_fx!$B$24)*Alukset_Käynnit_Lask!W663*(Alukset_fx!$K$55)/1000),0)))</f>
        <v>0</v>
      </c>
      <c r="AI663" s="207">
        <f>IF(AC663="MSD",((V663*Alukset_fx!$B$25)*Alukset_Käynnit_Lask!W663*(Alukset_fx!$L$52)/1000),IF(AC663="HSD",((V663*Alukset_fx!$B$25)*Alukset_Käynnit_Lask!W663*(Alukset_fx!$L$55)/1000),0))</f>
        <v>0</v>
      </c>
      <c r="AJ663" s="207">
        <f>X663*W663*Alukset_fx!$K$61/1000</f>
        <v>0</v>
      </c>
      <c r="AK663">
        <v>0</v>
      </c>
      <c r="AL663" s="207">
        <f>IF(AG663="Käytetty",0,IF(AC663="MSD",((V663*Alukset_fx!$O$25)*Alukset_Käynnit_Lask!O663*(Alukset_fx!$L$52)/1000),IF(AC663="HSD",((V663*Alukset_fx!$O$25)*Alukset_Käynnit_Lask!O663*(Alukset_fx!$L$55)/1000),0)))</f>
        <v>0</v>
      </c>
      <c r="AM663" s="207">
        <f>IF(AG663="Käytetty",0,Y663*O663*Alukset_fx!$K$61/1000)</f>
        <v>0</v>
      </c>
      <c r="AN663" s="213">
        <f t="shared" si="134"/>
        <v>0</v>
      </c>
    </row>
    <row r="664" spans="1:40" x14ac:dyDescent="0.25">
      <c r="A664" s="203">
        <f>Alukset_Käynnit!A671</f>
        <v>0</v>
      </c>
      <c r="B664" s="203">
        <f>Alukset_Käynnit!B671</f>
        <v>0</v>
      </c>
      <c r="C664" s="262">
        <f>Alukset_Käynnit!C671</f>
        <v>0</v>
      </c>
      <c r="D664" s="266">
        <f>Alukset_Käynnit!D671</f>
        <v>0</v>
      </c>
      <c r="E664" s="262">
        <f>Alukset_Käynnit!E671</f>
        <v>0</v>
      </c>
      <c r="F664" s="262">
        <f>Alukset_Käynnit!F671</f>
        <v>0</v>
      </c>
      <c r="G664" s="262">
        <f>Alukset_Käynnit!G671</f>
        <v>0</v>
      </c>
      <c r="H664" s="262">
        <f>Alukset_Käynnit!H671</f>
        <v>0</v>
      </c>
      <c r="I664" s="262">
        <f>Alukset_Käynnit!I671</f>
        <v>0</v>
      </c>
      <c r="J664" s="262">
        <f>Alukset_Käynnit!J671</f>
        <v>0</v>
      </c>
      <c r="K664" s="262">
        <f>Alukset_Käynnit!K671</f>
        <v>0</v>
      </c>
      <c r="L664" s="205">
        <f>Alukset_Käynnit!L671</f>
        <v>0</v>
      </c>
      <c r="N664" s="273">
        <f t="shared" si="135"/>
        <v>0</v>
      </c>
      <c r="O664" s="274">
        <f t="shared" si="136"/>
        <v>0</v>
      </c>
      <c r="Q664" s="204">
        <f t="shared" si="125"/>
        <v>0</v>
      </c>
      <c r="R664" s="202">
        <f>IF(Q664="Other dry cargo",L664*Alukset_fx!$B$71,IF(OR(Q664="Dry bulk",Q664="Bulk carrier"),L664*Alukset_fx!$B$69,IF(Q664="Tugboat",L664*Alukset_fx!$B$76,IF(OR(Q664="Tanker",Q664="Gas tanker",Q664="Chemical tanker",Q664="Oil tanker"),L664*Alukset_fx!$B$68,IF(OR(Q664="RoRo",Q664="Vehicle carrier"),L664*Alukset_fx!$B$72,IF(Q664="RoPax",L664*Alukset_fx!$B$73,IF(Q664="Container ship",L664*Alukset_fx!$B$70,IF(Q664="Barge",0,L664*Alukset_fx!$B$75))))))))</f>
        <v>0</v>
      </c>
      <c r="S664" s="210">
        <f>IF(L664=0,IF(Q664="Other dry cargo",Alukset_fx!$H$73*(Alukset_Käynnit_Lask!K664^Alukset_fx!$I$73),IF(OR(Q664="Dry Bulk",Q664="Bulk carrier"),Alukset_fx!$H$71*(Alukset_Käynnit_Lask!K664^Alukset_fx!$I$71),IF(Q664="Tugboat",Alukset_fx!$H$78*(Alukset_Käynnit_Lask!K664^Alukset_fx!$I$78),IF(OR(Q664="Tanker",Q664="Gas tanker",Q664="Chemical tanker",Q664="Oil tanker"),Alukset_fx!$H$70*(Alukset_Käynnit_Lask!K664^Alukset_fx!$I$70),IF(Q664="Container ship",Alukset_fx!$H$72*(Alukset_Käynnit_Lask!K664^Alukset_fx!$I$72),IF(Q664="Barge",0,IF(Q664="RoPax",Alukset_fx!$H$75*(Alukset_Käynnit_Lask!K664^Alukset_fx!$I$75),IF(OR(Q664="RoRo",Q664="Vehicle carrier"),Alukset_fx!$H$74*(Alukset_Käynnit_Lask!K664^Alukset_fx!$I$74),Alukset_fx!$H$77*(Alukset_Käynnit_Lask!K664^Alukset_fx!$I$77))))))))),"-")</f>
        <v>0</v>
      </c>
      <c r="T664" s="208">
        <f>IF(R664=0,IF(Q664="Other dry cargo",S664*Alukset_fx!$B$71,IF(OR(Q664="Dry bulk",Q664="Bulk carrier"),S664*Alukset_fx!$B$69,IF(Q664="Tugboat",S664*Alukset_fx!$B$76,IF(OR(Q664="Tanker",Q664="Gas tanker",Q664="Chemical tanker",Q664="Oil tanker"),S664*Alukset_fx!$B$68,IF(OR(Q664="RoRo",Q664="Vehicle carrier"),S664*Alukset_fx!$B$72,IF(Q664="RoPax",S664*Alukset_fx!$B$73,IF(Q664="Container ship",S664*Alukset_fx!$B$70,S664*Alukset_fx!$B$75))))))),"-")</f>
        <v>0</v>
      </c>
      <c r="U664" s="208">
        <f t="shared" si="126"/>
        <v>0</v>
      </c>
      <c r="V664" s="208">
        <f t="shared" si="127"/>
        <v>0</v>
      </c>
      <c r="W664" s="202">
        <f>Alukset_Käynnit!N671</f>
        <v>0</v>
      </c>
      <c r="X664" s="211">
        <f>IF(Q664="Other dry cargo", Alukset_fx!$C$52, IF(OR(Q664="Dry bulk",Q664="Bulk carrier"),Alukset_fx!$C$35,IF(OR(Q664="Tanker",Q664="Gas tanker",Q664="Oil tanker"),Alukset_fx!$C$57,IF(Q664="Chemical tanker",Alukset_fx!$C$56,IF(OR(Q664="Tugboat",Q664="Barge"),0,IF(Q664="Other vessel",Alukset_fx!$C$54,IF(Q664="Container ship",Alukset_fx!$C$37,IF(OR(Q664="RoPax",Q664="RoRo",Q664="Vehicle carrier"),Alukset_fx!$C$55,0))))))))</f>
        <v>0</v>
      </c>
      <c r="Y664" s="211">
        <f>IF(Q664="Other dry cargo", Alukset_fx!$Q$52, IF(OR(Q664="Dry bulk",Q664="Bulk carrier"),Alukset_fx!$Q$35,IF(OR(Q664="Tanker",Q664="Gas tanker",Q664="Oil tanker"),Alukset_fx!$Q$57,IF(Q664="Chemical tanker",Alukset_fx!$Q$56,IF(OR(Q664="Tugboat",Q664="Barge"),0,IF(Q664="Other vessel",Alukset_fx!$Q$54,IF(Q664="Container ship",Alukset_fx!$Q$37,IF(OR(Q664="RoPax",Q664="RoRo",Q664="Vehicle carrier"),Alukset_fx!$Q$55,0))))))))</f>
        <v>0</v>
      </c>
      <c r="Z664" t="str">
        <f t="shared" si="128"/>
        <v>MDO/MGO</v>
      </c>
      <c r="AA664" t="str">
        <f t="shared" si="129"/>
        <v>MSD</v>
      </c>
      <c r="AB664" t="str">
        <f t="shared" si="130"/>
        <v>MDO/MGO</v>
      </c>
      <c r="AC664" t="str">
        <f t="shared" si="131"/>
        <v>MSD</v>
      </c>
      <c r="AD664" t="str">
        <f t="shared" si="132"/>
        <v>MDO/MGO</v>
      </c>
      <c r="AE664" t="str">
        <f t="shared" si="133"/>
        <v>ST</v>
      </c>
      <c r="AG664">
        <f>Alukset_Käynnit!O671</f>
        <v>0</v>
      </c>
      <c r="AH664" s="207">
        <f>IF(AA664="SSD",((U664*Alukset_fx!$B$24)*Alukset_Käynnit_Lask!W664*(Alukset_fx!$K$49)/1000),IF(AA664="MSD",((U664*Alukset_fx!$B$24)*Alukset_Käynnit_Lask!W664*(Alukset_fx!$K$52)/1000),IF(AA664="HSD",((U664*Alukset_fx!$B$24)*Alukset_Käynnit_Lask!W664*(Alukset_fx!$K$55)/1000),0)))</f>
        <v>0</v>
      </c>
      <c r="AI664" s="207">
        <f>IF(AC664="MSD",((V664*Alukset_fx!$B$25)*Alukset_Käynnit_Lask!W664*(Alukset_fx!$L$52)/1000),IF(AC664="HSD",((V664*Alukset_fx!$B$25)*Alukset_Käynnit_Lask!W664*(Alukset_fx!$L$55)/1000),0))</f>
        <v>0</v>
      </c>
      <c r="AJ664" s="207">
        <f>X664*W664*Alukset_fx!$K$61/1000</f>
        <v>0</v>
      </c>
      <c r="AK664">
        <v>0</v>
      </c>
      <c r="AL664" s="207">
        <f>IF(AG664="Käytetty",0,IF(AC664="MSD",((V664*Alukset_fx!$O$25)*Alukset_Käynnit_Lask!O664*(Alukset_fx!$L$52)/1000),IF(AC664="HSD",((V664*Alukset_fx!$O$25)*Alukset_Käynnit_Lask!O664*(Alukset_fx!$L$55)/1000),0)))</f>
        <v>0</v>
      </c>
      <c r="AM664" s="207">
        <f>IF(AG664="Käytetty",0,Y664*O664*Alukset_fx!$K$61/1000)</f>
        <v>0</v>
      </c>
      <c r="AN664" s="213">
        <f t="shared" si="134"/>
        <v>0</v>
      </c>
    </row>
    <row r="665" spans="1:40" x14ac:dyDescent="0.25">
      <c r="A665" s="203">
        <f>Alukset_Käynnit!A672</f>
        <v>0</v>
      </c>
      <c r="B665" s="203">
        <f>Alukset_Käynnit!B672</f>
        <v>0</v>
      </c>
      <c r="C665" s="262">
        <f>Alukset_Käynnit!C672</f>
        <v>0</v>
      </c>
      <c r="D665" s="266">
        <f>Alukset_Käynnit!D672</f>
        <v>0</v>
      </c>
      <c r="E665" s="262">
        <f>Alukset_Käynnit!E672</f>
        <v>0</v>
      </c>
      <c r="F665" s="262">
        <f>Alukset_Käynnit!F672</f>
        <v>0</v>
      </c>
      <c r="G665" s="262">
        <f>Alukset_Käynnit!G672</f>
        <v>0</v>
      </c>
      <c r="H665" s="262">
        <f>Alukset_Käynnit!H672</f>
        <v>0</v>
      </c>
      <c r="I665" s="262">
        <f>Alukset_Käynnit!I672</f>
        <v>0</v>
      </c>
      <c r="J665" s="262">
        <f>Alukset_Käynnit!J672</f>
        <v>0</v>
      </c>
      <c r="K665" s="262">
        <f>Alukset_Käynnit!K672</f>
        <v>0</v>
      </c>
      <c r="L665" s="205">
        <f>Alukset_Käynnit!L672</f>
        <v>0</v>
      </c>
      <c r="N665" s="273">
        <f t="shared" si="135"/>
        <v>0</v>
      </c>
      <c r="O665" s="274">
        <f t="shared" si="136"/>
        <v>0</v>
      </c>
      <c r="Q665" s="204">
        <f t="shared" si="125"/>
        <v>0</v>
      </c>
      <c r="R665" s="202">
        <f>IF(Q665="Other dry cargo",L665*Alukset_fx!$B$71,IF(OR(Q665="Dry bulk",Q665="Bulk carrier"),L665*Alukset_fx!$B$69,IF(Q665="Tugboat",L665*Alukset_fx!$B$76,IF(OR(Q665="Tanker",Q665="Gas tanker",Q665="Chemical tanker",Q665="Oil tanker"),L665*Alukset_fx!$B$68,IF(OR(Q665="RoRo",Q665="Vehicle carrier"),L665*Alukset_fx!$B$72,IF(Q665="RoPax",L665*Alukset_fx!$B$73,IF(Q665="Container ship",L665*Alukset_fx!$B$70,IF(Q665="Barge",0,L665*Alukset_fx!$B$75))))))))</f>
        <v>0</v>
      </c>
      <c r="S665" s="210">
        <f>IF(L665=0,IF(Q665="Other dry cargo",Alukset_fx!$H$73*(Alukset_Käynnit_Lask!K665^Alukset_fx!$I$73),IF(OR(Q665="Dry Bulk",Q665="Bulk carrier"),Alukset_fx!$H$71*(Alukset_Käynnit_Lask!K665^Alukset_fx!$I$71),IF(Q665="Tugboat",Alukset_fx!$H$78*(Alukset_Käynnit_Lask!K665^Alukset_fx!$I$78),IF(OR(Q665="Tanker",Q665="Gas tanker",Q665="Chemical tanker",Q665="Oil tanker"),Alukset_fx!$H$70*(Alukset_Käynnit_Lask!K665^Alukset_fx!$I$70),IF(Q665="Container ship",Alukset_fx!$H$72*(Alukset_Käynnit_Lask!K665^Alukset_fx!$I$72),IF(Q665="Barge",0,IF(Q665="RoPax",Alukset_fx!$H$75*(Alukset_Käynnit_Lask!K665^Alukset_fx!$I$75),IF(OR(Q665="RoRo",Q665="Vehicle carrier"),Alukset_fx!$H$74*(Alukset_Käynnit_Lask!K665^Alukset_fx!$I$74),Alukset_fx!$H$77*(Alukset_Käynnit_Lask!K665^Alukset_fx!$I$77))))))))),"-")</f>
        <v>0</v>
      </c>
      <c r="T665" s="208">
        <f>IF(R665=0,IF(Q665="Other dry cargo",S665*Alukset_fx!$B$71,IF(OR(Q665="Dry bulk",Q665="Bulk carrier"),S665*Alukset_fx!$B$69,IF(Q665="Tugboat",S665*Alukset_fx!$B$76,IF(OR(Q665="Tanker",Q665="Gas tanker",Q665="Chemical tanker",Q665="Oil tanker"),S665*Alukset_fx!$B$68,IF(OR(Q665="RoRo",Q665="Vehicle carrier"),S665*Alukset_fx!$B$72,IF(Q665="RoPax",S665*Alukset_fx!$B$73,IF(Q665="Container ship",S665*Alukset_fx!$B$70,S665*Alukset_fx!$B$75))))))),"-")</f>
        <v>0</v>
      </c>
      <c r="U665" s="208">
        <f t="shared" si="126"/>
        <v>0</v>
      </c>
      <c r="V665" s="208">
        <f t="shared" si="127"/>
        <v>0</v>
      </c>
      <c r="W665" s="202">
        <f>Alukset_Käynnit!N672</f>
        <v>0</v>
      </c>
      <c r="X665" s="211">
        <f>IF(Q665="Other dry cargo", Alukset_fx!$C$52, IF(OR(Q665="Dry bulk",Q665="Bulk carrier"),Alukset_fx!$C$35,IF(OR(Q665="Tanker",Q665="Gas tanker",Q665="Oil tanker"),Alukset_fx!$C$57,IF(Q665="Chemical tanker",Alukset_fx!$C$56,IF(OR(Q665="Tugboat",Q665="Barge"),0,IF(Q665="Other vessel",Alukset_fx!$C$54,IF(Q665="Container ship",Alukset_fx!$C$37,IF(OR(Q665="RoPax",Q665="RoRo",Q665="Vehicle carrier"),Alukset_fx!$C$55,0))))))))</f>
        <v>0</v>
      </c>
      <c r="Y665" s="211">
        <f>IF(Q665="Other dry cargo", Alukset_fx!$Q$52, IF(OR(Q665="Dry bulk",Q665="Bulk carrier"),Alukset_fx!$Q$35,IF(OR(Q665="Tanker",Q665="Gas tanker",Q665="Oil tanker"),Alukset_fx!$Q$57,IF(Q665="Chemical tanker",Alukset_fx!$Q$56,IF(OR(Q665="Tugboat",Q665="Barge"),0,IF(Q665="Other vessel",Alukset_fx!$Q$54,IF(Q665="Container ship",Alukset_fx!$Q$37,IF(OR(Q665="RoPax",Q665="RoRo",Q665="Vehicle carrier"),Alukset_fx!$Q$55,0))))))))</f>
        <v>0</v>
      </c>
      <c r="Z665" t="str">
        <f t="shared" si="128"/>
        <v>MDO/MGO</v>
      </c>
      <c r="AA665" t="str">
        <f t="shared" si="129"/>
        <v>MSD</v>
      </c>
      <c r="AB665" t="str">
        <f t="shared" si="130"/>
        <v>MDO/MGO</v>
      </c>
      <c r="AC665" t="str">
        <f t="shared" si="131"/>
        <v>MSD</v>
      </c>
      <c r="AD665" t="str">
        <f t="shared" si="132"/>
        <v>MDO/MGO</v>
      </c>
      <c r="AE665" t="str">
        <f t="shared" si="133"/>
        <v>ST</v>
      </c>
      <c r="AG665">
        <f>Alukset_Käynnit!O672</f>
        <v>0</v>
      </c>
      <c r="AH665" s="207">
        <f>IF(AA665="SSD",((U665*Alukset_fx!$B$24)*Alukset_Käynnit_Lask!W665*(Alukset_fx!$K$49)/1000),IF(AA665="MSD",((U665*Alukset_fx!$B$24)*Alukset_Käynnit_Lask!W665*(Alukset_fx!$K$52)/1000),IF(AA665="HSD",((U665*Alukset_fx!$B$24)*Alukset_Käynnit_Lask!W665*(Alukset_fx!$K$55)/1000),0)))</f>
        <v>0</v>
      </c>
      <c r="AI665" s="207">
        <f>IF(AC665="MSD",((V665*Alukset_fx!$B$25)*Alukset_Käynnit_Lask!W665*(Alukset_fx!$L$52)/1000),IF(AC665="HSD",((V665*Alukset_fx!$B$25)*Alukset_Käynnit_Lask!W665*(Alukset_fx!$L$55)/1000),0))</f>
        <v>0</v>
      </c>
      <c r="AJ665" s="207">
        <f>X665*W665*Alukset_fx!$K$61/1000</f>
        <v>0</v>
      </c>
      <c r="AK665">
        <v>0</v>
      </c>
      <c r="AL665" s="207">
        <f>IF(AG665="Käytetty",0,IF(AC665="MSD",((V665*Alukset_fx!$O$25)*Alukset_Käynnit_Lask!O665*(Alukset_fx!$L$52)/1000),IF(AC665="HSD",((V665*Alukset_fx!$O$25)*Alukset_Käynnit_Lask!O665*(Alukset_fx!$L$55)/1000),0)))</f>
        <v>0</v>
      </c>
      <c r="AM665" s="207">
        <f>IF(AG665="Käytetty",0,Y665*O665*Alukset_fx!$K$61/1000)</f>
        <v>0</v>
      </c>
      <c r="AN665" s="213">
        <f t="shared" si="134"/>
        <v>0</v>
      </c>
    </row>
    <row r="666" spans="1:40" x14ac:dyDescent="0.25">
      <c r="A666" s="203">
        <f>Alukset_Käynnit!A673</f>
        <v>0</v>
      </c>
      <c r="B666" s="203">
        <f>Alukset_Käynnit!B673</f>
        <v>0</v>
      </c>
      <c r="C666" s="262">
        <f>Alukset_Käynnit!C673</f>
        <v>0</v>
      </c>
      <c r="D666" s="266">
        <f>Alukset_Käynnit!D673</f>
        <v>0</v>
      </c>
      <c r="E666" s="262">
        <f>Alukset_Käynnit!E673</f>
        <v>0</v>
      </c>
      <c r="F666" s="262">
        <f>Alukset_Käynnit!F673</f>
        <v>0</v>
      </c>
      <c r="G666" s="262">
        <f>Alukset_Käynnit!G673</f>
        <v>0</v>
      </c>
      <c r="H666" s="262">
        <f>Alukset_Käynnit!H673</f>
        <v>0</v>
      </c>
      <c r="I666" s="262">
        <f>Alukset_Käynnit!I673</f>
        <v>0</v>
      </c>
      <c r="J666" s="262">
        <f>Alukset_Käynnit!J673</f>
        <v>0</v>
      </c>
      <c r="K666" s="262">
        <f>Alukset_Käynnit!K673</f>
        <v>0</v>
      </c>
      <c r="L666" s="205">
        <f>Alukset_Käynnit!L673</f>
        <v>0</v>
      </c>
      <c r="N666" s="273">
        <f t="shared" si="135"/>
        <v>0</v>
      </c>
      <c r="O666" s="274">
        <f t="shared" si="136"/>
        <v>0</v>
      </c>
      <c r="Q666" s="204">
        <f t="shared" si="125"/>
        <v>0</v>
      </c>
      <c r="R666" s="202">
        <f>IF(Q666="Other dry cargo",L666*Alukset_fx!$B$71,IF(OR(Q666="Dry bulk",Q666="Bulk carrier"),L666*Alukset_fx!$B$69,IF(Q666="Tugboat",L666*Alukset_fx!$B$76,IF(OR(Q666="Tanker",Q666="Gas tanker",Q666="Chemical tanker",Q666="Oil tanker"),L666*Alukset_fx!$B$68,IF(OR(Q666="RoRo",Q666="Vehicle carrier"),L666*Alukset_fx!$B$72,IF(Q666="RoPax",L666*Alukset_fx!$B$73,IF(Q666="Container ship",L666*Alukset_fx!$B$70,IF(Q666="Barge",0,L666*Alukset_fx!$B$75))))))))</f>
        <v>0</v>
      </c>
      <c r="S666" s="210">
        <f>IF(L666=0,IF(Q666="Other dry cargo",Alukset_fx!$H$73*(Alukset_Käynnit_Lask!K666^Alukset_fx!$I$73),IF(OR(Q666="Dry Bulk",Q666="Bulk carrier"),Alukset_fx!$H$71*(Alukset_Käynnit_Lask!K666^Alukset_fx!$I$71),IF(Q666="Tugboat",Alukset_fx!$H$78*(Alukset_Käynnit_Lask!K666^Alukset_fx!$I$78),IF(OR(Q666="Tanker",Q666="Gas tanker",Q666="Chemical tanker",Q666="Oil tanker"),Alukset_fx!$H$70*(Alukset_Käynnit_Lask!K666^Alukset_fx!$I$70),IF(Q666="Container ship",Alukset_fx!$H$72*(Alukset_Käynnit_Lask!K666^Alukset_fx!$I$72),IF(Q666="Barge",0,IF(Q666="RoPax",Alukset_fx!$H$75*(Alukset_Käynnit_Lask!K666^Alukset_fx!$I$75),IF(OR(Q666="RoRo",Q666="Vehicle carrier"),Alukset_fx!$H$74*(Alukset_Käynnit_Lask!K666^Alukset_fx!$I$74),Alukset_fx!$H$77*(Alukset_Käynnit_Lask!K666^Alukset_fx!$I$77))))))))),"-")</f>
        <v>0</v>
      </c>
      <c r="T666" s="208">
        <f>IF(R666=0,IF(Q666="Other dry cargo",S666*Alukset_fx!$B$71,IF(OR(Q666="Dry bulk",Q666="Bulk carrier"),S666*Alukset_fx!$B$69,IF(Q666="Tugboat",S666*Alukset_fx!$B$76,IF(OR(Q666="Tanker",Q666="Gas tanker",Q666="Chemical tanker",Q666="Oil tanker"),S666*Alukset_fx!$B$68,IF(OR(Q666="RoRo",Q666="Vehicle carrier"),S666*Alukset_fx!$B$72,IF(Q666="RoPax",S666*Alukset_fx!$B$73,IF(Q666="Container ship",S666*Alukset_fx!$B$70,S666*Alukset_fx!$B$75))))))),"-")</f>
        <v>0</v>
      </c>
      <c r="U666" s="208">
        <f t="shared" si="126"/>
        <v>0</v>
      </c>
      <c r="V666" s="208">
        <f t="shared" si="127"/>
        <v>0</v>
      </c>
      <c r="W666" s="202">
        <f>Alukset_Käynnit!N673</f>
        <v>0</v>
      </c>
      <c r="X666" s="211">
        <f>IF(Q666="Other dry cargo", Alukset_fx!$C$52, IF(OR(Q666="Dry bulk",Q666="Bulk carrier"),Alukset_fx!$C$35,IF(OR(Q666="Tanker",Q666="Gas tanker",Q666="Oil tanker"),Alukset_fx!$C$57,IF(Q666="Chemical tanker",Alukset_fx!$C$56,IF(OR(Q666="Tugboat",Q666="Barge"),0,IF(Q666="Other vessel",Alukset_fx!$C$54,IF(Q666="Container ship",Alukset_fx!$C$37,IF(OR(Q666="RoPax",Q666="RoRo",Q666="Vehicle carrier"),Alukset_fx!$C$55,0))))))))</f>
        <v>0</v>
      </c>
      <c r="Y666" s="211">
        <f>IF(Q666="Other dry cargo", Alukset_fx!$Q$52, IF(OR(Q666="Dry bulk",Q666="Bulk carrier"),Alukset_fx!$Q$35,IF(OR(Q666="Tanker",Q666="Gas tanker",Q666="Oil tanker"),Alukset_fx!$Q$57,IF(Q666="Chemical tanker",Alukset_fx!$Q$56,IF(OR(Q666="Tugboat",Q666="Barge"),0,IF(Q666="Other vessel",Alukset_fx!$Q$54,IF(Q666="Container ship",Alukset_fx!$Q$37,IF(OR(Q666="RoPax",Q666="RoRo",Q666="Vehicle carrier"),Alukset_fx!$Q$55,0))))))))</f>
        <v>0</v>
      </c>
      <c r="Z666" t="str">
        <f t="shared" si="128"/>
        <v>MDO/MGO</v>
      </c>
      <c r="AA666" t="str">
        <f t="shared" si="129"/>
        <v>MSD</v>
      </c>
      <c r="AB666" t="str">
        <f t="shared" si="130"/>
        <v>MDO/MGO</v>
      </c>
      <c r="AC666" t="str">
        <f t="shared" si="131"/>
        <v>MSD</v>
      </c>
      <c r="AD666" t="str">
        <f t="shared" si="132"/>
        <v>MDO/MGO</v>
      </c>
      <c r="AE666" t="str">
        <f t="shared" si="133"/>
        <v>ST</v>
      </c>
      <c r="AG666">
        <f>Alukset_Käynnit!O673</f>
        <v>0</v>
      </c>
      <c r="AH666" s="207">
        <f>IF(AA666="SSD",((U666*Alukset_fx!$B$24)*Alukset_Käynnit_Lask!W666*(Alukset_fx!$K$49)/1000),IF(AA666="MSD",((U666*Alukset_fx!$B$24)*Alukset_Käynnit_Lask!W666*(Alukset_fx!$K$52)/1000),IF(AA666="HSD",((U666*Alukset_fx!$B$24)*Alukset_Käynnit_Lask!W666*(Alukset_fx!$K$55)/1000),0)))</f>
        <v>0</v>
      </c>
      <c r="AI666" s="207">
        <f>IF(AC666="MSD",((V666*Alukset_fx!$B$25)*Alukset_Käynnit_Lask!W666*(Alukset_fx!$L$52)/1000),IF(AC666="HSD",((V666*Alukset_fx!$B$25)*Alukset_Käynnit_Lask!W666*(Alukset_fx!$L$55)/1000),0))</f>
        <v>0</v>
      </c>
      <c r="AJ666" s="207">
        <f>X666*W666*Alukset_fx!$K$61/1000</f>
        <v>0</v>
      </c>
      <c r="AK666">
        <v>0</v>
      </c>
      <c r="AL666" s="207">
        <f>IF(AG666="Käytetty",0,IF(AC666="MSD",((V666*Alukset_fx!$O$25)*Alukset_Käynnit_Lask!O666*(Alukset_fx!$L$52)/1000),IF(AC666="HSD",((V666*Alukset_fx!$O$25)*Alukset_Käynnit_Lask!O666*(Alukset_fx!$L$55)/1000),0)))</f>
        <v>0</v>
      </c>
      <c r="AM666" s="207">
        <f>IF(AG666="Käytetty",0,Y666*O666*Alukset_fx!$K$61/1000)</f>
        <v>0</v>
      </c>
      <c r="AN666" s="213">
        <f t="shared" si="134"/>
        <v>0</v>
      </c>
    </row>
    <row r="667" spans="1:40" x14ac:dyDescent="0.25">
      <c r="A667" s="203">
        <f>Alukset_Käynnit!A674</f>
        <v>0</v>
      </c>
      <c r="B667" s="203">
        <f>Alukset_Käynnit!B674</f>
        <v>0</v>
      </c>
      <c r="C667" s="262">
        <f>Alukset_Käynnit!C674</f>
        <v>0</v>
      </c>
      <c r="D667" s="266">
        <f>Alukset_Käynnit!D674</f>
        <v>0</v>
      </c>
      <c r="E667" s="262">
        <f>Alukset_Käynnit!E674</f>
        <v>0</v>
      </c>
      <c r="F667" s="262">
        <f>Alukset_Käynnit!F674</f>
        <v>0</v>
      </c>
      <c r="G667" s="262">
        <f>Alukset_Käynnit!G674</f>
        <v>0</v>
      </c>
      <c r="H667" s="262">
        <f>Alukset_Käynnit!H674</f>
        <v>0</v>
      </c>
      <c r="I667" s="262">
        <f>Alukset_Käynnit!I674</f>
        <v>0</v>
      </c>
      <c r="J667" s="262">
        <f>Alukset_Käynnit!J674</f>
        <v>0</v>
      </c>
      <c r="K667" s="262">
        <f>Alukset_Käynnit!K674</f>
        <v>0</v>
      </c>
      <c r="L667" s="205">
        <f>Alukset_Käynnit!L674</f>
        <v>0</v>
      </c>
      <c r="N667" s="273">
        <f t="shared" si="135"/>
        <v>0</v>
      </c>
      <c r="O667" s="274">
        <f t="shared" si="136"/>
        <v>0</v>
      </c>
      <c r="Q667" s="204">
        <f t="shared" si="125"/>
        <v>0</v>
      </c>
      <c r="R667" s="202">
        <f>IF(Q667="Other dry cargo",L667*Alukset_fx!$B$71,IF(OR(Q667="Dry bulk",Q667="Bulk carrier"),L667*Alukset_fx!$B$69,IF(Q667="Tugboat",L667*Alukset_fx!$B$76,IF(OR(Q667="Tanker",Q667="Gas tanker",Q667="Chemical tanker",Q667="Oil tanker"),L667*Alukset_fx!$B$68,IF(OR(Q667="RoRo",Q667="Vehicle carrier"),L667*Alukset_fx!$B$72,IF(Q667="RoPax",L667*Alukset_fx!$B$73,IF(Q667="Container ship",L667*Alukset_fx!$B$70,IF(Q667="Barge",0,L667*Alukset_fx!$B$75))))))))</f>
        <v>0</v>
      </c>
      <c r="S667" s="210">
        <f>IF(L667=0,IF(Q667="Other dry cargo",Alukset_fx!$H$73*(Alukset_Käynnit_Lask!K667^Alukset_fx!$I$73),IF(OR(Q667="Dry Bulk",Q667="Bulk carrier"),Alukset_fx!$H$71*(Alukset_Käynnit_Lask!K667^Alukset_fx!$I$71),IF(Q667="Tugboat",Alukset_fx!$H$78*(Alukset_Käynnit_Lask!K667^Alukset_fx!$I$78),IF(OR(Q667="Tanker",Q667="Gas tanker",Q667="Chemical tanker",Q667="Oil tanker"),Alukset_fx!$H$70*(Alukset_Käynnit_Lask!K667^Alukset_fx!$I$70),IF(Q667="Container ship",Alukset_fx!$H$72*(Alukset_Käynnit_Lask!K667^Alukset_fx!$I$72),IF(Q667="Barge",0,IF(Q667="RoPax",Alukset_fx!$H$75*(Alukset_Käynnit_Lask!K667^Alukset_fx!$I$75),IF(OR(Q667="RoRo",Q667="Vehicle carrier"),Alukset_fx!$H$74*(Alukset_Käynnit_Lask!K667^Alukset_fx!$I$74),Alukset_fx!$H$77*(Alukset_Käynnit_Lask!K667^Alukset_fx!$I$77))))))))),"-")</f>
        <v>0</v>
      </c>
      <c r="T667" s="208">
        <f>IF(R667=0,IF(Q667="Other dry cargo",S667*Alukset_fx!$B$71,IF(OR(Q667="Dry bulk",Q667="Bulk carrier"),S667*Alukset_fx!$B$69,IF(Q667="Tugboat",S667*Alukset_fx!$B$76,IF(OR(Q667="Tanker",Q667="Gas tanker",Q667="Chemical tanker",Q667="Oil tanker"),S667*Alukset_fx!$B$68,IF(OR(Q667="RoRo",Q667="Vehicle carrier"),S667*Alukset_fx!$B$72,IF(Q667="RoPax",S667*Alukset_fx!$B$73,IF(Q667="Container ship",S667*Alukset_fx!$B$70,S667*Alukset_fx!$B$75))))))),"-")</f>
        <v>0</v>
      </c>
      <c r="U667" s="208">
        <f t="shared" si="126"/>
        <v>0</v>
      </c>
      <c r="V667" s="208">
        <f t="shared" si="127"/>
        <v>0</v>
      </c>
      <c r="W667" s="202">
        <f>Alukset_Käynnit!N674</f>
        <v>0</v>
      </c>
      <c r="X667" s="211">
        <f>IF(Q667="Other dry cargo", Alukset_fx!$C$52, IF(OR(Q667="Dry bulk",Q667="Bulk carrier"),Alukset_fx!$C$35,IF(OR(Q667="Tanker",Q667="Gas tanker",Q667="Oil tanker"),Alukset_fx!$C$57,IF(Q667="Chemical tanker",Alukset_fx!$C$56,IF(OR(Q667="Tugboat",Q667="Barge"),0,IF(Q667="Other vessel",Alukset_fx!$C$54,IF(Q667="Container ship",Alukset_fx!$C$37,IF(OR(Q667="RoPax",Q667="RoRo",Q667="Vehicle carrier"),Alukset_fx!$C$55,0))))))))</f>
        <v>0</v>
      </c>
      <c r="Y667" s="211">
        <f>IF(Q667="Other dry cargo", Alukset_fx!$Q$52, IF(OR(Q667="Dry bulk",Q667="Bulk carrier"),Alukset_fx!$Q$35,IF(OR(Q667="Tanker",Q667="Gas tanker",Q667="Oil tanker"),Alukset_fx!$Q$57,IF(Q667="Chemical tanker",Alukset_fx!$Q$56,IF(OR(Q667="Tugboat",Q667="Barge"),0,IF(Q667="Other vessel",Alukset_fx!$Q$54,IF(Q667="Container ship",Alukset_fx!$Q$37,IF(OR(Q667="RoPax",Q667="RoRo",Q667="Vehicle carrier"),Alukset_fx!$Q$55,0))))))))</f>
        <v>0</v>
      </c>
      <c r="Z667" t="str">
        <f t="shared" si="128"/>
        <v>MDO/MGO</v>
      </c>
      <c r="AA667" t="str">
        <f t="shared" si="129"/>
        <v>MSD</v>
      </c>
      <c r="AB667" t="str">
        <f t="shared" si="130"/>
        <v>MDO/MGO</v>
      </c>
      <c r="AC667" t="str">
        <f t="shared" si="131"/>
        <v>MSD</v>
      </c>
      <c r="AD667" t="str">
        <f t="shared" si="132"/>
        <v>MDO/MGO</v>
      </c>
      <c r="AE667" t="str">
        <f t="shared" si="133"/>
        <v>ST</v>
      </c>
      <c r="AG667">
        <f>Alukset_Käynnit!O674</f>
        <v>0</v>
      </c>
      <c r="AH667" s="207">
        <f>IF(AA667="SSD",((U667*Alukset_fx!$B$24)*Alukset_Käynnit_Lask!W667*(Alukset_fx!$K$49)/1000),IF(AA667="MSD",((U667*Alukset_fx!$B$24)*Alukset_Käynnit_Lask!W667*(Alukset_fx!$K$52)/1000),IF(AA667="HSD",((U667*Alukset_fx!$B$24)*Alukset_Käynnit_Lask!W667*(Alukset_fx!$K$55)/1000),0)))</f>
        <v>0</v>
      </c>
      <c r="AI667" s="207">
        <f>IF(AC667="MSD",((V667*Alukset_fx!$B$25)*Alukset_Käynnit_Lask!W667*(Alukset_fx!$L$52)/1000),IF(AC667="HSD",((V667*Alukset_fx!$B$25)*Alukset_Käynnit_Lask!W667*(Alukset_fx!$L$55)/1000),0))</f>
        <v>0</v>
      </c>
      <c r="AJ667" s="207">
        <f>X667*W667*Alukset_fx!$K$61/1000</f>
        <v>0</v>
      </c>
      <c r="AK667">
        <v>0</v>
      </c>
      <c r="AL667" s="207">
        <f>IF(AG667="Käytetty",0,IF(AC667="MSD",((V667*Alukset_fx!$O$25)*Alukset_Käynnit_Lask!O667*(Alukset_fx!$L$52)/1000),IF(AC667="HSD",((V667*Alukset_fx!$O$25)*Alukset_Käynnit_Lask!O667*(Alukset_fx!$L$55)/1000),0)))</f>
        <v>0</v>
      </c>
      <c r="AM667" s="207">
        <f>IF(AG667="Käytetty",0,Y667*O667*Alukset_fx!$K$61/1000)</f>
        <v>0</v>
      </c>
      <c r="AN667" s="213">
        <f t="shared" si="134"/>
        <v>0</v>
      </c>
    </row>
    <row r="668" spans="1:40" x14ac:dyDescent="0.25">
      <c r="A668" s="203">
        <f>Alukset_Käynnit!A675</f>
        <v>0</v>
      </c>
      <c r="B668" s="203">
        <f>Alukset_Käynnit!B675</f>
        <v>0</v>
      </c>
      <c r="C668" s="262">
        <f>Alukset_Käynnit!C675</f>
        <v>0</v>
      </c>
      <c r="D668" s="266">
        <f>Alukset_Käynnit!D675</f>
        <v>0</v>
      </c>
      <c r="E668" s="262">
        <f>Alukset_Käynnit!E675</f>
        <v>0</v>
      </c>
      <c r="F668" s="262">
        <f>Alukset_Käynnit!F675</f>
        <v>0</v>
      </c>
      <c r="G668" s="262">
        <f>Alukset_Käynnit!G675</f>
        <v>0</v>
      </c>
      <c r="H668" s="262">
        <f>Alukset_Käynnit!H675</f>
        <v>0</v>
      </c>
      <c r="I668" s="262">
        <f>Alukset_Käynnit!I675</f>
        <v>0</v>
      </c>
      <c r="J668" s="262">
        <f>Alukset_Käynnit!J675</f>
        <v>0</v>
      </c>
      <c r="K668" s="262">
        <f>Alukset_Käynnit!K675</f>
        <v>0</v>
      </c>
      <c r="L668" s="205">
        <f>Alukset_Käynnit!L675</f>
        <v>0</v>
      </c>
      <c r="N668" s="273">
        <f t="shared" si="135"/>
        <v>0</v>
      </c>
      <c r="O668" s="274">
        <f t="shared" si="136"/>
        <v>0</v>
      </c>
      <c r="Q668" s="204">
        <f t="shared" si="125"/>
        <v>0</v>
      </c>
      <c r="R668" s="202">
        <f>IF(Q668="Other dry cargo",L668*Alukset_fx!$B$71,IF(OR(Q668="Dry bulk",Q668="Bulk carrier"),L668*Alukset_fx!$B$69,IF(Q668="Tugboat",L668*Alukset_fx!$B$76,IF(OR(Q668="Tanker",Q668="Gas tanker",Q668="Chemical tanker",Q668="Oil tanker"),L668*Alukset_fx!$B$68,IF(OR(Q668="RoRo",Q668="Vehicle carrier"),L668*Alukset_fx!$B$72,IF(Q668="RoPax",L668*Alukset_fx!$B$73,IF(Q668="Container ship",L668*Alukset_fx!$B$70,IF(Q668="Barge",0,L668*Alukset_fx!$B$75))))))))</f>
        <v>0</v>
      </c>
      <c r="S668" s="210">
        <f>IF(L668=0,IF(Q668="Other dry cargo",Alukset_fx!$H$73*(Alukset_Käynnit_Lask!K668^Alukset_fx!$I$73),IF(OR(Q668="Dry Bulk",Q668="Bulk carrier"),Alukset_fx!$H$71*(Alukset_Käynnit_Lask!K668^Alukset_fx!$I$71),IF(Q668="Tugboat",Alukset_fx!$H$78*(Alukset_Käynnit_Lask!K668^Alukset_fx!$I$78),IF(OR(Q668="Tanker",Q668="Gas tanker",Q668="Chemical tanker",Q668="Oil tanker"),Alukset_fx!$H$70*(Alukset_Käynnit_Lask!K668^Alukset_fx!$I$70),IF(Q668="Container ship",Alukset_fx!$H$72*(Alukset_Käynnit_Lask!K668^Alukset_fx!$I$72),IF(Q668="Barge",0,IF(Q668="RoPax",Alukset_fx!$H$75*(Alukset_Käynnit_Lask!K668^Alukset_fx!$I$75),IF(OR(Q668="RoRo",Q668="Vehicle carrier"),Alukset_fx!$H$74*(Alukset_Käynnit_Lask!K668^Alukset_fx!$I$74),Alukset_fx!$H$77*(Alukset_Käynnit_Lask!K668^Alukset_fx!$I$77))))))))),"-")</f>
        <v>0</v>
      </c>
      <c r="T668" s="208">
        <f>IF(R668=0,IF(Q668="Other dry cargo",S668*Alukset_fx!$B$71,IF(OR(Q668="Dry bulk",Q668="Bulk carrier"),S668*Alukset_fx!$B$69,IF(Q668="Tugboat",S668*Alukset_fx!$B$76,IF(OR(Q668="Tanker",Q668="Gas tanker",Q668="Chemical tanker",Q668="Oil tanker"),S668*Alukset_fx!$B$68,IF(OR(Q668="RoRo",Q668="Vehicle carrier"),S668*Alukset_fx!$B$72,IF(Q668="RoPax",S668*Alukset_fx!$B$73,IF(Q668="Container ship",S668*Alukset_fx!$B$70,S668*Alukset_fx!$B$75))))))),"-")</f>
        <v>0</v>
      </c>
      <c r="U668" s="208">
        <f t="shared" si="126"/>
        <v>0</v>
      </c>
      <c r="V668" s="208">
        <f t="shared" si="127"/>
        <v>0</v>
      </c>
      <c r="W668" s="202">
        <f>Alukset_Käynnit!N675</f>
        <v>0</v>
      </c>
      <c r="X668" s="211">
        <f>IF(Q668="Other dry cargo", Alukset_fx!$C$52, IF(OR(Q668="Dry bulk",Q668="Bulk carrier"),Alukset_fx!$C$35,IF(OR(Q668="Tanker",Q668="Gas tanker",Q668="Oil tanker"),Alukset_fx!$C$57,IF(Q668="Chemical tanker",Alukset_fx!$C$56,IF(OR(Q668="Tugboat",Q668="Barge"),0,IF(Q668="Other vessel",Alukset_fx!$C$54,IF(Q668="Container ship",Alukset_fx!$C$37,IF(OR(Q668="RoPax",Q668="RoRo",Q668="Vehicle carrier"),Alukset_fx!$C$55,0))))))))</f>
        <v>0</v>
      </c>
      <c r="Y668" s="211">
        <f>IF(Q668="Other dry cargo", Alukset_fx!$Q$52, IF(OR(Q668="Dry bulk",Q668="Bulk carrier"),Alukset_fx!$Q$35,IF(OR(Q668="Tanker",Q668="Gas tanker",Q668="Oil tanker"),Alukset_fx!$Q$57,IF(Q668="Chemical tanker",Alukset_fx!$Q$56,IF(OR(Q668="Tugboat",Q668="Barge"),0,IF(Q668="Other vessel",Alukset_fx!$Q$54,IF(Q668="Container ship",Alukset_fx!$Q$37,IF(OR(Q668="RoPax",Q668="RoRo",Q668="Vehicle carrier"),Alukset_fx!$Q$55,0))))))))</f>
        <v>0</v>
      </c>
      <c r="Z668" t="str">
        <f t="shared" si="128"/>
        <v>MDO/MGO</v>
      </c>
      <c r="AA668" t="str">
        <f t="shared" si="129"/>
        <v>MSD</v>
      </c>
      <c r="AB668" t="str">
        <f t="shared" si="130"/>
        <v>MDO/MGO</v>
      </c>
      <c r="AC668" t="str">
        <f t="shared" si="131"/>
        <v>MSD</v>
      </c>
      <c r="AD668" t="str">
        <f t="shared" si="132"/>
        <v>MDO/MGO</v>
      </c>
      <c r="AE668" t="str">
        <f t="shared" si="133"/>
        <v>ST</v>
      </c>
      <c r="AG668">
        <f>Alukset_Käynnit!O675</f>
        <v>0</v>
      </c>
      <c r="AH668" s="207">
        <f>IF(AA668="SSD",((U668*Alukset_fx!$B$24)*Alukset_Käynnit_Lask!W668*(Alukset_fx!$K$49)/1000),IF(AA668="MSD",((U668*Alukset_fx!$B$24)*Alukset_Käynnit_Lask!W668*(Alukset_fx!$K$52)/1000),IF(AA668="HSD",((U668*Alukset_fx!$B$24)*Alukset_Käynnit_Lask!W668*(Alukset_fx!$K$55)/1000),0)))</f>
        <v>0</v>
      </c>
      <c r="AI668" s="207">
        <f>IF(AC668="MSD",((V668*Alukset_fx!$B$25)*Alukset_Käynnit_Lask!W668*(Alukset_fx!$L$52)/1000),IF(AC668="HSD",((V668*Alukset_fx!$B$25)*Alukset_Käynnit_Lask!W668*(Alukset_fx!$L$55)/1000),0))</f>
        <v>0</v>
      </c>
      <c r="AJ668" s="207">
        <f>X668*W668*Alukset_fx!$K$61/1000</f>
        <v>0</v>
      </c>
      <c r="AK668">
        <v>0</v>
      </c>
      <c r="AL668" s="207">
        <f>IF(AG668="Käytetty",0,IF(AC668="MSD",((V668*Alukset_fx!$O$25)*Alukset_Käynnit_Lask!O668*(Alukset_fx!$L$52)/1000),IF(AC668="HSD",((V668*Alukset_fx!$O$25)*Alukset_Käynnit_Lask!O668*(Alukset_fx!$L$55)/1000),0)))</f>
        <v>0</v>
      </c>
      <c r="AM668" s="207">
        <f>IF(AG668="Käytetty",0,Y668*O668*Alukset_fx!$K$61/1000)</f>
        <v>0</v>
      </c>
      <c r="AN668" s="213">
        <f t="shared" si="134"/>
        <v>0</v>
      </c>
    </row>
    <row r="669" spans="1:40" x14ac:dyDescent="0.25">
      <c r="A669" s="203">
        <f>Alukset_Käynnit!A676</f>
        <v>0</v>
      </c>
      <c r="B669" s="203">
        <f>Alukset_Käynnit!B676</f>
        <v>0</v>
      </c>
      <c r="C669" s="262">
        <f>Alukset_Käynnit!C676</f>
        <v>0</v>
      </c>
      <c r="D669" s="266">
        <f>Alukset_Käynnit!D676</f>
        <v>0</v>
      </c>
      <c r="E669" s="262">
        <f>Alukset_Käynnit!E676</f>
        <v>0</v>
      </c>
      <c r="F669" s="262">
        <f>Alukset_Käynnit!F676</f>
        <v>0</v>
      </c>
      <c r="G669" s="262">
        <f>Alukset_Käynnit!G676</f>
        <v>0</v>
      </c>
      <c r="H669" s="262">
        <f>Alukset_Käynnit!H676</f>
        <v>0</v>
      </c>
      <c r="I669" s="262">
        <f>Alukset_Käynnit!I676</f>
        <v>0</v>
      </c>
      <c r="J669" s="262">
        <f>Alukset_Käynnit!J676</f>
        <v>0</v>
      </c>
      <c r="K669" s="262">
        <f>Alukset_Käynnit!K676</f>
        <v>0</v>
      </c>
      <c r="L669" s="205">
        <f>Alukset_Käynnit!L676</f>
        <v>0</v>
      </c>
      <c r="N669" s="273">
        <f t="shared" si="135"/>
        <v>0</v>
      </c>
      <c r="O669" s="274">
        <f t="shared" si="136"/>
        <v>0</v>
      </c>
      <c r="Q669" s="204">
        <f t="shared" si="125"/>
        <v>0</v>
      </c>
      <c r="R669" s="202">
        <f>IF(Q669="Other dry cargo",L669*Alukset_fx!$B$71,IF(OR(Q669="Dry bulk",Q669="Bulk carrier"),L669*Alukset_fx!$B$69,IF(Q669="Tugboat",L669*Alukset_fx!$B$76,IF(OR(Q669="Tanker",Q669="Gas tanker",Q669="Chemical tanker",Q669="Oil tanker"),L669*Alukset_fx!$B$68,IF(OR(Q669="RoRo",Q669="Vehicle carrier"),L669*Alukset_fx!$B$72,IF(Q669="RoPax",L669*Alukset_fx!$B$73,IF(Q669="Container ship",L669*Alukset_fx!$B$70,IF(Q669="Barge",0,L669*Alukset_fx!$B$75))))))))</f>
        <v>0</v>
      </c>
      <c r="S669" s="210">
        <f>IF(L669=0,IF(Q669="Other dry cargo",Alukset_fx!$H$73*(Alukset_Käynnit_Lask!K669^Alukset_fx!$I$73),IF(OR(Q669="Dry Bulk",Q669="Bulk carrier"),Alukset_fx!$H$71*(Alukset_Käynnit_Lask!K669^Alukset_fx!$I$71),IF(Q669="Tugboat",Alukset_fx!$H$78*(Alukset_Käynnit_Lask!K669^Alukset_fx!$I$78),IF(OR(Q669="Tanker",Q669="Gas tanker",Q669="Chemical tanker",Q669="Oil tanker"),Alukset_fx!$H$70*(Alukset_Käynnit_Lask!K669^Alukset_fx!$I$70),IF(Q669="Container ship",Alukset_fx!$H$72*(Alukset_Käynnit_Lask!K669^Alukset_fx!$I$72),IF(Q669="Barge",0,IF(Q669="RoPax",Alukset_fx!$H$75*(Alukset_Käynnit_Lask!K669^Alukset_fx!$I$75),IF(OR(Q669="RoRo",Q669="Vehicle carrier"),Alukset_fx!$H$74*(Alukset_Käynnit_Lask!K669^Alukset_fx!$I$74),Alukset_fx!$H$77*(Alukset_Käynnit_Lask!K669^Alukset_fx!$I$77))))))))),"-")</f>
        <v>0</v>
      </c>
      <c r="T669" s="208">
        <f>IF(R669=0,IF(Q669="Other dry cargo",S669*Alukset_fx!$B$71,IF(OR(Q669="Dry bulk",Q669="Bulk carrier"),S669*Alukset_fx!$B$69,IF(Q669="Tugboat",S669*Alukset_fx!$B$76,IF(OR(Q669="Tanker",Q669="Gas tanker",Q669="Chemical tanker",Q669="Oil tanker"),S669*Alukset_fx!$B$68,IF(OR(Q669="RoRo",Q669="Vehicle carrier"),S669*Alukset_fx!$B$72,IF(Q669="RoPax",S669*Alukset_fx!$B$73,IF(Q669="Container ship",S669*Alukset_fx!$B$70,S669*Alukset_fx!$B$75))))))),"-")</f>
        <v>0</v>
      </c>
      <c r="U669" s="208">
        <f t="shared" si="126"/>
        <v>0</v>
      </c>
      <c r="V669" s="208">
        <f t="shared" si="127"/>
        <v>0</v>
      </c>
      <c r="W669" s="202">
        <f>Alukset_Käynnit!N676</f>
        <v>0</v>
      </c>
      <c r="X669" s="211">
        <f>IF(Q669="Other dry cargo", Alukset_fx!$C$52, IF(OR(Q669="Dry bulk",Q669="Bulk carrier"),Alukset_fx!$C$35,IF(OR(Q669="Tanker",Q669="Gas tanker",Q669="Oil tanker"),Alukset_fx!$C$57,IF(Q669="Chemical tanker",Alukset_fx!$C$56,IF(OR(Q669="Tugboat",Q669="Barge"),0,IF(Q669="Other vessel",Alukset_fx!$C$54,IF(Q669="Container ship",Alukset_fx!$C$37,IF(OR(Q669="RoPax",Q669="RoRo",Q669="Vehicle carrier"),Alukset_fx!$C$55,0))))))))</f>
        <v>0</v>
      </c>
      <c r="Y669" s="211">
        <f>IF(Q669="Other dry cargo", Alukset_fx!$Q$52, IF(OR(Q669="Dry bulk",Q669="Bulk carrier"),Alukset_fx!$Q$35,IF(OR(Q669="Tanker",Q669="Gas tanker",Q669="Oil tanker"),Alukset_fx!$Q$57,IF(Q669="Chemical tanker",Alukset_fx!$Q$56,IF(OR(Q669="Tugboat",Q669="Barge"),0,IF(Q669="Other vessel",Alukset_fx!$Q$54,IF(Q669="Container ship",Alukset_fx!$Q$37,IF(OR(Q669="RoPax",Q669="RoRo",Q669="Vehicle carrier"),Alukset_fx!$Q$55,0))))))))</f>
        <v>0</v>
      </c>
      <c r="Z669" t="str">
        <f t="shared" si="128"/>
        <v>MDO/MGO</v>
      </c>
      <c r="AA669" t="str">
        <f t="shared" si="129"/>
        <v>MSD</v>
      </c>
      <c r="AB669" t="str">
        <f t="shared" si="130"/>
        <v>MDO/MGO</v>
      </c>
      <c r="AC669" t="str">
        <f t="shared" si="131"/>
        <v>MSD</v>
      </c>
      <c r="AD669" t="str">
        <f t="shared" si="132"/>
        <v>MDO/MGO</v>
      </c>
      <c r="AE669" t="str">
        <f t="shared" si="133"/>
        <v>ST</v>
      </c>
      <c r="AG669">
        <f>Alukset_Käynnit!O676</f>
        <v>0</v>
      </c>
      <c r="AH669" s="207">
        <f>IF(AA669="SSD",((U669*Alukset_fx!$B$24)*Alukset_Käynnit_Lask!W669*(Alukset_fx!$K$49)/1000),IF(AA669="MSD",((U669*Alukset_fx!$B$24)*Alukset_Käynnit_Lask!W669*(Alukset_fx!$K$52)/1000),IF(AA669="HSD",((U669*Alukset_fx!$B$24)*Alukset_Käynnit_Lask!W669*(Alukset_fx!$K$55)/1000),0)))</f>
        <v>0</v>
      </c>
      <c r="AI669" s="207">
        <f>IF(AC669="MSD",((V669*Alukset_fx!$B$25)*Alukset_Käynnit_Lask!W669*(Alukset_fx!$L$52)/1000),IF(AC669="HSD",((V669*Alukset_fx!$B$25)*Alukset_Käynnit_Lask!W669*(Alukset_fx!$L$55)/1000),0))</f>
        <v>0</v>
      </c>
      <c r="AJ669" s="207">
        <f>X669*W669*Alukset_fx!$K$61/1000</f>
        <v>0</v>
      </c>
      <c r="AK669">
        <v>0</v>
      </c>
      <c r="AL669" s="207">
        <f>IF(AG669="Käytetty",0,IF(AC669="MSD",((V669*Alukset_fx!$O$25)*Alukset_Käynnit_Lask!O669*(Alukset_fx!$L$52)/1000),IF(AC669="HSD",((V669*Alukset_fx!$O$25)*Alukset_Käynnit_Lask!O669*(Alukset_fx!$L$55)/1000),0)))</f>
        <v>0</v>
      </c>
      <c r="AM669" s="207">
        <f>IF(AG669="Käytetty",0,Y669*O669*Alukset_fx!$K$61/1000)</f>
        <v>0</v>
      </c>
      <c r="AN669" s="213">
        <f t="shared" si="134"/>
        <v>0</v>
      </c>
    </row>
    <row r="670" spans="1:40" x14ac:dyDescent="0.25">
      <c r="A670" s="203">
        <f>Alukset_Käynnit!A677</f>
        <v>0</v>
      </c>
      <c r="B670" s="203">
        <f>Alukset_Käynnit!B677</f>
        <v>0</v>
      </c>
      <c r="C670" s="262">
        <f>Alukset_Käynnit!C677</f>
        <v>0</v>
      </c>
      <c r="D670" s="266">
        <f>Alukset_Käynnit!D677</f>
        <v>0</v>
      </c>
      <c r="E670" s="262">
        <f>Alukset_Käynnit!E677</f>
        <v>0</v>
      </c>
      <c r="F670" s="262">
        <f>Alukset_Käynnit!F677</f>
        <v>0</v>
      </c>
      <c r="G670" s="262">
        <f>Alukset_Käynnit!G677</f>
        <v>0</v>
      </c>
      <c r="H670" s="262">
        <f>Alukset_Käynnit!H677</f>
        <v>0</v>
      </c>
      <c r="I670" s="262">
        <f>Alukset_Käynnit!I677</f>
        <v>0</v>
      </c>
      <c r="J670" s="262">
        <f>Alukset_Käynnit!J677</f>
        <v>0</v>
      </c>
      <c r="K670" s="262">
        <f>Alukset_Käynnit!K677</f>
        <v>0</v>
      </c>
      <c r="L670" s="205">
        <f>Alukset_Käynnit!L677</f>
        <v>0</v>
      </c>
      <c r="N670" s="273">
        <f t="shared" si="135"/>
        <v>0</v>
      </c>
      <c r="O670" s="274">
        <f t="shared" si="136"/>
        <v>0</v>
      </c>
      <c r="Q670" s="204">
        <f t="shared" si="125"/>
        <v>0</v>
      </c>
      <c r="R670" s="202">
        <f>IF(Q670="Other dry cargo",L670*Alukset_fx!$B$71,IF(OR(Q670="Dry bulk",Q670="Bulk carrier"),L670*Alukset_fx!$B$69,IF(Q670="Tugboat",L670*Alukset_fx!$B$76,IF(OR(Q670="Tanker",Q670="Gas tanker",Q670="Chemical tanker",Q670="Oil tanker"),L670*Alukset_fx!$B$68,IF(OR(Q670="RoRo",Q670="Vehicle carrier"),L670*Alukset_fx!$B$72,IF(Q670="RoPax",L670*Alukset_fx!$B$73,IF(Q670="Container ship",L670*Alukset_fx!$B$70,IF(Q670="Barge",0,L670*Alukset_fx!$B$75))))))))</f>
        <v>0</v>
      </c>
      <c r="S670" s="210">
        <f>IF(L670=0,IF(Q670="Other dry cargo",Alukset_fx!$H$73*(Alukset_Käynnit_Lask!K670^Alukset_fx!$I$73),IF(OR(Q670="Dry Bulk",Q670="Bulk carrier"),Alukset_fx!$H$71*(Alukset_Käynnit_Lask!K670^Alukset_fx!$I$71),IF(Q670="Tugboat",Alukset_fx!$H$78*(Alukset_Käynnit_Lask!K670^Alukset_fx!$I$78),IF(OR(Q670="Tanker",Q670="Gas tanker",Q670="Chemical tanker",Q670="Oil tanker"),Alukset_fx!$H$70*(Alukset_Käynnit_Lask!K670^Alukset_fx!$I$70),IF(Q670="Container ship",Alukset_fx!$H$72*(Alukset_Käynnit_Lask!K670^Alukset_fx!$I$72),IF(Q670="Barge",0,IF(Q670="RoPax",Alukset_fx!$H$75*(Alukset_Käynnit_Lask!K670^Alukset_fx!$I$75),IF(OR(Q670="RoRo",Q670="Vehicle carrier"),Alukset_fx!$H$74*(Alukset_Käynnit_Lask!K670^Alukset_fx!$I$74),Alukset_fx!$H$77*(Alukset_Käynnit_Lask!K670^Alukset_fx!$I$77))))))))),"-")</f>
        <v>0</v>
      </c>
      <c r="T670" s="208">
        <f>IF(R670=0,IF(Q670="Other dry cargo",S670*Alukset_fx!$B$71,IF(OR(Q670="Dry bulk",Q670="Bulk carrier"),S670*Alukset_fx!$B$69,IF(Q670="Tugboat",S670*Alukset_fx!$B$76,IF(OR(Q670="Tanker",Q670="Gas tanker",Q670="Chemical tanker",Q670="Oil tanker"),S670*Alukset_fx!$B$68,IF(OR(Q670="RoRo",Q670="Vehicle carrier"),S670*Alukset_fx!$B$72,IF(Q670="RoPax",S670*Alukset_fx!$B$73,IF(Q670="Container ship",S670*Alukset_fx!$B$70,S670*Alukset_fx!$B$75))))))),"-")</f>
        <v>0</v>
      </c>
      <c r="U670" s="208">
        <f t="shared" si="126"/>
        <v>0</v>
      </c>
      <c r="V670" s="208">
        <f t="shared" si="127"/>
        <v>0</v>
      </c>
      <c r="W670" s="202">
        <f>Alukset_Käynnit!N677</f>
        <v>0</v>
      </c>
      <c r="X670" s="211">
        <f>IF(Q670="Other dry cargo", Alukset_fx!$C$52, IF(OR(Q670="Dry bulk",Q670="Bulk carrier"),Alukset_fx!$C$35,IF(OR(Q670="Tanker",Q670="Gas tanker",Q670="Oil tanker"),Alukset_fx!$C$57,IF(Q670="Chemical tanker",Alukset_fx!$C$56,IF(OR(Q670="Tugboat",Q670="Barge"),0,IF(Q670="Other vessel",Alukset_fx!$C$54,IF(Q670="Container ship",Alukset_fx!$C$37,IF(OR(Q670="RoPax",Q670="RoRo",Q670="Vehicle carrier"),Alukset_fx!$C$55,0))))))))</f>
        <v>0</v>
      </c>
      <c r="Y670" s="211">
        <f>IF(Q670="Other dry cargo", Alukset_fx!$Q$52, IF(OR(Q670="Dry bulk",Q670="Bulk carrier"),Alukset_fx!$Q$35,IF(OR(Q670="Tanker",Q670="Gas tanker",Q670="Oil tanker"),Alukset_fx!$Q$57,IF(Q670="Chemical tanker",Alukset_fx!$Q$56,IF(OR(Q670="Tugboat",Q670="Barge"),0,IF(Q670="Other vessel",Alukset_fx!$Q$54,IF(Q670="Container ship",Alukset_fx!$Q$37,IF(OR(Q670="RoPax",Q670="RoRo",Q670="Vehicle carrier"),Alukset_fx!$Q$55,0))))))))</f>
        <v>0</v>
      </c>
      <c r="Z670" t="str">
        <f t="shared" si="128"/>
        <v>MDO/MGO</v>
      </c>
      <c r="AA670" t="str">
        <f t="shared" si="129"/>
        <v>MSD</v>
      </c>
      <c r="AB670" t="str">
        <f t="shared" si="130"/>
        <v>MDO/MGO</v>
      </c>
      <c r="AC670" t="str">
        <f t="shared" si="131"/>
        <v>MSD</v>
      </c>
      <c r="AD670" t="str">
        <f t="shared" si="132"/>
        <v>MDO/MGO</v>
      </c>
      <c r="AE670" t="str">
        <f t="shared" si="133"/>
        <v>ST</v>
      </c>
      <c r="AG670">
        <f>Alukset_Käynnit!O677</f>
        <v>0</v>
      </c>
      <c r="AH670" s="207">
        <f>IF(AA670="SSD",((U670*Alukset_fx!$B$24)*Alukset_Käynnit_Lask!W670*(Alukset_fx!$K$49)/1000),IF(AA670="MSD",((U670*Alukset_fx!$B$24)*Alukset_Käynnit_Lask!W670*(Alukset_fx!$K$52)/1000),IF(AA670="HSD",((U670*Alukset_fx!$B$24)*Alukset_Käynnit_Lask!W670*(Alukset_fx!$K$55)/1000),0)))</f>
        <v>0</v>
      </c>
      <c r="AI670" s="207">
        <f>IF(AC670="MSD",((V670*Alukset_fx!$B$25)*Alukset_Käynnit_Lask!W670*(Alukset_fx!$L$52)/1000),IF(AC670="HSD",((V670*Alukset_fx!$B$25)*Alukset_Käynnit_Lask!W670*(Alukset_fx!$L$55)/1000),0))</f>
        <v>0</v>
      </c>
      <c r="AJ670" s="207">
        <f>X670*W670*Alukset_fx!$K$61/1000</f>
        <v>0</v>
      </c>
      <c r="AK670">
        <v>0</v>
      </c>
      <c r="AL670" s="207">
        <f>IF(AG670="Käytetty",0,IF(AC670="MSD",((V670*Alukset_fx!$O$25)*Alukset_Käynnit_Lask!O670*(Alukset_fx!$L$52)/1000),IF(AC670="HSD",((V670*Alukset_fx!$O$25)*Alukset_Käynnit_Lask!O670*(Alukset_fx!$L$55)/1000),0)))</f>
        <v>0</v>
      </c>
      <c r="AM670" s="207">
        <f>IF(AG670="Käytetty",0,Y670*O670*Alukset_fx!$K$61/1000)</f>
        <v>0</v>
      </c>
      <c r="AN670" s="213">
        <f t="shared" si="134"/>
        <v>0</v>
      </c>
    </row>
    <row r="671" spans="1:40" x14ac:dyDescent="0.25">
      <c r="A671" s="203">
        <f>Alukset_Käynnit!A678</f>
        <v>0</v>
      </c>
      <c r="B671" s="203">
        <f>Alukset_Käynnit!B678</f>
        <v>0</v>
      </c>
      <c r="C671" s="262">
        <f>Alukset_Käynnit!C678</f>
        <v>0</v>
      </c>
      <c r="D671" s="266">
        <f>Alukset_Käynnit!D678</f>
        <v>0</v>
      </c>
      <c r="E671" s="262">
        <f>Alukset_Käynnit!E678</f>
        <v>0</v>
      </c>
      <c r="F671" s="262">
        <f>Alukset_Käynnit!F678</f>
        <v>0</v>
      </c>
      <c r="G671" s="262">
        <f>Alukset_Käynnit!G678</f>
        <v>0</v>
      </c>
      <c r="H671" s="262">
        <f>Alukset_Käynnit!H678</f>
        <v>0</v>
      </c>
      <c r="I671" s="262">
        <f>Alukset_Käynnit!I678</f>
        <v>0</v>
      </c>
      <c r="J671" s="262">
        <f>Alukset_Käynnit!J678</f>
        <v>0</v>
      </c>
      <c r="K671" s="262">
        <f>Alukset_Käynnit!K678</f>
        <v>0</v>
      </c>
      <c r="L671" s="205">
        <f>Alukset_Käynnit!L678</f>
        <v>0</v>
      </c>
      <c r="N671" s="273">
        <f t="shared" si="135"/>
        <v>0</v>
      </c>
      <c r="O671" s="274">
        <f t="shared" si="136"/>
        <v>0</v>
      </c>
      <c r="Q671" s="204">
        <f t="shared" si="125"/>
        <v>0</v>
      </c>
      <c r="R671" s="202">
        <f>IF(Q671="Other dry cargo",L671*Alukset_fx!$B$71,IF(OR(Q671="Dry bulk",Q671="Bulk carrier"),L671*Alukset_fx!$B$69,IF(Q671="Tugboat",L671*Alukset_fx!$B$76,IF(OR(Q671="Tanker",Q671="Gas tanker",Q671="Chemical tanker",Q671="Oil tanker"),L671*Alukset_fx!$B$68,IF(OR(Q671="RoRo",Q671="Vehicle carrier"),L671*Alukset_fx!$B$72,IF(Q671="RoPax",L671*Alukset_fx!$B$73,IF(Q671="Container ship",L671*Alukset_fx!$B$70,IF(Q671="Barge",0,L671*Alukset_fx!$B$75))))))))</f>
        <v>0</v>
      </c>
      <c r="S671" s="210">
        <f>IF(L671=0,IF(Q671="Other dry cargo",Alukset_fx!$H$73*(Alukset_Käynnit_Lask!K671^Alukset_fx!$I$73),IF(OR(Q671="Dry Bulk",Q671="Bulk carrier"),Alukset_fx!$H$71*(Alukset_Käynnit_Lask!K671^Alukset_fx!$I$71),IF(Q671="Tugboat",Alukset_fx!$H$78*(Alukset_Käynnit_Lask!K671^Alukset_fx!$I$78),IF(OR(Q671="Tanker",Q671="Gas tanker",Q671="Chemical tanker",Q671="Oil tanker"),Alukset_fx!$H$70*(Alukset_Käynnit_Lask!K671^Alukset_fx!$I$70),IF(Q671="Container ship",Alukset_fx!$H$72*(Alukset_Käynnit_Lask!K671^Alukset_fx!$I$72),IF(Q671="Barge",0,IF(Q671="RoPax",Alukset_fx!$H$75*(Alukset_Käynnit_Lask!K671^Alukset_fx!$I$75),IF(OR(Q671="RoRo",Q671="Vehicle carrier"),Alukset_fx!$H$74*(Alukset_Käynnit_Lask!K671^Alukset_fx!$I$74),Alukset_fx!$H$77*(Alukset_Käynnit_Lask!K671^Alukset_fx!$I$77))))))))),"-")</f>
        <v>0</v>
      </c>
      <c r="T671" s="208">
        <f>IF(R671=0,IF(Q671="Other dry cargo",S671*Alukset_fx!$B$71,IF(OR(Q671="Dry bulk",Q671="Bulk carrier"),S671*Alukset_fx!$B$69,IF(Q671="Tugboat",S671*Alukset_fx!$B$76,IF(OR(Q671="Tanker",Q671="Gas tanker",Q671="Chemical tanker",Q671="Oil tanker"),S671*Alukset_fx!$B$68,IF(OR(Q671="RoRo",Q671="Vehicle carrier"),S671*Alukset_fx!$B$72,IF(Q671="RoPax",S671*Alukset_fx!$B$73,IF(Q671="Container ship",S671*Alukset_fx!$B$70,S671*Alukset_fx!$B$75))))))),"-")</f>
        <v>0</v>
      </c>
      <c r="U671" s="208">
        <f t="shared" si="126"/>
        <v>0</v>
      </c>
      <c r="V671" s="208">
        <f t="shared" si="127"/>
        <v>0</v>
      </c>
      <c r="W671" s="202">
        <f>Alukset_Käynnit!N678</f>
        <v>0</v>
      </c>
      <c r="X671" s="211">
        <f>IF(Q671="Other dry cargo", Alukset_fx!$C$52, IF(OR(Q671="Dry bulk",Q671="Bulk carrier"),Alukset_fx!$C$35,IF(OR(Q671="Tanker",Q671="Gas tanker",Q671="Oil tanker"),Alukset_fx!$C$57,IF(Q671="Chemical tanker",Alukset_fx!$C$56,IF(OR(Q671="Tugboat",Q671="Barge"),0,IF(Q671="Other vessel",Alukset_fx!$C$54,IF(Q671="Container ship",Alukset_fx!$C$37,IF(OR(Q671="RoPax",Q671="RoRo",Q671="Vehicle carrier"),Alukset_fx!$C$55,0))))))))</f>
        <v>0</v>
      </c>
      <c r="Y671" s="211">
        <f>IF(Q671="Other dry cargo", Alukset_fx!$Q$52, IF(OR(Q671="Dry bulk",Q671="Bulk carrier"),Alukset_fx!$Q$35,IF(OR(Q671="Tanker",Q671="Gas tanker",Q671="Oil tanker"),Alukset_fx!$Q$57,IF(Q671="Chemical tanker",Alukset_fx!$Q$56,IF(OR(Q671="Tugboat",Q671="Barge"),0,IF(Q671="Other vessel",Alukset_fx!$Q$54,IF(Q671="Container ship",Alukset_fx!$Q$37,IF(OR(Q671="RoPax",Q671="RoRo",Q671="Vehicle carrier"),Alukset_fx!$Q$55,0))))))))</f>
        <v>0</v>
      </c>
      <c r="Z671" t="str">
        <f t="shared" si="128"/>
        <v>MDO/MGO</v>
      </c>
      <c r="AA671" t="str">
        <f t="shared" si="129"/>
        <v>MSD</v>
      </c>
      <c r="AB671" t="str">
        <f t="shared" si="130"/>
        <v>MDO/MGO</v>
      </c>
      <c r="AC671" t="str">
        <f t="shared" si="131"/>
        <v>MSD</v>
      </c>
      <c r="AD671" t="str">
        <f t="shared" si="132"/>
        <v>MDO/MGO</v>
      </c>
      <c r="AE671" t="str">
        <f t="shared" si="133"/>
        <v>ST</v>
      </c>
      <c r="AG671">
        <f>Alukset_Käynnit!O678</f>
        <v>0</v>
      </c>
      <c r="AH671" s="207">
        <f>IF(AA671="SSD",((U671*Alukset_fx!$B$24)*Alukset_Käynnit_Lask!W671*(Alukset_fx!$K$49)/1000),IF(AA671="MSD",((U671*Alukset_fx!$B$24)*Alukset_Käynnit_Lask!W671*(Alukset_fx!$K$52)/1000),IF(AA671="HSD",((U671*Alukset_fx!$B$24)*Alukset_Käynnit_Lask!W671*(Alukset_fx!$K$55)/1000),0)))</f>
        <v>0</v>
      </c>
      <c r="AI671" s="207">
        <f>IF(AC671="MSD",((V671*Alukset_fx!$B$25)*Alukset_Käynnit_Lask!W671*(Alukset_fx!$L$52)/1000),IF(AC671="HSD",((V671*Alukset_fx!$B$25)*Alukset_Käynnit_Lask!W671*(Alukset_fx!$L$55)/1000),0))</f>
        <v>0</v>
      </c>
      <c r="AJ671" s="207">
        <f>X671*W671*Alukset_fx!$K$61/1000</f>
        <v>0</v>
      </c>
      <c r="AK671">
        <v>0</v>
      </c>
      <c r="AL671" s="207">
        <f>IF(AG671="Käytetty",0,IF(AC671="MSD",((V671*Alukset_fx!$O$25)*Alukset_Käynnit_Lask!O671*(Alukset_fx!$L$52)/1000),IF(AC671="HSD",((V671*Alukset_fx!$O$25)*Alukset_Käynnit_Lask!O671*(Alukset_fx!$L$55)/1000),0)))</f>
        <v>0</v>
      </c>
      <c r="AM671" s="207">
        <f>IF(AG671="Käytetty",0,Y671*O671*Alukset_fx!$K$61/1000)</f>
        <v>0</v>
      </c>
      <c r="AN671" s="213">
        <f t="shared" si="134"/>
        <v>0</v>
      </c>
    </row>
    <row r="672" spans="1:40" x14ac:dyDescent="0.25">
      <c r="A672" s="203">
        <f>Alukset_Käynnit!A679</f>
        <v>0</v>
      </c>
      <c r="B672" s="203">
        <f>Alukset_Käynnit!B679</f>
        <v>0</v>
      </c>
      <c r="C672" s="262">
        <f>Alukset_Käynnit!C679</f>
        <v>0</v>
      </c>
      <c r="D672" s="266">
        <f>Alukset_Käynnit!D679</f>
        <v>0</v>
      </c>
      <c r="E672" s="262">
        <f>Alukset_Käynnit!E679</f>
        <v>0</v>
      </c>
      <c r="F672" s="262">
        <f>Alukset_Käynnit!F679</f>
        <v>0</v>
      </c>
      <c r="G672" s="262">
        <f>Alukset_Käynnit!G679</f>
        <v>0</v>
      </c>
      <c r="H672" s="262">
        <f>Alukset_Käynnit!H679</f>
        <v>0</v>
      </c>
      <c r="I672" s="262">
        <f>Alukset_Käynnit!I679</f>
        <v>0</v>
      </c>
      <c r="J672" s="262">
        <f>Alukset_Käynnit!J679</f>
        <v>0</v>
      </c>
      <c r="K672" s="262">
        <f>Alukset_Käynnit!K679</f>
        <v>0</v>
      </c>
      <c r="L672" s="205">
        <f>Alukset_Käynnit!L679</f>
        <v>0</v>
      </c>
      <c r="N672" s="273">
        <f t="shared" si="135"/>
        <v>0</v>
      </c>
      <c r="O672" s="274">
        <f t="shared" si="136"/>
        <v>0</v>
      </c>
      <c r="Q672" s="204">
        <f t="shared" si="125"/>
        <v>0</v>
      </c>
      <c r="R672" s="202">
        <f>IF(Q672="Other dry cargo",L672*Alukset_fx!$B$71,IF(OR(Q672="Dry bulk",Q672="Bulk carrier"),L672*Alukset_fx!$B$69,IF(Q672="Tugboat",L672*Alukset_fx!$B$76,IF(OR(Q672="Tanker",Q672="Gas tanker",Q672="Chemical tanker",Q672="Oil tanker"),L672*Alukset_fx!$B$68,IF(OR(Q672="RoRo",Q672="Vehicle carrier"),L672*Alukset_fx!$B$72,IF(Q672="RoPax",L672*Alukset_fx!$B$73,IF(Q672="Container ship",L672*Alukset_fx!$B$70,IF(Q672="Barge",0,L672*Alukset_fx!$B$75))))))))</f>
        <v>0</v>
      </c>
      <c r="S672" s="210">
        <f>IF(L672=0,IF(Q672="Other dry cargo",Alukset_fx!$H$73*(Alukset_Käynnit_Lask!K672^Alukset_fx!$I$73),IF(OR(Q672="Dry Bulk",Q672="Bulk carrier"),Alukset_fx!$H$71*(Alukset_Käynnit_Lask!K672^Alukset_fx!$I$71),IF(Q672="Tugboat",Alukset_fx!$H$78*(Alukset_Käynnit_Lask!K672^Alukset_fx!$I$78),IF(OR(Q672="Tanker",Q672="Gas tanker",Q672="Chemical tanker",Q672="Oil tanker"),Alukset_fx!$H$70*(Alukset_Käynnit_Lask!K672^Alukset_fx!$I$70),IF(Q672="Container ship",Alukset_fx!$H$72*(Alukset_Käynnit_Lask!K672^Alukset_fx!$I$72),IF(Q672="Barge",0,IF(Q672="RoPax",Alukset_fx!$H$75*(Alukset_Käynnit_Lask!K672^Alukset_fx!$I$75),IF(OR(Q672="RoRo",Q672="Vehicle carrier"),Alukset_fx!$H$74*(Alukset_Käynnit_Lask!K672^Alukset_fx!$I$74),Alukset_fx!$H$77*(Alukset_Käynnit_Lask!K672^Alukset_fx!$I$77))))))))),"-")</f>
        <v>0</v>
      </c>
      <c r="T672" s="208">
        <f>IF(R672=0,IF(Q672="Other dry cargo",S672*Alukset_fx!$B$71,IF(OR(Q672="Dry bulk",Q672="Bulk carrier"),S672*Alukset_fx!$B$69,IF(Q672="Tugboat",S672*Alukset_fx!$B$76,IF(OR(Q672="Tanker",Q672="Gas tanker",Q672="Chemical tanker",Q672="Oil tanker"),S672*Alukset_fx!$B$68,IF(OR(Q672="RoRo",Q672="Vehicle carrier"),S672*Alukset_fx!$B$72,IF(Q672="RoPax",S672*Alukset_fx!$B$73,IF(Q672="Container ship",S672*Alukset_fx!$B$70,S672*Alukset_fx!$B$75))))))),"-")</f>
        <v>0</v>
      </c>
      <c r="U672" s="208">
        <f t="shared" si="126"/>
        <v>0</v>
      </c>
      <c r="V672" s="208">
        <f t="shared" si="127"/>
        <v>0</v>
      </c>
      <c r="W672" s="202">
        <f>Alukset_Käynnit!N679</f>
        <v>0</v>
      </c>
      <c r="X672" s="211">
        <f>IF(Q672="Other dry cargo", Alukset_fx!$C$52, IF(OR(Q672="Dry bulk",Q672="Bulk carrier"),Alukset_fx!$C$35,IF(OR(Q672="Tanker",Q672="Gas tanker",Q672="Oil tanker"),Alukset_fx!$C$57,IF(Q672="Chemical tanker",Alukset_fx!$C$56,IF(OR(Q672="Tugboat",Q672="Barge"),0,IF(Q672="Other vessel",Alukset_fx!$C$54,IF(Q672="Container ship",Alukset_fx!$C$37,IF(OR(Q672="RoPax",Q672="RoRo",Q672="Vehicle carrier"),Alukset_fx!$C$55,0))))))))</f>
        <v>0</v>
      </c>
      <c r="Y672" s="211">
        <f>IF(Q672="Other dry cargo", Alukset_fx!$Q$52, IF(OR(Q672="Dry bulk",Q672="Bulk carrier"),Alukset_fx!$Q$35,IF(OR(Q672="Tanker",Q672="Gas tanker",Q672="Oil tanker"),Alukset_fx!$Q$57,IF(Q672="Chemical tanker",Alukset_fx!$Q$56,IF(OR(Q672="Tugboat",Q672="Barge"),0,IF(Q672="Other vessel",Alukset_fx!$Q$54,IF(Q672="Container ship",Alukset_fx!$Q$37,IF(OR(Q672="RoPax",Q672="RoRo",Q672="Vehicle carrier"),Alukset_fx!$Q$55,0))))))))</f>
        <v>0</v>
      </c>
      <c r="Z672" t="str">
        <f t="shared" si="128"/>
        <v>MDO/MGO</v>
      </c>
      <c r="AA672" t="str">
        <f t="shared" si="129"/>
        <v>MSD</v>
      </c>
      <c r="AB672" t="str">
        <f t="shared" si="130"/>
        <v>MDO/MGO</v>
      </c>
      <c r="AC672" t="str">
        <f t="shared" si="131"/>
        <v>MSD</v>
      </c>
      <c r="AD672" t="str">
        <f t="shared" si="132"/>
        <v>MDO/MGO</v>
      </c>
      <c r="AE672" t="str">
        <f t="shared" si="133"/>
        <v>ST</v>
      </c>
      <c r="AG672">
        <f>Alukset_Käynnit!O679</f>
        <v>0</v>
      </c>
      <c r="AH672" s="207">
        <f>IF(AA672="SSD",((U672*Alukset_fx!$B$24)*Alukset_Käynnit_Lask!W672*(Alukset_fx!$K$49)/1000),IF(AA672="MSD",((U672*Alukset_fx!$B$24)*Alukset_Käynnit_Lask!W672*(Alukset_fx!$K$52)/1000),IF(AA672="HSD",((U672*Alukset_fx!$B$24)*Alukset_Käynnit_Lask!W672*(Alukset_fx!$K$55)/1000),0)))</f>
        <v>0</v>
      </c>
      <c r="AI672" s="207">
        <f>IF(AC672="MSD",((V672*Alukset_fx!$B$25)*Alukset_Käynnit_Lask!W672*(Alukset_fx!$L$52)/1000),IF(AC672="HSD",((V672*Alukset_fx!$B$25)*Alukset_Käynnit_Lask!W672*(Alukset_fx!$L$55)/1000),0))</f>
        <v>0</v>
      </c>
      <c r="AJ672" s="207">
        <f>X672*W672*Alukset_fx!$K$61/1000</f>
        <v>0</v>
      </c>
      <c r="AK672">
        <v>0</v>
      </c>
      <c r="AL672" s="207">
        <f>IF(AG672="Käytetty",0,IF(AC672="MSD",((V672*Alukset_fx!$O$25)*Alukset_Käynnit_Lask!O672*(Alukset_fx!$L$52)/1000),IF(AC672="HSD",((V672*Alukset_fx!$O$25)*Alukset_Käynnit_Lask!O672*(Alukset_fx!$L$55)/1000),0)))</f>
        <v>0</v>
      </c>
      <c r="AM672" s="207">
        <f>IF(AG672="Käytetty",0,Y672*O672*Alukset_fx!$K$61/1000)</f>
        <v>0</v>
      </c>
      <c r="AN672" s="213">
        <f t="shared" si="134"/>
        <v>0</v>
      </c>
    </row>
    <row r="673" spans="1:40" x14ac:dyDescent="0.25">
      <c r="A673" s="203">
        <f>Alukset_Käynnit!A680</f>
        <v>0</v>
      </c>
      <c r="B673" s="203">
        <f>Alukset_Käynnit!B680</f>
        <v>0</v>
      </c>
      <c r="C673" s="262">
        <f>Alukset_Käynnit!C680</f>
        <v>0</v>
      </c>
      <c r="D673" s="266">
        <f>Alukset_Käynnit!D680</f>
        <v>0</v>
      </c>
      <c r="E673" s="262">
        <f>Alukset_Käynnit!E680</f>
        <v>0</v>
      </c>
      <c r="F673" s="262">
        <f>Alukset_Käynnit!F680</f>
        <v>0</v>
      </c>
      <c r="G673" s="262">
        <f>Alukset_Käynnit!G680</f>
        <v>0</v>
      </c>
      <c r="H673" s="262">
        <f>Alukset_Käynnit!H680</f>
        <v>0</v>
      </c>
      <c r="I673" s="262">
        <f>Alukset_Käynnit!I680</f>
        <v>0</v>
      </c>
      <c r="J673" s="262">
        <f>Alukset_Käynnit!J680</f>
        <v>0</v>
      </c>
      <c r="K673" s="262">
        <f>Alukset_Käynnit!K680</f>
        <v>0</v>
      </c>
      <c r="L673" s="205">
        <f>Alukset_Käynnit!L680</f>
        <v>0</v>
      </c>
      <c r="N673" s="273">
        <f t="shared" si="135"/>
        <v>0</v>
      </c>
      <c r="O673" s="274">
        <f t="shared" si="136"/>
        <v>0</v>
      </c>
      <c r="Q673" s="204">
        <f t="shared" si="125"/>
        <v>0</v>
      </c>
      <c r="R673" s="202">
        <f>IF(Q673="Other dry cargo",L673*Alukset_fx!$B$71,IF(OR(Q673="Dry bulk",Q673="Bulk carrier"),L673*Alukset_fx!$B$69,IF(Q673="Tugboat",L673*Alukset_fx!$B$76,IF(OR(Q673="Tanker",Q673="Gas tanker",Q673="Chemical tanker",Q673="Oil tanker"),L673*Alukset_fx!$B$68,IF(OR(Q673="RoRo",Q673="Vehicle carrier"),L673*Alukset_fx!$B$72,IF(Q673="RoPax",L673*Alukset_fx!$B$73,IF(Q673="Container ship",L673*Alukset_fx!$B$70,IF(Q673="Barge",0,L673*Alukset_fx!$B$75))))))))</f>
        <v>0</v>
      </c>
      <c r="S673" s="210">
        <f>IF(L673=0,IF(Q673="Other dry cargo",Alukset_fx!$H$73*(Alukset_Käynnit_Lask!K673^Alukset_fx!$I$73),IF(OR(Q673="Dry Bulk",Q673="Bulk carrier"),Alukset_fx!$H$71*(Alukset_Käynnit_Lask!K673^Alukset_fx!$I$71),IF(Q673="Tugboat",Alukset_fx!$H$78*(Alukset_Käynnit_Lask!K673^Alukset_fx!$I$78),IF(OR(Q673="Tanker",Q673="Gas tanker",Q673="Chemical tanker",Q673="Oil tanker"),Alukset_fx!$H$70*(Alukset_Käynnit_Lask!K673^Alukset_fx!$I$70),IF(Q673="Container ship",Alukset_fx!$H$72*(Alukset_Käynnit_Lask!K673^Alukset_fx!$I$72),IF(Q673="Barge",0,IF(Q673="RoPax",Alukset_fx!$H$75*(Alukset_Käynnit_Lask!K673^Alukset_fx!$I$75),IF(OR(Q673="RoRo",Q673="Vehicle carrier"),Alukset_fx!$H$74*(Alukset_Käynnit_Lask!K673^Alukset_fx!$I$74),Alukset_fx!$H$77*(Alukset_Käynnit_Lask!K673^Alukset_fx!$I$77))))))))),"-")</f>
        <v>0</v>
      </c>
      <c r="T673" s="208">
        <f>IF(R673=0,IF(Q673="Other dry cargo",S673*Alukset_fx!$B$71,IF(OR(Q673="Dry bulk",Q673="Bulk carrier"),S673*Alukset_fx!$B$69,IF(Q673="Tugboat",S673*Alukset_fx!$B$76,IF(OR(Q673="Tanker",Q673="Gas tanker",Q673="Chemical tanker",Q673="Oil tanker"),S673*Alukset_fx!$B$68,IF(OR(Q673="RoRo",Q673="Vehicle carrier"),S673*Alukset_fx!$B$72,IF(Q673="RoPax",S673*Alukset_fx!$B$73,IF(Q673="Container ship",S673*Alukset_fx!$B$70,S673*Alukset_fx!$B$75))))))),"-")</f>
        <v>0</v>
      </c>
      <c r="U673" s="208">
        <f t="shared" si="126"/>
        <v>0</v>
      </c>
      <c r="V673" s="208">
        <f t="shared" si="127"/>
        <v>0</v>
      </c>
      <c r="W673" s="202">
        <f>Alukset_Käynnit!N680</f>
        <v>0</v>
      </c>
      <c r="X673" s="211">
        <f>IF(Q673="Other dry cargo", Alukset_fx!$C$52, IF(OR(Q673="Dry bulk",Q673="Bulk carrier"),Alukset_fx!$C$35,IF(OR(Q673="Tanker",Q673="Gas tanker",Q673="Oil tanker"),Alukset_fx!$C$57,IF(Q673="Chemical tanker",Alukset_fx!$C$56,IF(OR(Q673="Tugboat",Q673="Barge"),0,IF(Q673="Other vessel",Alukset_fx!$C$54,IF(Q673="Container ship",Alukset_fx!$C$37,IF(OR(Q673="RoPax",Q673="RoRo",Q673="Vehicle carrier"),Alukset_fx!$C$55,0))))))))</f>
        <v>0</v>
      </c>
      <c r="Y673" s="211">
        <f>IF(Q673="Other dry cargo", Alukset_fx!$Q$52, IF(OR(Q673="Dry bulk",Q673="Bulk carrier"),Alukset_fx!$Q$35,IF(OR(Q673="Tanker",Q673="Gas tanker",Q673="Oil tanker"),Alukset_fx!$Q$57,IF(Q673="Chemical tanker",Alukset_fx!$Q$56,IF(OR(Q673="Tugboat",Q673="Barge"),0,IF(Q673="Other vessel",Alukset_fx!$Q$54,IF(Q673="Container ship",Alukset_fx!$Q$37,IF(OR(Q673="RoPax",Q673="RoRo",Q673="Vehicle carrier"),Alukset_fx!$Q$55,0))))))))</f>
        <v>0</v>
      </c>
      <c r="Z673" t="str">
        <f t="shared" si="128"/>
        <v>MDO/MGO</v>
      </c>
      <c r="AA673" t="str">
        <f t="shared" si="129"/>
        <v>MSD</v>
      </c>
      <c r="AB673" t="str">
        <f t="shared" si="130"/>
        <v>MDO/MGO</v>
      </c>
      <c r="AC673" t="str">
        <f t="shared" si="131"/>
        <v>MSD</v>
      </c>
      <c r="AD673" t="str">
        <f t="shared" si="132"/>
        <v>MDO/MGO</v>
      </c>
      <c r="AE673" t="str">
        <f t="shared" si="133"/>
        <v>ST</v>
      </c>
      <c r="AG673">
        <f>Alukset_Käynnit!O680</f>
        <v>0</v>
      </c>
      <c r="AH673" s="207">
        <f>IF(AA673="SSD",((U673*Alukset_fx!$B$24)*Alukset_Käynnit_Lask!W673*(Alukset_fx!$K$49)/1000),IF(AA673="MSD",((U673*Alukset_fx!$B$24)*Alukset_Käynnit_Lask!W673*(Alukset_fx!$K$52)/1000),IF(AA673="HSD",((U673*Alukset_fx!$B$24)*Alukset_Käynnit_Lask!W673*(Alukset_fx!$K$55)/1000),0)))</f>
        <v>0</v>
      </c>
      <c r="AI673" s="207">
        <f>IF(AC673="MSD",((V673*Alukset_fx!$B$25)*Alukset_Käynnit_Lask!W673*(Alukset_fx!$L$52)/1000),IF(AC673="HSD",((V673*Alukset_fx!$B$25)*Alukset_Käynnit_Lask!W673*(Alukset_fx!$L$55)/1000),0))</f>
        <v>0</v>
      </c>
      <c r="AJ673" s="207">
        <f>X673*W673*Alukset_fx!$K$61/1000</f>
        <v>0</v>
      </c>
      <c r="AK673">
        <v>0</v>
      </c>
      <c r="AL673" s="207">
        <f>IF(AG673="Käytetty",0,IF(AC673="MSD",((V673*Alukset_fx!$O$25)*Alukset_Käynnit_Lask!O673*(Alukset_fx!$L$52)/1000),IF(AC673="HSD",((V673*Alukset_fx!$O$25)*Alukset_Käynnit_Lask!O673*(Alukset_fx!$L$55)/1000),0)))</f>
        <v>0</v>
      </c>
      <c r="AM673" s="207">
        <f>IF(AG673="Käytetty",0,Y673*O673*Alukset_fx!$K$61/1000)</f>
        <v>0</v>
      </c>
      <c r="AN673" s="213">
        <f t="shared" si="134"/>
        <v>0</v>
      </c>
    </row>
    <row r="674" spans="1:40" x14ac:dyDescent="0.25">
      <c r="A674" s="203">
        <f>Alukset_Käynnit!A681</f>
        <v>0</v>
      </c>
      <c r="B674" s="203">
        <f>Alukset_Käynnit!B681</f>
        <v>0</v>
      </c>
      <c r="C674" s="262">
        <f>Alukset_Käynnit!C681</f>
        <v>0</v>
      </c>
      <c r="D674" s="266">
        <f>Alukset_Käynnit!D681</f>
        <v>0</v>
      </c>
      <c r="E674" s="262">
        <f>Alukset_Käynnit!E681</f>
        <v>0</v>
      </c>
      <c r="F674" s="262">
        <f>Alukset_Käynnit!F681</f>
        <v>0</v>
      </c>
      <c r="G674" s="262">
        <f>Alukset_Käynnit!G681</f>
        <v>0</v>
      </c>
      <c r="H674" s="262">
        <f>Alukset_Käynnit!H681</f>
        <v>0</v>
      </c>
      <c r="I674" s="262">
        <f>Alukset_Käynnit!I681</f>
        <v>0</v>
      </c>
      <c r="J674" s="262">
        <f>Alukset_Käynnit!J681</f>
        <v>0</v>
      </c>
      <c r="K674" s="262">
        <f>Alukset_Käynnit!K681</f>
        <v>0</v>
      </c>
      <c r="L674" s="205">
        <f>Alukset_Käynnit!L681</f>
        <v>0</v>
      </c>
      <c r="N674" s="273">
        <f t="shared" si="135"/>
        <v>0</v>
      </c>
      <c r="O674" s="274">
        <f t="shared" si="136"/>
        <v>0</v>
      </c>
      <c r="Q674" s="204">
        <f t="shared" si="125"/>
        <v>0</v>
      </c>
      <c r="R674" s="202">
        <f>IF(Q674="Other dry cargo",L674*Alukset_fx!$B$71,IF(OR(Q674="Dry bulk",Q674="Bulk carrier"),L674*Alukset_fx!$B$69,IF(Q674="Tugboat",L674*Alukset_fx!$B$76,IF(OR(Q674="Tanker",Q674="Gas tanker",Q674="Chemical tanker",Q674="Oil tanker"),L674*Alukset_fx!$B$68,IF(OR(Q674="RoRo",Q674="Vehicle carrier"),L674*Alukset_fx!$B$72,IF(Q674="RoPax",L674*Alukset_fx!$B$73,IF(Q674="Container ship",L674*Alukset_fx!$B$70,IF(Q674="Barge",0,L674*Alukset_fx!$B$75))))))))</f>
        <v>0</v>
      </c>
      <c r="S674" s="210">
        <f>IF(L674=0,IF(Q674="Other dry cargo",Alukset_fx!$H$73*(Alukset_Käynnit_Lask!K674^Alukset_fx!$I$73),IF(OR(Q674="Dry Bulk",Q674="Bulk carrier"),Alukset_fx!$H$71*(Alukset_Käynnit_Lask!K674^Alukset_fx!$I$71),IF(Q674="Tugboat",Alukset_fx!$H$78*(Alukset_Käynnit_Lask!K674^Alukset_fx!$I$78),IF(OR(Q674="Tanker",Q674="Gas tanker",Q674="Chemical tanker",Q674="Oil tanker"),Alukset_fx!$H$70*(Alukset_Käynnit_Lask!K674^Alukset_fx!$I$70),IF(Q674="Container ship",Alukset_fx!$H$72*(Alukset_Käynnit_Lask!K674^Alukset_fx!$I$72),IF(Q674="Barge",0,IF(Q674="RoPax",Alukset_fx!$H$75*(Alukset_Käynnit_Lask!K674^Alukset_fx!$I$75),IF(OR(Q674="RoRo",Q674="Vehicle carrier"),Alukset_fx!$H$74*(Alukset_Käynnit_Lask!K674^Alukset_fx!$I$74),Alukset_fx!$H$77*(Alukset_Käynnit_Lask!K674^Alukset_fx!$I$77))))))))),"-")</f>
        <v>0</v>
      </c>
      <c r="T674" s="208">
        <f>IF(R674=0,IF(Q674="Other dry cargo",S674*Alukset_fx!$B$71,IF(OR(Q674="Dry bulk",Q674="Bulk carrier"),S674*Alukset_fx!$B$69,IF(Q674="Tugboat",S674*Alukset_fx!$B$76,IF(OR(Q674="Tanker",Q674="Gas tanker",Q674="Chemical tanker",Q674="Oil tanker"),S674*Alukset_fx!$B$68,IF(OR(Q674="RoRo",Q674="Vehicle carrier"),S674*Alukset_fx!$B$72,IF(Q674="RoPax",S674*Alukset_fx!$B$73,IF(Q674="Container ship",S674*Alukset_fx!$B$70,S674*Alukset_fx!$B$75))))))),"-")</f>
        <v>0</v>
      </c>
      <c r="U674" s="208">
        <f t="shared" si="126"/>
        <v>0</v>
      </c>
      <c r="V674" s="208">
        <f t="shared" si="127"/>
        <v>0</v>
      </c>
      <c r="W674" s="202">
        <f>Alukset_Käynnit!N681</f>
        <v>0</v>
      </c>
      <c r="X674" s="211">
        <f>IF(Q674="Other dry cargo", Alukset_fx!$C$52, IF(OR(Q674="Dry bulk",Q674="Bulk carrier"),Alukset_fx!$C$35,IF(OR(Q674="Tanker",Q674="Gas tanker",Q674="Oil tanker"),Alukset_fx!$C$57,IF(Q674="Chemical tanker",Alukset_fx!$C$56,IF(OR(Q674="Tugboat",Q674="Barge"),0,IF(Q674="Other vessel",Alukset_fx!$C$54,IF(Q674="Container ship",Alukset_fx!$C$37,IF(OR(Q674="RoPax",Q674="RoRo",Q674="Vehicle carrier"),Alukset_fx!$C$55,0))))))))</f>
        <v>0</v>
      </c>
      <c r="Y674" s="211">
        <f>IF(Q674="Other dry cargo", Alukset_fx!$Q$52, IF(OR(Q674="Dry bulk",Q674="Bulk carrier"),Alukset_fx!$Q$35,IF(OR(Q674="Tanker",Q674="Gas tanker",Q674="Oil tanker"),Alukset_fx!$Q$57,IF(Q674="Chemical tanker",Alukset_fx!$Q$56,IF(OR(Q674="Tugboat",Q674="Barge"),0,IF(Q674="Other vessel",Alukset_fx!$Q$54,IF(Q674="Container ship",Alukset_fx!$Q$37,IF(OR(Q674="RoPax",Q674="RoRo",Q674="Vehicle carrier"),Alukset_fx!$Q$55,0))))))))</f>
        <v>0</v>
      </c>
      <c r="Z674" t="str">
        <f t="shared" si="128"/>
        <v>MDO/MGO</v>
      </c>
      <c r="AA674" t="str">
        <f t="shared" si="129"/>
        <v>MSD</v>
      </c>
      <c r="AB674" t="str">
        <f t="shared" si="130"/>
        <v>MDO/MGO</v>
      </c>
      <c r="AC674" t="str">
        <f t="shared" si="131"/>
        <v>MSD</v>
      </c>
      <c r="AD674" t="str">
        <f t="shared" si="132"/>
        <v>MDO/MGO</v>
      </c>
      <c r="AE674" t="str">
        <f t="shared" si="133"/>
        <v>ST</v>
      </c>
      <c r="AG674">
        <f>Alukset_Käynnit!O681</f>
        <v>0</v>
      </c>
      <c r="AH674" s="207">
        <f>IF(AA674="SSD",((U674*Alukset_fx!$B$24)*Alukset_Käynnit_Lask!W674*(Alukset_fx!$K$49)/1000),IF(AA674="MSD",((U674*Alukset_fx!$B$24)*Alukset_Käynnit_Lask!W674*(Alukset_fx!$K$52)/1000),IF(AA674="HSD",((U674*Alukset_fx!$B$24)*Alukset_Käynnit_Lask!W674*(Alukset_fx!$K$55)/1000),0)))</f>
        <v>0</v>
      </c>
      <c r="AI674" s="207">
        <f>IF(AC674="MSD",((V674*Alukset_fx!$B$25)*Alukset_Käynnit_Lask!W674*(Alukset_fx!$L$52)/1000),IF(AC674="HSD",((V674*Alukset_fx!$B$25)*Alukset_Käynnit_Lask!W674*(Alukset_fx!$L$55)/1000),0))</f>
        <v>0</v>
      </c>
      <c r="AJ674" s="207">
        <f>X674*W674*Alukset_fx!$K$61/1000</f>
        <v>0</v>
      </c>
      <c r="AK674">
        <v>0</v>
      </c>
      <c r="AL674" s="207">
        <f>IF(AG674="Käytetty",0,IF(AC674="MSD",((V674*Alukset_fx!$O$25)*Alukset_Käynnit_Lask!O674*(Alukset_fx!$L$52)/1000),IF(AC674="HSD",((V674*Alukset_fx!$O$25)*Alukset_Käynnit_Lask!O674*(Alukset_fx!$L$55)/1000),0)))</f>
        <v>0</v>
      </c>
      <c r="AM674" s="207">
        <f>IF(AG674="Käytetty",0,Y674*O674*Alukset_fx!$K$61/1000)</f>
        <v>0</v>
      </c>
      <c r="AN674" s="213">
        <f t="shared" si="134"/>
        <v>0</v>
      </c>
    </row>
    <row r="675" spans="1:40" x14ac:dyDescent="0.25">
      <c r="A675" s="203">
        <f>Alukset_Käynnit!A682</f>
        <v>0</v>
      </c>
      <c r="B675" s="203">
        <f>Alukset_Käynnit!B682</f>
        <v>0</v>
      </c>
      <c r="C675" s="262">
        <f>Alukset_Käynnit!C682</f>
        <v>0</v>
      </c>
      <c r="D675" s="266">
        <f>Alukset_Käynnit!D682</f>
        <v>0</v>
      </c>
      <c r="E675" s="262">
        <f>Alukset_Käynnit!E682</f>
        <v>0</v>
      </c>
      <c r="F675" s="262">
        <f>Alukset_Käynnit!F682</f>
        <v>0</v>
      </c>
      <c r="G675" s="262">
        <f>Alukset_Käynnit!G682</f>
        <v>0</v>
      </c>
      <c r="H675" s="262">
        <f>Alukset_Käynnit!H682</f>
        <v>0</v>
      </c>
      <c r="I675" s="262">
        <f>Alukset_Käynnit!I682</f>
        <v>0</v>
      </c>
      <c r="J675" s="262">
        <f>Alukset_Käynnit!J682</f>
        <v>0</v>
      </c>
      <c r="K675" s="262">
        <f>Alukset_Käynnit!K682</f>
        <v>0</v>
      </c>
      <c r="L675" s="205">
        <f>Alukset_Käynnit!L682</f>
        <v>0</v>
      </c>
      <c r="N675" s="273">
        <f t="shared" si="135"/>
        <v>0</v>
      </c>
      <c r="O675" s="274">
        <f t="shared" si="136"/>
        <v>0</v>
      </c>
      <c r="Q675" s="204">
        <f t="shared" si="125"/>
        <v>0</v>
      </c>
      <c r="R675" s="202">
        <f>IF(Q675="Other dry cargo",L675*Alukset_fx!$B$71,IF(OR(Q675="Dry bulk",Q675="Bulk carrier"),L675*Alukset_fx!$B$69,IF(Q675="Tugboat",L675*Alukset_fx!$B$76,IF(OR(Q675="Tanker",Q675="Gas tanker",Q675="Chemical tanker",Q675="Oil tanker"),L675*Alukset_fx!$B$68,IF(OR(Q675="RoRo",Q675="Vehicle carrier"),L675*Alukset_fx!$B$72,IF(Q675="RoPax",L675*Alukset_fx!$B$73,IF(Q675="Container ship",L675*Alukset_fx!$B$70,IF(Q675="Barge",0,L675*Alukset_fx!$B$75))))))))</f>
        <v>0</v>
      </c>
      <c r="S675" s="210">
        <f>IF(L675=0,IF(Q675="Other dry cargo",Alukset_fx!$H$73*(Alukset_Käynnit_Lask!K675^Alukset_fx!$I$73),IF(OR(Q675="Dry Bulk",Q675="Bulk carrier"),Alukset_fx!$H$71*(Alukset_Käynnit_Lask!K675^Alukset_fx!$I$71),IF(Q675="Tugboat",Alukset_fx!$H$78*(Alukset_Käynnit_Lask!K675^Alukset_fx!$I$78),IF(OR(Q675="Tanker",Q675="Gas tanker",Q675="Chemical tanker",Q675="Oil tanker"),Alukset_fx!$H$70*(Alukset_Käynnit_Lask!K675^Alukset_fx!$I$70),IF(Q675="Container ship",Alukset_fx!$H$72*(Alukset_Käynnit_Lask!K675^Alukset_fx!$I$72),IF(Q675="Barge",0,IF(Q675="RoPax",Alukset_fx!$H$75*(Alukset_Käynnit_Lask!K675^Alukset_fx!$I$75),IF(OR(Q675="RoRo",Q675="Vehicle carrier"),Alukset_fx!$H$74*(Alukset_Käynnit_Lask!K675^Alukset_fx!$I$74),Alukset_fx!$H$77*(Alukset_Käynnit_Lask!K675^Alukset_fx!$I$77))))))))),"-")</f>
        <v>0</v>
      </c>
      <c r="T675" s="208">
        <f>IF(R675=0,IF(Q675="Other dry cargo",S675*Alukset_fx!$B$71,IF(OR(Q675="Dry bulk",Q675="Bulk carrier"),S675*Alukset_fx!$B$69,IF(Q675="Tugboat",S675*Alukset_fx!$B$76,IF(OR(Q675="Tanker",Q675="Gas tanker",Q675="Chemical tanker",Q675="Oil tanker"),S675*Alukset_fx!$B$68,IF(OR(Q675="RoRo",Q675="Vehicle carrier"),S675*Alukset_fx!$B$72,IF(Q675="RoPax",S675*Alukset_fx!$B$73,IF(Q675="Container ship",S675*Alukset_fx!$B$70,S675*Alukset_fx!$B$75))))))),"-")</f>
        <v>0</v>
      </c>
      <c r="U675" s="208">
        <f t="shared" si="126"/>
        <v>0</v>
      </c>
      <c r="V675" s="208">
        <f t="shared" si="127"/>
        <v>0</v>
      </c>
      <c r="W675" s="202">
        <f>Alukset_Käynnit!N682</f>
        <v>0</v>
      </c>
      <c r="X675" s="211">
        <f>IF(Q675="Other dry cargo", Alukset_fx!$C$52, IF(OR(Q675="Dry bulk",Q675="Bulk carrier"),Alukset_fx!$C$35,IF(OR(Q675="Tanker",Q675="Gas tanker",Q675="Oil tanker"),Alukset_fx!$C$57,IF(Q675="Chemical tanker",Alukset_fx!$C$56,IF(OR(Q675="Tugboat",Q675="Barge"),0,IF(Q675="Other vessel",Alukset_fx!$C$54,IF(Q675="Container ship",Alukset_fx!$C$37,IF(OR(Q675="RoPax",Q675="RoRo",Q675="Vehicle carrier"),Alukset_fx!$C$55,0))))))))</f>
        <v>0</v>
      </c>
      <c r="Y675" s="211">
        <f>IF(Q675="Other dry cargo", Alukset_fx!$Q$52, IF(OR(Q675="Dry bulk",Q675="Bulk carrier"),Alukset_fx!$Q$35,IF(OR(Q675="Tanker",Q675="Gas tanker",Q675="Oil tanker"),Alukset_fx!$Q$57,IF(Q675="Chemical tanker",Alukset_fx!$Q$56,IF(OR(Q675="Tugboat",Q675="Barge"),0,IF(Q675="Other vessel",Alukset_fx!$Q$54,IF(Q675="Container ship",Alukset_fx!$Q$37,IF(OR(Q675="RoPax",Q675="RoRo",Q675="Vehicle carrier"),Alukset_fx!$Q$55,0))))))))</f>
        <v>0</v>
      </c>
      <c r="Z675" t="str">
        <f t="shared" si="128"/>
        <v>MDO/MGO</v>
      </c>
      <c r="AA675" t="str">
        <f t="shared" si="129"/>
        <v>MSD</v>
      </c>
      <c r="AB675" t="str">
        <f t="shared" si="130"/>
        <v>MDO/MGO</v>
      </c>
      <c r="AC675" t="str">
        <f t="shared" si="131"/>
        <v>MSD</v>
      </c>
      <c r="AD675" t="str">
        <f t="shared" si="132"/>
        <v>MDO/MGO</v>
      </c>
      <c r="AE675" t="str">
        <f t="shared" si="133"/>
        <v>ST</v>
      </c>
      <c r="AG675">
        <f>Alukset_Käynnit!O682</f>
        <v>0</v>
      </c>
      <c r="AH675" s="207">
        <f>IF(AA675="SSD",((U675*Alukset_fx!$B$24)*Alukset_Käynnit_Lask!W675*(Alukset_fx!$K$49)/1000),IF(AA675="MSD",((U675*Alukset_fx!$B$24)*Alukset_Käynnit_Lask!W675*(Alukset_fx!$K$52)/1000),IF(AA675="HSD",((U675*Alukset_fx!$B$24)*Alukset_Käynnit_Lask!W675*(Alukset_fx!$K$55)/1000),0)))</f>
        <v>0</v>
      </c>
      <c r="AI675" s="207">
        <f>IF(AC675="MSD",((V675*Alukset_fx!$B$25)*Alukset_Käynnit_Lask!W675*(Alukset_fx!$L$52)/1000),IF(AC675="HSD",((V675*Alukset_fx!$B$25)*Alukset_Käynnit_Lask!W675*(Alukset_fx!$L$55)/1000),0))</f>
        <v>0</v>
      </c>
      <c r="AJ675" s="207">
        <f>X675*W675*Alukset_fx!$K$61/1000</f>
        <v>0</v>
      </c>
      <c r="AK675">
        <v>0</v>
      </c>
      <c r="AL675" s="207">
        <f>IF(AG675="Käytetty",0,IF(AC675="MSD",((V675*Alukset_fx!$O$25)*Alukset_Käynnit_Lask!O675*(Alukset_fx!$L$52)/1000),IF(AC675="HSD",((V675*Alukset_fx!$O$25)*Alukset_Käynnit_Lask!O675*(Alukset_fx!$L$55)/1000),0)))</f>
        <v>0</v>
      </c>
      <c r="AM675" s="207">
        <f>IF(AG675="Käytetty",0,Y675*O675*Alukset_fx!$K$61/1000)</f>
        <v>0</v>
      </c>
      <c r="AN675" s="213">
        <f t="shared" si="134"/>
        <v>0</v>
      </c>
    </row>
    <row r="676" spans="1:40" x14ac:dyDescent="0.25">
      <c r="A676" s="203">
        <f>Alukset_Käynnit!A683</f>
        <v>0</v>
      </c>
      <c r="B676" s="203">
        <f>Alukset_Käynnit!B683</f>
        <v>0</v>
      </c>
      <c r="C676" s="262">
        <f>Alukset_Käynnit!C683</f>
        <v>0</v>
      </c>
      <c r="D676" s="266">
        <f>Alukset_Käynnit!D683</f>
        <v>0</v>
      </c>
      <c r="E676" s="262">
        <f>Alukset_Käynnit!E683</f>
        <v>0</v>
      </c>
      <c r="F676" s="262">
        <f>Alukset_Käynnit!F683</f>
        <v>0</v>
      </c>
      <c r="G676" s="262">
        <f>Alukset_Käynnit!G683</f>
        <v>0</v>
      </c>
      <c r="H676" s="262">
        <f>Alukset_Käynnit!H683</f>
        <v>0</v>
      </c>
      <c r="I676" s="262">
        <f>Alukset_Käynnit!I683</f>
        <v>0</v>
      </c>
      <c r="J676" s="262">
        <f>Alukset_Käynnit!J683</f>
        <v>0</v>
      </c>
      <c r="K676" s="262">
        <f>Alukset_Käynnit!K683</f>
        <v>0</v>
      </c>
      <c r="L676" s="205">
        <f>Alukset_Käynnit!L683</f>
        <v>0</v>
      </c>
      <c r="N676" s="273">
        <f t="shared" si="135"/>
        <v>0</v>
      </c>
      <c r="O676" s="274">
        <f t="shared" si="136"/>
        <v>0</v>
      </c>
      <c r="Q676" s="204">
        <f t="shared" si="125"/>
        <v>0</v>
      </c>
      <c r="R676" s="202">
        <f>IF(Q676="Other dry cargo",L676*Alukset_fx!$B$71,IF(OR(Q676="Dry bulk",Q676="Bulk carrier"),L676*Alukset_fx!$B$69,IF(Q676="Tugboat",L676*Alukset_fx!$B$76,IF(OR(Q676="Tanker",Q676="Gas tanker",Q676="Chemical tanker",Q676="Oil tanker"),L676*Alukset_fx!$B$68,IF(OR(Q676="RoRo",Q676="Vehicle carrier"),L676*Alukset_fx!$B$72,IF(Q676="RoPax",L676*Alukset_fx!$B$73,IF(Q676="Container ship",L676*Alukset_fx!$B$70,IF(Q676="Barge",0,L676*Alukset_fx!$B$75))))))))</f>
        <v>0</v>
      </c>
      <c r="S676" s="210">
        <f>IF(L676=0,IF(Q676="Other dry cargo",Alukset_fx!$H$73*(Alukset_Käynnit_Lask!K676^Alukset_fx!$I$73),IF(OR(Q676="Dry Bulk",Q676="Bulk carrier"),Alukset_fx!$H$71*(Alukset_Käynnit_Lask!K676^Alukset_fx!$I$71),IF(Q676="Tugboat",Alukset_fx!$H$78*(Alukset_Käynnit_Lask!K676^Alukset_fx!$I$78),IF(OR(Q676="Tanker",Q676="Gas tanker",Q676="Chemical tanker",Q676="Oil tanker"),Alukset_fx!$H$70*(Alukset_Käynnit_Lask!K676^Alukset_fx!$I$70),IF(Q676="Container ship",Alukset_fx!$H$72*(Alukset_Käynnit_Lask!K676^Alukset_fx!$I$72),IF(Q676="Barge",0,IF(Q676="RoPax",Alukset_fx!$H$75*(Alukset_Käynnit_Lask!K676^Alukset_fx!$I$75),IF(OR(Q676="RoRo",Q676="Vehicle carrier"),Alukset_fx!$H$74*(Alukset_Käynnit_Lask!K676^Alukset_fx!$I$74),Alukset_fx!$H$77*(Alukset_Käynnit_Lask!K676^Alukset_fx!$I$77))))))))),"-")</f>
        <v>0</v>
      </c>
      <c r="T676" s="208">
        <f>IF(R676=0,IF(Q676="Other dry cargo",S676*Alukset_fx!$B$71,IF(OR(Q676="Dry bulk",Q676="Bulk carrier"),S676*Alukset_fx!$B$69,IF(Q676="Tugboat",S676*Alukset_fx!$B$76,IF(OR(Q676="Tanker",Q676="Gas tanker",Q676="Chemical tanker",Q676="Oil tanker"),S676*Alukset_fx!$B$68,IF(OR(Q676="RoRo",Q676="Vehicle carrier"),S676*Alukset_fx!$B$72,IF(Q676="RoPax",S676*Alukset_fx!$B$73,IF(Q676="Container ship",S676*Alukset_fx!$B$70,S676*Alukset_fx!$B$75))))))),"-")</f>
        <v>0</v>
      </c>
      <c r="U676" s="208">
        <f t="shared" si="126"/>
        <v>0</v>
      </c>
      <c r="V676" s="208">
        <f t="shared" si="127"/>
        <v>0</v>
      </c>
      <c r="W676" s="202">
        <f>Alukset_Käynnit!N683</f>
        <v>0</v>
      </c>
      <c r="X676" s="211">
        <f>IF(Q676="Other dry cargo", Alukset_fx!$C$52, IF(OR(Q676="Dry bulk",Q676="Bulk carrier"),Alukset_fx!$C$35,IF(OR(Q676="Tanker",Q676="Gas tanker",Q676="Oil tanker"),Alukset_fx!$C$57,IF(Q676="Chemical tanker",Alukset_fx!$C$56,IF(OR(Q676="Tugboat",Q676="Barge"),0,IF(Q676="Other vessel",Alukset_fx!$C$54,IF(Q676="Container ship",Alukset_fx!$C$37,IF(OR(Q676="RoPax",Q676="RoRo",Q676="Vehicle carrier"),Alukset_fx!$C$55,0))))))))</f>
        <v>0</v>
      </c>
      <c r="Y676" s="211">
        <f>IF(Q676="Other dry cargo", Alukset_fx!$Q$52, IF(OR(Q676="Dry bulk",Q676="Bulk carrier"),Alukset_fx!$Q$35,IF(OR(Q676="Tanker",Q676="Gas tanker",Q676="Oil tanker"),Alukset_fx!$Q$57,IF(Q676="Chemical tanker",Alukset_fx!$Q$56,IF(OR(Q676="Tugboat",Q676="Barge"),0,IF(Q676="Other vessel",Alukset_fx!$Q$54,IF(Q676="Container ship",Alukset_fx!$Q$37,IF(OR(Q676="RoPax",Q676="RoRo",Q676="Vehicle carrier"),Alukset_fx!$Q$55,0))))))))</f>
        <v>0</v>
      </c>
      <c r="Z676" t="str">
        <f t="shared" si="128"/>
        <v>MDO/MGO</v>
      </c>
      <c r="AA676" t="str">
        <f t="shared" si="129"/>
        <v>MSD</v>
      </c>
      <c r="AB676" t="str">
        <f t="shared" si="130"/>
        <v>MDO/MGO</v>
      </c>
      <c r="AC676" t="str">
        <f t="shared" si="131"/>
        <v>MSD</v>
      </c>
      <c r="AD676" t="str">
        <f t="shared" si="132"/>
        <v>MDO/MGO</v>
      </c>
      <c r="AE676" t="str">
        <f t="shared" si="133"/>
        <v>ST</v>
      </c>
      <c r="AG676">
        <f>Alukset_Käynnit!O683</f>
        <v>0</v>
      </c>
      <c r="AH676" s="207">
        <f>IF(AA676="SSD",((U676*Alukset_fx!$B$24)*Alukset_Käynnit_Lask!W676*(Alukset_fx!$K$49)/1000),IF(AA676="MSD",((U676*Alukset_fx!$B$24)*Alukset_Käynnit_Lask!W676*(Alukset_fx!$K$52)/1000),IF(AA676="HSD",((U676*Alukset_fx!$B$24)*Alukset_Käynnit_Lask!W676*(Alukset_fx!$K$55)/1000),0)))</f>
        <v>0</v>
      </c>
      <c r="AI676" s="207">
        <f>IF(AC676="MSD",((V676*Alukset_fx!$B$25)*Alukset_Käynnit_Lask!W676*(Alukset_fx!$L$52)/1000),IF(AC676="HSD",((V676*Alukset_fx!$B$25)*Alukset_Käynnit_Lask!W676*(Alukset_fx!$L$55)/1000),0))</f>
        <v>0</v>
      </c>
      <c r="AJ676" s="207">
        <f>X676*W676*Alukset_fx!$K$61/1000</f>
        <v>0</v>
      </c>
      <c r="AK676">
        <v>0</v>
      </c>
      <c r="AL676" s="207">
        <f>IF(AG676="Käytetty",0,IF(AC676="MSD",((V676*Alukset_fx!$O$25)*Alukset_Käynnit_Lask!O676*(Alukset_fx!$L$52)/1000),IF(AC676="HSD",((V676*Alukset_fx!$O$25)*Alukset_Käynnit_Lask!O676*(Alukset_fx!$L$55)/1000),0)))</f>
        <v>0</v>
      </c>
      <c r="AM676" s="207">
        <f>IF(AG676="Käytetty",0,Y676*O676*Alukset_fx!$K$61/1000)</f>
        <v>0</v>
      </c>
      <c r="AN676" s="213">
        <f t="shared" si="134"/>
        <v>0</v>
      </c>
    </row>
    <row r="677" spans="1:40" x14ac:dyDescent="0.25">
      <c r="A677" s="203">
        <f>Alukset_Käynnit!A684</f>
        <v>0</v>
      </c>
      <c r="B677" s="203">
        <f>Alukset_Käynnit!B684</f>
        <v>0</v>
      </c>
      <c r="C677" s="262">
        <f>Alukset_Käynnit!C684</f>
        <v>0</v>
      </c>
      <c r="D677" s="266">
        <f>Alukset_Käynnit!D684</f>
        <v>0</v>
      </c>
      <c r="E677" s="262">
        <f>Alukset_Käynnit!E684</f>
        <v>0</v>
      </c>
      <c r="F677" s="262">
        <f>Alukset_Käynnit!F684</f>
        <v>0</v>
      </c>
      <c r="G677" s="262">
        <f>Alukset_Käynnit!G684</f>
        <v>0</v>
      </c>
      <c r="H677" s="262">
        <f>Alukset_Käynnit!H684</f>
        <v>0</v>
      </c>
      <c r="I677" s="262">
        <f>Alukset_Käynnit!I684</f>
        <v>0</v>
      </c>
      <c r="J677" s="262">
        <f>Alukset_Käynnit!J684</f>
        <v>0</v>
      </c>
      <c r="K677" s="262">
        <f>Alukset_Käynnit!K684</f>
        <v>0</v>
      </c>
      <c r="L677" s="205">
        <f>Alukset_Käynnit!L684</f>
        <v>0</v>
      </c>
      <c r="N677" s="273">
        <f t="shared" si="135"/>
        <v>0</v>
      </c>
      <c r="O677" s="274">
        <f t="shared" si="136"/>
        <v>0</v>
      </c>
      <c r="Q677" s="204">
        <f t="shared" si="125"/>
        <v>0</v>
      </c>
      <c r="R677" s="202">
        <f>IF(Q677="Other dry cargo",L677*Alukset_fx!$B$71,IF(OR(Q677="Dry bulk",Q677="Bulk carrier"),L677*Alukset_fx!$B$69,IF(Q677="Tugboat",L677*Alukset_fx!$B$76,IF(OR(Q677="Tanker",Q677="Gas tanker",Q677="Chemical tanker",Q677="Oil tanker"),L677*Alukset_fx!$B$68,IF(OR(Q677="RoRo",Q677="Vehicle carrier"),L677*Alukset_fx!$B$72,IF(Q677="RoPax",L677*Alukset_fx!$B$73,IF(Q677="Container ship",L677*Alukset_fx!$B$70,IF(Q677="Barge",0,L677*Alukset_fx!$B$75))))))))</f>
        <v>0</v>
      </c>
      <c r="S677" s="210">
        <f>IF(L677=0,IF(Q677="Other dry cargo",Alukset_fx!$H$73*(Alukset_Käynnit_Lask!K677^Alukset_fx!$I$73),IF(OR(Q677="Dry Bulk",Q677="Bulk carrier"),Alukset_fx!$H$71*(Alukset_Käynnit_Lask!K677^Alukset_fx!$I$71),IF(Q677="Tugboat",Alukset_fx!$H$78*(Alukset_Käynnit_Lask!K677^Alukset_fx!$I$78),IF(OR(Q677="Tanker",Q677="Gas tanker",Q677="Chemical tanker",Q677="Oil tanker"),Alukset_fx!$H$70*(Alukset_Käynnit_Lask!K677^Alukset_fx!$I$70),IF(Q677="Container ship",Alukset_fx!$H$72*(Alukset_Käynnit_Lask!K677^Alukset_fx!$I$72),IF(Q677="Barge",0,IF(Q677="RoPax",Alukset_fx!$H$75*(Alukset_Käynnit_Lask!K677^Alukset_fx!$I$75),IF(OR(Q677="RoRo",Q677="Vehicle carrier"),Alukset_fx!$H$74*(Alukset_Käynnit_Lask!K677^Alukset_fx!$I$74),Alukset_fx!$H$77*(Alukset_Käynnit_Lask!K677^Alukset_fx!$I$77))))))))),"-")</f>
        <v>0</v>
      </c>
      <c r="T677" s="208">
        <f>IF(R677=0,IF(Q677="Other dry cargo",S677*Alukset_fx!$B$71,IF(OR(Q677="Dry bulk",Q677="Bulk carrier"),S677*Alukset_fx!$B$69,IF(Q677="Tugboat",S677*Alukset_fx!$B$76,IF(OR(Q677="Tanker",Q677="Gas tanker",Q677="Chemical tanker",Q677="Oil tanker"),S677*Alukset_fx!$B$68,IF(OR(Q677="RoRo",Q677="Vehicle carrier"),S677*Alukset_fx!$B$72,IF(Q677="RoPax",S677*Alukset_fx!$B$73,IF(Q677="Container ship",S677*Alukset_fx!$B$70,S677*Alukset_fx!$B$75))))))),"-")</f>
        <v>0</v>
      </c>
      <c r="U677" s="208">
        <f t="shared" si="126"/>
        <v>0</v>
      </c>
      <c r="V677" s="208">
        <f t="shared" si="127"/>
        <v>0</v>
      </c>
      <c r="W677" s="202">
        <f>Alukset_Käynnit!N684</f>
        <v>0</v>
      </c>
      <c r="X677" s="211">
        <f>IF(Q677="Other dry cargo", Alukset_fx!$C$52, IF(OR(Q677="Dry bulk",Q677="Bulk carrier"),Alukset_fx!$C$35,IF(OR(Q677="Tanker",Q677="Gas tanker",Q677="Oil tanker"),Alukset_fx!$C$57,IF(Q677="Chemical tanker",Alukset_fx!$C$56,IF(OR(Q677="Tugboat",Q677="Barge"),0,IF(Q677="Other vessel",Alukset_fx!$C$54,IF(Q677="Container ship",Alukset_fx!$C$37,IF(OR(Q677="RoPax",Q677="RoRo",Q677="Vehicle carrier"),Alukset_fx!$C$55,0))))))))</f>
        <v>0</v>
      </c>
      <c r="Y677" s="211">
        <f>IF(Q677="Other dry cargo", Alukset_fx!$Q$52, IF(OR(Q677="Dry bulk",Q677="Bulk carrier"),Alukset_fx!$Q$35,IF(OR(Q677="Tanker",Q677="Gas tanker",Q677="Oil tanker"),Alukset_fx!$Q$57,IF(Q677="Chemical tanker",Alukset_fx!$Q$56,IF(OR(Q677="Tugboat",Q677="Barge"),0,IF(Q677="Other vessel",Alukset_fx!$Q$54,IF(Q677="Container ship",Alukset_fx!$Q$37,IF(OR(Q677="RoPax",Q677="RoRo",Q677="Vehicle carrier"),Alukset_fx!$Q$55,0))))))))</f>
        <v>0</v>
      </c>
      <c r="Z677" t="str">
        <f t="shared" si="128"/>
        <v>MDO/MGO</v>
      </c>
      <c r="AA677" t="str">
        <f t="shared" si="129"/>
        <v>MSD</v>
      </c>
      <c r="AB677" t="str">
        <f t="shared" si="130"/>
        <v>MDO/MGO</v>
      </c>
      <c r="AC677" t="str">
        <f t="shared" si="131"/>
        <v>MSD</v>
      </c>
      <c r="AD677" t="str">
        <f t="shared" si="132"/>
        <v>MDO/MGO</v>
      </c>
      <c r="AE677" t="str">
        <f t="shared" si="133"/>
        <v>ST</v>
      </c>
      <c r="AG677">
        <f>Alukset_Käynnit!O684</f>
        <v>0</v>
      </c>
      <c r="AH677" s="207">
        <f>IF(AA677="SSD",((U677*Alukset_fx!$B$24)*Alukset_Käynnit_Lask!W677*(Alukset_fx!$K$49)/1000),IF(AA677="MSD",((U677*Alukset_fx!$B$24)*Alukset_Käynnit_Lask!W677*(Alukset_fx!$K$52)/1000),IF(AA677="HSD",((U677*Alukset_fx!$B$24)*Alukset_Käynnit_Lask!W677*(Alukset_fx!$K$55)/1000),0)))</f>
        <v>0</v>
      </c>
      <c r="AI677" s="207">
        <f>IF(AC677="MSD",((V677*Alukset_fx!$B$25)*Alukset_Käynnit_Lask!W677*(Alukset_fx!$L$52)/1000),IF(AC677="HSD",((V677*Alukset_fx!$B$25)*Alukset_Käynnit_Lask!W677*(Alukset_fx!$L$55)/1000),0))</f>
        <v>0</v>
      </c>
      <c r="AJ677" s="207">
        <f>X677*W677*Alukset_fx!$K$61/1000</f>
        <v>0</v>
      </c>
      <c r="AK677">
        <v>0</v>
      </c>
      <c r="AL677" s="207">
        <f>IF(AG677="Käytetty",0,IF(AC677="MSD",((V677*Alukset_fx!$O$25)*Alukset_Käynnit_Lask!O677*(Alukset_fx!$L$52)/1000),IF(AC677="HSD",((V677*Alukset_fx!$O$25)*Alukset_Käynnit_Lask!O677*(Alukset_fx!$L$55)/1000),0)))</f>
        <v>0</v>
      </c>
      <c r="AM677" s="207">
        <f>IF(AG677="Käytetty",0,Y677*O677*Alukset_fx!$K$61/1000)</f>
        <v>0</v>
      </c>
      <c r="AN677" s="213">
        <f t="shared" si="134"/>
        <v>0</v>
      </c>
    </row>
    <row r="678" spans="1:40" x14ac:dyDescent="0.25">
      <c r="A678" s="203">
        <f>Alukset_Käynnit!A685</f>
        <v>0</v>
      </c>
      <c r="B678" s="203">
        <f>Alukset_Käynnit!B685</f>
        <v>0</v>
      </c>
      <c r="C678" s="262">
        <f>Alukset_Käynnit!C685</f>
        <v>0</v>
      </c>
      <c r="D678" s="266">
        <f>Alukset_Käynnit!D685</f>
        <v>0</v>
      </c>
      <c r="E678" s="262">
        <f>Alukset_Käynnit!E685</f>
        <v>0</v>
      </c>
      <c r="F678" s="262">
        <f>Alukset_Käynnit!F685</f>
        <v>0</v>
      </c>
      <c r="G678" s="262">
        <f>Alukset_Käynnit!G685</f>
        <v>0</v>
      </c>
      <c r="H678" s="262">
        <f>Alukset_Käynnit!H685</f>
        <v>0</v>
      </c>
      <c r="I678" s="262">
        <f>Alukset_Käynnit!I685</f>
        <v>0</v>
      </c>
      <c r="J678" s="262">
        <f>Alukset_Käynnit!J685</f>
        <v>0</v>
      </c>
      <c r="K678" s="262">
        <f>Alukset_Käynnit!K685</f>
        <v>0</v>
      </c>
      <c r="L678" s="205">
        <f>Alukset_Käynnit!L685</f>
        <v>0</v>
      </c>
      <c r="N678" s="273">
        <f t="shared" si="135"/>
        <v>0</v>
      </c>
      <c r="O678" s="274">
        <f t="shared" si="136"/>
        <v>0</v>
      </c>
      <c r="Q678" s="204">
        <f t="shared" si="125"/>
        <v>0</v>
      </c>
      <c r="R678" s="202">
        <f>IF(Q678="Other dry cargo",L678*Alukset_fx!$B$71,IF(OR(Q678="Dry bulk",Q678="Bulk carrier"),L678*Alukset_fx!$B$69,IF(Q678="Tugboat",L678*Alukset_fx!$B$76,IF(OR(Q678="Tanker",Q678="Gas tanker",Q678="Chemical tanker",Q678="Oil tanker"),L678*Alukset_fx!$B$68,IF(OR(Q678="RoRo",Q678="Vehicle carrier"),L678*Alukset_fx!$B$72,IF(Q678="RoPax",L678*Alukset_fx!$B$73,IF(Q678="Container ship",L678*Alukset_fx!$B$70,IF(Q678="Barge",0,L678*Alukset_fx!$B$75))))))))</f>
        <v>0</v>
      </c>
      <c r="S678" s="210">
        <f>IF(L678=0,IF(Q678="Other dry cargo",Alukset_fx!$H$73*(Alukset_Käynnit_Lask!K678^Alukset_fx!$I$73),IF(OR(Q678="Dry Bulk",Q678="Bulk carrier"),Alukset_fx!$H$71*(Alukset_Käynnit_Lask!K678^Alukset_fx!$I$71),IF(Q678="Tugboat",Alukset_fx!$H$78*(Alukset_Käynnit_Lask!K678^Alukset_fx!$I$78),IF(OR(Q678="Tanker",Q678="Gas tanker",Q678="Chemical tanker",Q678="Oil tanker"),Alukset_fx!$H$70*(Alukset_Käynnit_Lask!K678^Alukset_fx!$I$70),IF(Q678="Container ship",Alukset_fx!$H$72*(Alukset_Käynnit_Lask!K678^Alukset_fx!$I$72),IF(Q678="Barge",0,IF(Q678="RoPax",Alukset_fx!$H$75*(Alukset_Käynnit_Lask!K678^Alukset_fx!$I$75),IF(OR(Q678="RoRo",Q678="Vehicle carrier"),Alukset_fx!$H$74*(Alukset_Käynnit_Lask!K678^Alukset_fx!$I$74),Alukset_fx!$H$77*(Alukset_Käynnit_Lask!K678^Alukset_fx!$I$77))))))))),"-")</f>
        <v>0</v>
      </c>
      <c r="T678" s="208">
        <f>IF(R678=0,IF(Q678="Other dry cargo",S678*Alukset_fx!$B$71,IF(OR(Q678="Dry bulk",Q678="Bulk carrier"),S678*Alukset_fx!$B$69,IF(Q678="Tugboat",S678*Alukset_fx!$B$76,IF(OR(Q678="Tanker",Q678="Gas tanker",Q678="Chemical tanker",Q678="Oil tanker"),S678*Alukset_fx!$B$68,IF(OR(Q678="RoRo",Q678="Vehicle carrier"),S678*Alukset_fx!$B$72,IF(Q678="RoPax",S678*Alukset_fx!$B$73,IF(Q678="Container ship",S678*Alukset_fx!$B$70,S678*Alukset_fx!$B$75))))))),"-")</f>
        <v>0</v>
      </c>
      <c r="U678" s="208">
        <f t="shared" si="126"/>
        <v>0</v>
      </c>
      <c r="V678" s="208">
        <f t="shared" si="127"/>
        <v>0</v>
      </c>
      <c r="W678" s="202">
        <f>Alukset_Käynnit!N685</f>
        <v>0</v>
      </c>
      <c r="X678" s="211">
        <f>IF(Q678="Other dry cargo", Alukset_fx!$C$52, IF(OR(Q678="Dry bulk",Q678="Bulk carrier"),Alukset_fx!$C$35,IF(OR(Q678="Tanker",Q678="Gas tanker",Q678="Oil tanker"),Alukset_fx!$C$57,IF(Q678="Chemical tanker",Alukset_fx!$C$56,IF(OR(Q678="Tugboat",Q678="Barge"),0,IF(Q678="Other vessel",Alukset_fx!$C$54,IF(Q678="Container ship",Alukset_fx!$C$37,IF(OR(Q678="RoPax",Q678="RoRo",Q678="Vehicle carrier"),Alukset_fx!$C$55,0))))))))</f>
        <v>0</v>
      </c>
      <c r="Y678" s="211">
        <f>IF(Q678="Other dry cargo", Alukset_fx!$Q$52, IF(OR(Q678="Dry bulk",Q678="Bulk carrier"),Alukset_fx!$Q$35,IF(OR(Q678="Tanker",Q678="Gas tanker",Q678="Oil tanker"),Alukset_fx!$Q$57,IF(Q678="Chemical tanker",Alukset_fx!$Q$56,IF(OR(Q678="Tugboat",Q678="Barge"),0,IF(Q678="Other vessel",Alukset_fx!$Q$54,IF(Q678="Container ship",Alukset_fx!$Q$37,IF(OR(Q678="RoPax",Q678="RoRo",Q678="Vehicle carrier"),Alukset_fx!$Q$55,0))))))))</f>
        <v>0</v>
      </c>
      <c r="Z678" t="str">
        <f t="shared" si="128"/>
        <v>MDO/MGO</v>
      </c>
      <c r="AA678" t="str">
        <f t="shared" si="129"/>
        <v>MSD</v>
      </c>
      <c r="AB678" t="str">
        <f t="shared" si="130"/>
        <v>MDO/MGO</v>
      </c>
      <c r="AC678" t="str">
        <f t="shared" si="131"/>
        <v>MSD</v>
      </c>
      <c r="AD678" t="str">
        <f t="shared" si="132"/>
        <v>MDO/MGO</v>
      </c>
      <c r="AE678" t="str">
        <f t="shared" si="133"/>
        <v>ST</v>
      </c>
      <c r="AG678">
        <f>Alukset_Käynnit!O685</f>
        <v>0</v>
      </c>
      <c r="AH678" s="207">
        <f>IF(AA678="SSD",((U678*Alukset_fx!$B$24)*Alukset_Käynnit_Lask!W678*(Alukset_fx!$K$49)/1000),IF(AA678="MSD",((U678*Alukset_fx!$B$24)*Alukset_Käynnit_Lask!W678*(Alukset_fx!$K$52)/1000),IF(AA678="HSD",((U678*Alukset_fx!$B$24)*Alukset_Käynnit_Lask!W678*(Alukset_fx!$K$55)/1000),0)))</f>
        <v>0</v>
      </c>
      <c r="AI678" s="207">
        <f>IF(AC678="MSD",((V678*Alukset_fx!$B$25)*Alukset_Käynnit_Lask!W678*(Alukset_fx!$L$52)/1000),IF(AC678="HSD",((V678*Alukset_fx!$B$25)*Alukset_Käynnit_Lask!W678*(Alukset_fx!$L$55)/1000),0))</f>
        <v>0</v>
      </c>
      <c r="AJ678" s="207">
        <f>X678*W678*Alukset_fx!$K$61/1000</f>
        <v>0</v>
      </c>
      <c r="AK678">
        <v>0</v>
      </c>
      <c r="AL678" s="207">
        <f>IF(AG678="Käytetty",0,IF(AC678="MSD",((V678*Alukset_fx!$O$25)*Alukset_Käynnit_Lask!O678*(Alukset_fx!$L$52)/1000),IF(AC678="HSD",((V678*Alukset_fx!$O$25)*Alukset_Käynnit_Lask!O678*(Alukset_fx!$L$55)/1000),0)))</f>
        <v>0</v>
      </c>
      <c r="AM678" s="207">
        <f>IF(AG678="Käytetty",0,Y678*O678*Alukset_fx!$K$61/1000)</f>
        <v>0</v>
      </c>
      <c r="AN678" s="213">
        <f t="shared" si="134"/>
        <v>0</v>
      </c>
    </row>
    <row r="679" spans="1:40" x14ac:dyDescent="0.25">
      <c r="A679" s="203">
        <f>Alukset_Käynnit!A686</f>
        <v>0</v>
      </c>
      <c r="B679" s="203">
        <f>Alukset_Käynnit!B686</f>
        <v>0</v>
      </c>
      <c r="C679" s="262">
        <f>Alukset_Käynnit!C686</f>
        <v>0</v>
      </c>
      <c r="D679" s="266">
        <f>Alukset_Käynnit!D686</f>
        <v>0</v>
      </c>
      <c r="E679" s="262">
        <f>Alukset_Käynnit!E686</f>
        <v>0</v>
      </c>
      <c r="F679" s="262">
        <f>Alukset_Käynnit!F686</f>
        <v>0</v>
      </c>
      <c r="G679" s="262">
        <f>Alukset_Käynnit!G686</f>
        <v>0</v>
      </c>
      <c r="H679" s="262">
        <f>Alukset_Käynnit!H686</f>
        <v>0</v>
      </c>
      <c r="I679" s="262">
        <f>Alukset_Käynnit!I686</f>
        <v>0</v>
      </c>
      <c r="J679" s="262">
        <f>Alukset_Käynnit!J686</f>
        <v>0</v>
      </c>
      <c r="K679" s="262">
        <f>Alukset_Käynnit!K686</f>
        <v>0</v>
      </c>
      <c r="L679" s="205">
        <f>Alukset_Käynnit!L686</f>
        <v>0</v>
      </c>
      <c r="N679" s="273">
        <f t="shared" si="135"/>
        <v>0</v>
      </c>
      <c r="O679" s="274">
        <f t="shared" si="136"/>
        <v>0</v>
      </c>
      <c r="Q679" s="204">
        <f t="shared" si="125"/>
        <v>0</v>
      </c>
      <c r="R679" s="202">
        <f>IF(Q679="Other dry cargo",L679*Alukset_fx!$B$71,IF(OR(Q679="Dry bulk",Q679="Bulk carrier"),L679*Alukset_fx!$B$69,IF(Q679="Tugboat",L679*Alukset_fx!$B$76,IF(OR(Q679="Tanker",Q679="Gas tanker",Q679="Chemical tanker",Q679="Oil tanker"),L679*Alukset_fx!$B$68,IF(OR(Q679="RoRo",Q679="Vehicle carrier"),L679*Alukset_fx!$B$72,IF(Q679="RoPax",L679*Alukset_fx!$B$73,IF(Q679="Container ship",L679*Alukset_fx!$B$70,IF(Q679="Barge",0,L679*Alukset_fx!$B$75))))))))</f>
        <v>0</v>
      </c>
      <c r="S679" s="210">
        <f>IF(L679=0,IF(Q679="Other dry cargo",Alukset_fx!$H$73*(Alukset_Käynnit_Lask!K679^Alukset_fx!$I$73),IF(OR(Q679="Dry Bulk",Q679="Bulk carrier"),Alukset_fx!$H$71*(Alukset_Käynnit_Lask!K679^Alukset_fx!$I$71),IF(Q679="Tugboat",Alukset_fx!$H$78*(Alukset_Käynnit_Lask!K679^Alukset_fx!$I$78),IF(OR(Q679="Tanker",Q679="Gas tanker",Q679="Chemical tanker",Q679="Oil tanker"),Alukset_fx!$H$70*(Alukset_Käynnit_Lask!K679^Alukset_fx!$I$70),IF(Q679="Container ship",Alukset_fx!$H$72*(Alukset_Käynnit_Lask!K679^Alukset_fx!$I$72),IF(Q679="Barge",0,IF(Q679="RoPax",Alukset_fx!$H$75*(Alukset_Käynnit_Lask!K679^Alukset_fx!$I$75),IF(OR(Q679="RoRo",Q679="Vehicle carrier"),Alukset_fx!$H$74*(Alukset_Käynnit_Lask!K679^Alukset_fx!$I$74),Alukset_fx!$H$77*(Alukset_Käynnit_Lask!K679^Alukset_fx!$I$77))))))))),"-")</f>
        <v>0</v>
      </c>
      <c r="T679" s="208">
        <f>IF(R679=0,IF(Q679="Other dry cargo",S679*Alukset_fx!$B$71,IF(OR(Q679="Dry bulk",Q679="Bulk carrier"),S679*Alukset_fx!$B$69,IF(Q679="Tugboat",S679*Alukset_fx!$B$76,IF(OR(Q679="Tanker",Q679="Gas tanker",Q679="Chemical tanker",Q679="Oil tanker"),S679*Alukset_fx!$B$68,IF(OR(Q679="RoRo",Q679="Vehicle carrier"),S679*Alukset_fx!$B$72,IF(Q679="RoPax",S679*Alukset_fx!$B$73,IF(Q679="Container ship",S679*Alukset_fx!$B$70,S679*Alukset_fx!$B$75))))))),"-")</f>
        <v>0</v>
      </c>
      <c r="U679" s="208">
        <f t="shared" si="126"/>
        <v>0</v>
      </c>
      <c r="V679" s="208">
        <f t="shared" si="127"/>
        <v>0</v>
      </c>
      <c r="W679" s="202">
        <f>Alukset_Käynnit!N686</f>
        <v>0</v>
      </c>
      <c r="X679" s="211">
        <f>IF(Q679="Other dry cargo", Alukset_fx!$C$52, IF(OR(Q679="Dry bulk",Q679="Bulk carrier"),Alukset_fx!$C$35,IF(OR(Q679="Tanker",Q679="Gas tanker",Q679="Oil tanker"),Alukset_fx!$C$57,IF(Q679="Chemical tanker",Alukset_fx!$C$56,IF(OR(Q679="Tugboat",Q679="Barge"),0,IF(Q679="Other vessel",Alukset_fx!$C$54,IF(Q679="Container ship",Alukset_fx!$C$37,IF(OR(Q679="RoPax",Q679="RoRo",Q679="Vehicle carrier"),Alukset_fx!$C$55,0))))))))</f>
        <v>0</v>
      </c>
      <c r="Y679" s="211">
        <f>IF(Q679="Other dry cargo", Alukset_fx!$Q$52, IF(OR(Q679="Dry bulk",Q679="Bulk carrier"),Alukset_fx!$Q$35,IF(OR(Q679="Tanker",Q679="Gas tanker",Q679="Oil tanker"),Alukset_fx!$Q$57,IF(Q679="Chemical tanker",Alukset_fx!$Q$56,IF(OR(Q679="Tugboat",Q679="Barge"),0,IF(Q679="Other vessel",Alukset_fx!$Q$54,IF(Q679="Container ship",Alukset_fx!$Q$37,IF(OR(Q679="RoPax",Q679="RoRo",Q679="Vehicle carrier"),Alukset_fx!$Q$55,0))))))))</f>
        <v>0</v>
      </c>
      <c r="Z679" t="str">
        <f t="shared" si="128"/>
        <v>MDO/MGO</v>
      </c>
      <c r="AA679" t="str">
        <f t="shared" si="129"/>
        <v>MSD</v>
      </c>
      <c r="AB679" t="str">
        <f t="shared" si="130"/>
        <v>MDO/MGO</v>
      </c>
      <c r="AC679" t="str">
        <f t="shared" si="131"/>
        <v>MSD</v>
      </c>
      <c r="AD679" t="str">
        <f t="shared" si="132"/>
        <v>MDO/MGO</v>
      </c>
      <c r="AE679" t="str">
        <f t="shared" si="133"/>
        <v>ST</v>
      </c>
      <c r="AG679">
        <f>Alukset_Käynnit!O686</f>
        <v>0</v>
      </c>
      <c r="AH679" s="207">
        <f>IF(AA679="SSD",((U679*Alukset_fx!$B$24)*Alukset_Käynnit_Lask!W679*(Alukset_fx!$K$49)/1000),IF(AA679="MSD",((U679*Alukset_fx!$B$24)*Alukset_Käynnit_Lask!W679*(Alukset_fx!$K$52)/1000),IF(AA679="HSD",((U679*Alukset_fx!$B$24)*Alukset_Käynnit_Lask!W679*(Alukset_fx!$K$55)/1000),0)))</f>
        <v>0</v>
      </c>
      <c r="AI679" s="207">
        <f>IF(AC679="MSD",((V679*Alukset_fx!$B$25)*Alukset_Käynnit_Lask!W679*(Alukset_fx!$L$52)/1000),IF(AC679="HSD",((V679*Alukset_fx!$B$25)*Alukset_Käynnit_Lask!W679*(Alukset_fx!$L$55)/1000),0))</f>
        <v>0</v>
      </c>
      <c r="AJ679" s="207">
        <f>X679*W679*Alukset_fx!$K$61/1000</f>
        <v>0</v>
      </c>
      <c r="AK679">
        <v>0</v>
      </c>
      <c r="AL679" s="207">
        <f>IF(AG679="Käytetty",0,IF(AC679="MSD",((V679*Alukset_fx!$O$25)*Alukset_Käynnit_Lask!O679*(Alukset_fx!$L$52)/1000),IF(AC679="HSD",((V679*Alukset_fx!$O$25)*Alukset_Käynnit_Lask!O679*(Alukset_fx!$L$55)/1000),0)))</f>
        <v>0</v>
      </c>
      <c r="AM679" s="207">
        <f>IF(AG679="Käytetty",0,Y679*O679*Alukset_fx!$K$61/1000)</f>
        <v>0</v>
      </c>
      <c r="AN679" s="213">
        <f t="shared" si="134"/>
        <v>0</v>
      </c>
    </row>
    <row r="680" spans="1:40" x14ac:dyDescent="0.25">
      <c r="A680" s="203">
        <f>Alukset_Käynnit!A687</f>
        <v>0</v>
      </c>
      <c r="B680" s="203">
        <f>Alukset_Käynnit!B687</f>
        <v>0</v>
      </c>
      <c r="C680" s="262">
        <f>Alukset_Käynnit!C687</f>
        <v>0</v>
      </c>
      <c r="D680" s="266">
        <f>Alukset_Käynnit!D687</f>
        <v>0</v>
      </c>
      <c r="E680" s="262">
        <f>Alukset_Käynnit!E687</f>
        <v>0</v>
      </c>
      <c r="F680" s="262">
        <f>Alukset_Käynnit!F687</f>
        <v>0</v>
      </c>
      <c r="G680" s="262">
        <f>Alukset_Käynnit!G687</f>
        <v>0</v>
      </c>
      <c r="H680" s="262">
        <f>Alukset_Käynnit!H687</f>
        <v>0</v>
      </c>
      <c r="I680" s="262">
        <f>Alukset_Käynnit!I687</f>
        <v>0</v>
      </c>
      <c r="J680" s="262">
        <f>Alukset_Käynnit!J687</f>
        <v>0</v>
      </c>
      <c r="K680" s="262">
        <f>Alukset_Käynnit!K687</f>
        <v>0</v>
      </c>
      <c r="L680" s="205">
        <f>Alukset_Käynnit!L687</f>
        <v>0</v>
      </c>
      <c r="N680" s="273">
        <f t="shared" si="135"/>
        <v>0</v>
      </c>
      <c r="O680" s="274">
        <f t="shared" si="136"/>
        <v>0</v>
      </c>
      <c r="Q680" s="204">
        <f t="shared" si="125"/>
        <v>0</v>
      </c>
      <c r="R680" s="202">
        <f>IF(Q680="Other dry cargo",L680*Alukset_fx!$B$71,IF(OR(Q680="Dry bulk",Q680="Bulk carrier"),L680*Alukset_fx!$B$69,IF(Q680="Tugboat",L680*Alukset_fx!$B$76,IF(OR(Q680="Tanker",Q680="Gas tanker",Q680="Chemical tanker",Q680="Oil tanker"),L680*Alukset_fx!$B$68,IF(OR(Q680="RoRo",Q680="Vehicle carrier"),L680*Alukset_fx!$B$72,IF(Q680="RoPax",L680*Alukset_fx!$B$73,IF(Q680="Container ship",L680*Alukset_fx!$B$70,IF(Q680="Barge",0,L680*Alukset_fx!$B$75))))))))</f>
        <v>0</v>
      </c>
      <c r="S680" s="210">
        <f>IF(L680=0,IF(Q680="Other dry cargo",Alukset_fx!$H$73*(Alukset_Käynnit_Lask!K680^Alukset_fx!$I$73),IF(OR(Q680="Dry Bulk",Q680="Bulk carrier"),Alukset_fx!$H$71*(Alukset_Käynnit_Lask!K680^Alukset_fx!$I$71),IF(Q680="Tugboat",Alukset_fx!$H$78*(Alukset_Käynnit_Lask!K680^Alukset_fx!$I$78),IF(OR(Q680="Tanker",Q680="Gas tanker",Q680="Chemical tanker",Q680="Oil tanker"),Alukset_fx!$H$70*(Alukset_Käynnit_Lask!K680^Alukset_fx!$I$70),IF(Q680="Container ship",Alukset_fx!$H$72*(Alukset_Käynnit_Lask!K680^Alukset_fx!$I$72),IF(Q680="Barge",0,IF(Q680="RoPax",Alukset_fx!$H$75*(Alukset_Käynnit_Lask!K680^Alukset_fx!$I$75),IF(OR(Q680="RoRo",Q680="Vehicle carrier"),Alukset_fx!$H$74*(Alukset_Käynnit_Lask!K680^Alukset_fx!$I$74),Alukset_fx!$H$77*(Alukset_Käynnit_Lask!K680^Alukset_fx!$I$77))))))))),"-")</f>
        <v>0</v>
      </c>
      <c r="T680" s="208">
        <f>IF(R680=0,IF(Q680="Other dry cargo",S680*Alukset_fx!$B$71,IF(OR(Q680="Dry bulk",Q680="Bulk carrier"),S680*Alukset_fx!$B$69,IF(Q680="Tugboat",S680*Alukset_fx!$B$76,IF(OR(Q680="Tanker",Q680="Gas tanker",Q680="Chemical tanker",Q680="Oil tanker"),S680*Alukset_fx!$B$68,IF(OR(Q680="RoRo",Q680="Vehicle carrier"),S680*Alukset_fx!$B$72,IF(Q680="RoPax",S680*Alukset_fx!$B$73,IF(Q680="Container ship",S680*Alukset_fx!$B$70,S680*Alukset_fx!$B$75))))))),"-")</f>
        <v>0</v>
      </c>
      <c r="U680" s="208">
        <f t="shared" si="126"/>
        <v>0</v>
      </c>
      <c r="V680" s="208">
        <f t="shared" si="127"/>
        <v>0</v>
      </c>
      <c r="W680" s="202">
        <f>Alukset_Käynnit!N687</f>
        <v>0</v>
      </c>
      <c r="X680" s="211">
        <f>IF(Q680="Other dry cargo", Alukset_fx!$C$52, IF(OR(Q680="Dry bulk",Q680="Bulk carrier"),Alukset_fx!$C$35,IF(OR(Q680="Tanker",Q680="Gas tanker",Q680="Oil tanker"),Alukset_fx!$C$57,IF(Q680="Chemical tanker",Alukset_fx!$C$56,IF(OR(Q680="Tugboat",Q680="Barge"),0,IF(Q680="Other vessel",Alukset_fx!$C$54,IF(Q680="Container ship",Alukset_fx!$C$37,IF(OR(Q680="RoPax",Q680="RoRo",Q680="Vehicle carrier"),Alukset_fx!$C$55,0))))))))</f>
        <v>0</v>
      </c>
      <c r="Y680" s="211">
        <f>IF(Q680="Other dry cargo", Alukset_fx!$Q$52, IF(OR(Q680="Dry bulk",Q680="Bulk carrier"),Alukset_fx!$Q$35,IF(OR(Q680="Tanker",Q680="Gas tanker",Q680="Oil tanker"),Alukset_fx!$Q$57,IF(Q680="Chemical tanker",Alukset_fx!$Q$56,IF(OR(Q680="Tugboat",Q680="Barge"),0,IF(Q680="Other vessel",Alukset_fx!$Q$54,IF(Q680="Container ship",Alukset_fx!$Q$37,IF(OR(Q680="RoPax",Q680="RoRo",Q680="Vehicle carrier"),Alukset_fx!$Q$55,0))))))))</f>
        <v>0</v>
      </c>
      <c r="Z680" t="str">
        <f t="shared" si="128"/>
        <v>MDO/MGO</v>
      </c>
      <c r="AA680" t="str">
        <f t="shared" si="129"/>
        <v>MSD</v>
      </c>
      <c r="AB680" t="str">
        <f t="shared" si="130"/>
        <v>MDO/MGO</v>
      </c>
      <c r="AC680" t="str">
        <f t="shared" si="131"/>
        <v>MSD</v>
      </c>
      <c r="AD680" t="str">
        <f t="shared" si="132"/>
        <v>MDO/MGO</v>
      </c>
      <c r="AE680" t="str">
        <f t="shared" si="133"/>
        <v>ST</v>
      </c>
      <c r="AG680">
        <f>Alukset_Käynnit!O687</f>
        <v>0</v>
      </c>
      <c r="AH680" s="207">
        <f>IF(AA680="SSD",((U680*Alukset_fx!$B$24)*Alukset_Käynnit_Lask!W680*(Alukset_fx!$K$49)/1000),IF(AA680="MSD",((U680*Alukset_fx!$B$24)*Alukset_Käynnit_Lask!W680*(Alukset_fx!$K$52)/1000),IF(AA680="HSD",((U680*Alukset_fx!$B$24)*Alukset_Käynnit_Lask!W680*(Alukset_fx!$K$55)/1000),0)))</f>
        <v>0</v>
      </c>
      <c r="AI680" s="207">
        <f>IF(AC680="MSD",((V680*Alukset_fx!$B$25)*Alukset_Käynnit_Lask!W680*(Alukset_fx!$L$52)/1000),IF(AC680="HSD",((V680*Alukset_fx!$B$25)*Alukset_Käynnit_Lask!W680*(Alukset_fx!$L$55)/1000),0))</f>
        <v>0</v>
      </c>
      <c r="AJ680" s="207">
        <f>X680*W680*Alukset_fx!$K$61/1000</f>
        <v>0</v>
      </c>
      <c r="AK680">
        <v>0</v>
      </c>
      <c r="AL680" s="207">
        <f>IF(AG680="Käytetty",0,IF(AC680="MSD",((V680*Alukset_fx!$O$25)*Alukset_Käynnit_Lask!O680*(Alukset_fx!$L$52)/1000),IF(AC680="HSD",((V680*Alukset_fx!$O$25)*Alukset_Käynnit_Lask!O680*(Alukset_fx!$L$55)/1000),0)))</f>
        <v>0</v>
      </c>
      <c r="AM680" s="207">
        <f>IF(AG680="Käytetty",0,Y680*O680*Alukset_fx!$K$61/1000)</f>
        <v>0</v>
      </c>
      <c r="AN680" s="213">
        <f t="shared" si="134"/>
        <v>0</v>
      </c>
    </row>
    <row r="681" spans="1:40" x14ac:dyDescent="0.25">
      <c r="A681" s="203">
        <f>Alukset_Käynnit!A688</f>
        <v>0</v>
      </c>
      <c r="B681" s="203">
        <f>Alukset_Käynnit!B688</f>
        <v>0</v>
      </c>
      <c r="C681" s="262">
        <f>Alukset_Käynnit!C688</f>
        <v>0</v>
      </c>
      <c r="D681" s="266">
        <f>Alukset_Käynnit!D688</f>
        <v>0</v>
      </c>
      <c r="E681" s="262">
        <f>Alukset_Käynnit!E688</f>
        <v>0</v>
      </c>
      <c r="F681" s="262">
        <f>Alukset_Käynnit!F688</f>
        <v>0</v>
      </c>
      <c r="G681" s="262">
        <f>Alukset_Käynnit!G688</f>
        <v>0</v>
      </c>
      <c r="H681" s="262">
        <f>Alukset_Käynnit!H688</f>
        <v>0</v>
      </c>
      <c r="I681" s="262">
        <f>Alukset_Käynnit!I688</f>
        <v>0</v>
      </c>
      <c r="J681" s="262">
        <f>Alukset_Käynnit!J688</f>
        <v>0</v>
      </c>
      <c r="K681" s="262">
        <f>Alukset_Käynnit!K688</f>
        <v>0</v>
      </c>
      <c r="L681" s="205">
        <f>Alukset_Käynnit!L688</f>
        <v>0</v>
      </c>
      <c r="N681" s="273">
        <f t="shared" si="135"/>
        <v>0</v>
      </c>
      <c r="O681" s="274">
        <f t="shared" si="136"/>
        <v>0</v>
      </c>
      <c r="Q681" s="204">
        <f t="shared" si="125"/>
        <v>0</v>
      </c>
      <c r="R681" s="202">
        <f>IF(Q681="Other dry cargo",L681*Alukset_fx!$B$71,IF(OR(Q681="Dry bulk",Q681="Bulk carrier"),L681*Alukset_fx!$B$69,IF(Q681="Tugboat",L681*Alukset_fx!$B$76,IF(OR(Q681="Tanker",Q681="Gas tanker",Q681="Chemical tanker",Q681="Oil tanker"),L681*Alukset_fx!$B$68,IF(OR(Q681="RoRo",Q681="Vehicle carrier"),L681*Alukset_fx!$B$72,IF(Q681="RoPax",L681*Alukset_fx!$B$73,IF(Q681="Container ship",L681*Alukset_fx!$B$70,IF(Q681="Barge",0,L681*Alukset_fx!$B$75))))))))</f>
        <v>0</v>
      </c>
      <c r="S681" s="210">
        <f>IF(L681=0,IF(Q681="Other dry cargo",Alukset_fx!$H$73*(Alukset_Käynnit_Lask!K681^Alukset_fx!$I$73),IF(OR(Q681="Dry Bulk",Q681="Bulk carrier"),Alukset_fx!$H$71*(Alukset_Käynnit_Lask!K681^Alukset_fx!$I$71),IF(Q681="Tugboat",Alukset_fx!$H$78*(Alukset_Käynnit_Lask!K681^Alukset_fx!$I$78),IF(OR(Q681="Tanker",Q681="Gas tanker",Q681="Chemical tanker",Q681="Oil tanker"),Alukset_fx!$H$70*(Alukset_Käynnit_Lask!K681^Alukset_fx!$I$70),IF(Q681="Container ship",Alukset_fx!$H$72*(Alukset_Käynnit_Lask!K681^Alukset_fx!$I$72),IF(Q681="Barge",0,IF(Q681="RoPax",Alukset_fx!$H$75*(Alukset_Käynnit_Lask!K681^Alukset_fx!$I$75),IF(OR(Q681="RoRo",Q681="Vehicle carrier"),Alukset_fx!$H$74*(Alukset_Käynnit_Lask!K681^Alukset_fx!$I$74),Alukset_fx!$H$77*(Alukset_Käynnit_Lask!K681^Alukset_fx!$I$77))))))))),"-")</f>
        <v>0</v>
      </c>
      <c r="T681" s="208">
        <f>IF(R681=0,IF(Q681="Other dry cargo",S681*Alukset_fx!$B$71,IF(OR(Q681="Dry bulk",Q681="Bulk carrier"),S681*Alukset_fx!$B$69,IF(Q681="Tugboat",S681*Alukset_fx!$B$76,IF(OR(Q681="Tanker",Q681="Gas tanker",Q681="Chemical tanker",Q681="Oil tanker"),S681*Alukset_fx!$B$68,IF(OR(Q681="RoRo",Q681="Vehicle carrier"),S681*Alukset_fx!$B$72,IF(Q681="RoPax",S681*Alukset_fx!$B$73,IF(Q681="Container ship",S681*Alukset_fx!$B$70,S681*Alukset_fx!$B$75))))))),"-")</f>
        <v>0</v>
      </c>
      <c r="U681" s="208">
        <f t="shared" si="126"/>
        <v>0</v>
      </c>
      <c r="V681" s="208">
        <f t="shared" si="127"/>
        <v>0</v>
      </c>
      <c r="W681" s="202">
        <f>Alukset_Käynnit!N688</f>
        <v>0</v>
      </c>
      <c r="X681" s="211">
        <f>IF(Q681="Other dry cargo", Alukset_fx!$C$52, IF(OR(Q681="Dry bulk",Q681="Bulk carrier"),Alukset_fx!$C$35,IF(OR(Q681="Tanker",Q681="Gas tanker",Q681="Oil tanker"),Alukset_fx!$C$57,IF(Q681="Chemical tanker",Alukset_fx!$C$56,IF(OR(Q681="Tugboat",Q681="Barge"),0,IF(Q681="Other vessel",Alukset_fx!$C$54,IF(Q681="Container ship",Alukset_fx!$C$37,IF(OR(Q681="RoPax",Q681="RoRo",Q681="Vehicle carrier"),Alukset_fx!$C$55,0))))))))</f>
        <v>0</v>
      </c>
      <c r="Y681" s="211">
        <f>IF(Q681="Other dry cargo", Alukset_fx!$Q$52, IF(OR(Q681="Dry bulk",Q681="Bulk carrier"),Alukset_fx!$Q$35,IF(OR(Q681="Tanker",Q681="Gas tanker",Q681="Oil tanker"),Alukset_fx!$Q$57,IF(Q681="Chemical tanker",Alukset_fx!$Q$56,IF(OR(Q681="Tugboat",Q681="Barge"),0,IF(Q681="Other vessel",Alukset_fx!$Q$54,IF(Q681="Container ship",Alukset_fx!$Q$37,IF(OR(Q681="RoPax",Q681="RoRo",Q681="Vehicle carrier"),Alukset_fx!$Q$55,0))))))))</f>
        <v>0</v>
      </c>
      <c r="Z681" t="str">
        <f t="shared" si="128"/>
        <v>MDO/MGO</v>
      </c>
      <c r="AA681" t="str">
        <f t="shared" si="129"/>
        <v>MSD</v>
      </c>
      <c r="AB681" t="str">
        <f t="shared" si="130"/>
        <v>MDO/MGO</v>
      </c>
      <c r="AC681" t="str">
        <f t="shared" si="131"/>
        <v>MSD</v>
      </c>
      <c r="AD681" t="str">
        <f t="shared" si="132"/>
        <v>MDO/MGO</v>
      </c>
      <c r="AE681" t="str">
        <f t="shared" si="133"/>
        <v>ST</v>
      </c>
      <c r="AG681">
        <f>Alukset_Käynnit!O688</f>
        <v>0</v>
      </c>
      <c r="AH681" s="207">
        <f>IF(AA681="SSD",((U681*Alukset_fx!$B$24)*Alukset_Käynnit_Lask!W681*(Alukset_fx!$K$49)/1000),IF(AA681="MSD",((U681*Alukset_fx!$B$24)*Alukset_Käynnit_Lask!W681*(Alukset_fx!$K$52)/1000),IF(AA681="HSD",((U681*Alukset_fx!$B$24)*Alukset_Käynnit_Lask!W681*(Alukset_fx!$K$55)/1000),0)))</f>
        <v>0</v>
      </c>
      <c r="AI681" s="207">
        <f>IF(AC681="MSD",((V681*Alukset_fx!$B$25)*Alukset_Käynnit_Lask!W681*(Alukset_fx!$L$52)/1000),IF(AC681="HSD",((V681*Alukset_fx!$B$25)*Alukset_Käynnit_Lask!W681*(Alukset_fx!$L$55)/1000),0))</f>
        <v>0</v>
      </c>
      <c r="AJ681" s="207">
        <f>X681*W681*Alukset_fx!$K$61/1000</f>
        <v>0</v>
      </c>
      <c r="AK681">
        <v>0</v>
      </c>
      <c r="AL681" s="207">
        <f>IF(AG681="Käytetty",0,IF(AC681="MSD",((V681*Alukset_fx!$O$25)*Alukset_Käynnit_Lask!O681*(Alukset_fx!$L$52)/1000),IF(AC681="HSD",((V681*Alukset_fx!$O$25)*Alukset_Käynnit_Lask!O681*(Alukset_fx!$L$55)/1000),0)))</f>
        <v>0</v>
      </c>
      <c r="AM681" s="207">
        <f>IF(AG681="Käytetty",0,Y681*O681*Alukset_fx!$K$61/1000)</f>
        <v>0</v>
      </c>
      <c r="AN681" s="213">
        <f t="shared" si="134"/>
        <v>0</v>
      </c>
    </row>
    <row r="682" spans="1:40" x14ac:dyDescent="0.25">
      <c r="A682" s="203">
        <f>Alukset_Käynnit!A689</f>
        <v>0</v>
      </c>
      <c r="B682" s="203">
        <f>Alukset_Käynnit!B689</f>
        <v>0</v>
      </c>
      <c r="C682" s="262">
        <f>Alukset_Käynnit!C689</f>
        <v>0</v>
      </c>
      <c r="D682" s="266">
        <f>Alukset_Käynnit!D689</f>
        <v>0</v>
      </c>
      <c r="E682" s="262">
        <f>Alukset_Käynnit!E689</f>
        <v>0</v>
      </c>
      <c r="F682" s="262">
        <f>Alukset_Käynnit!F689</f>
        <v>0</v>
      </c>
      <c r="G682" s="262">
        <f>Alukset_Käynnit!G689</f>
        <v>0</v>
      </c>
      <c r="H682" s="262">
        <f>Alukset_Käynnit!H689</f>
        <v>0</v>
      </c>
      <c r="I682" s="262">
        <f>Alukset_Käynnit!I689</f>
        <v>0</v>
      </c>
      <c r="J682" s="262">
        <f>Alukset_Käynnit!J689</f>
        <v>0</v>
      </c>
      <c r="K682" s="262">
        <f>Alukset_Käynnit!K689</f>
        <v>0</v>
      </c>
      <c r="L682" s="205">
        <f>Alukset_Käynnit!L689</f>
        <v>0</v>
      </c>
      <c r="N682" s="273">
        <f t="shared" si="135"/>
        <v>0</v>
      </c>
      <c r="O682" s="274">
        <f t="shared" si="136"/>
        <v>0</v>
      </c>
      <c r="Q682" s="204">
        <f t="shared" si="125"/>
        <v>0</v>
      </c>
      <c r="R682" s="202">
        <f>IF(Q682="Other dry cargo",L682*Alukset_fx!$B$71,IF(OR(Q682="Dry bulk",Q682="Bulk carrier"),L682*Alukset_fx!$B$69,IF(Q682="Tugboat",L682*Alukset_fx!$B$76,IF(OR(Q682="Tanker",Q682="Gas tanker",Q682="Chemical tanker",Q682="Oil tanker"),L682*Alukset_fx!$B$68,IF(OR(Q682="RoRo",Q682="Vehicle carrier"),L682*Alukset_fx!$B$72,IF(Q682="RoPax",L682*Alukset_fx!$B$73,IF(Q682="Container ship",L682*Alukset_fx!$B$70,IF(Q682="Barge",0,L682*Alukset_fx!$B$75))))))))</f>
        <v>0</v>
      </c>
      <c r="S682" s="210">
        <f>IF(L682=0,IF(Q682="Other dry cargo",Alukset_fx!$H$73*(Alukset_Käynnit_Lask!K682^Alukset_fx!$I$73),IF(OR(Q682="Dry Bulk",Q682="Bulk carrier"),Alukset_fx!$H$71*(Alukset_Käynnit_Lask!K682^Alukset_fx!$I$71),IF(Q682="Tugboat",Alukset_fx!$H$78*(Alukset_Käynnit_Lask!K682^Alukset_fx!$I$78),IF(OR(Q682="Tanker",Q682="Gas tanker",Q682="Chemical tanker",Q682="Oil tanker"),Alukset_fx!$H$70*(Alukset_Käynnit_Lask!K682^Alukset_fx!$I$70),IF(Q682="Container ship",Alukset_fx!$H$72*(Alukset_Käynnit_Lask!K682^Alukset_fx!$I$72),IF(Q682="Barge",0,IF(Q682="RoPax",Alukset_fx!$H$75*(Alukset_Käynnit_Lask!K682^Alukset_fx!$I$75),IF(OR(Q682="RoRo",Q682="Vehicle carrier"),Alukset_fx!$H$74*(Alukset_Käynnit_Lask!K682^Alukset_fx!$I$74),Alukset_fx!$H$77*(Alukset_Käynnit_Lask!K682^Alukset_fx!$I$77))))))))),"-")</f>
        <v>0</v>
      </c>
      <c r="T682" s="208">
        <f>IF(R682=0,IF(Q682="Other dry cargo",S682*Alukset_fx!$B$71,IF(OR(Q682="Dry bulk",Q682="Bulk carrier"),S682*Alukset_fx!$B$69,IF(Q682="Tugboat",S682*Alukset_fx!$B$76,IF(OR(Q682="Tanker",Q682="Gas tanker",Q682="Chemical tanker",Q682="Oil tanker"),S682*Alukset_fx!$B$68,IF(OR(Q682="RoRo",Q682="Vehicle carrier"),S682*Alukset_fx!$B$72,IF(Q682="RoPax",S682*Alukset_fx!$B$73,IF(Q682="Container ship",S682*Alukset_fx!$B$70,S682*Alukset_fx!$B$75))))))),"-")</f>
        <v>0</v>
      </c>
      <c r="U682" s="208">
        <f t="shared" si="126"/>
        <v>0</v>
      </c>
      <c r="V682" s="208">
        <f t="shared" si="127"/>
        <v>0</v>
      </c>
      <c r="W682" s="202">
        <f>Alukset_Käynnit!N689</f>
        <v>0</v>
      </c>
      <c r="X682" s="211">
        <f>IF(Q682="Other dry cargo", Alukset_fx!$C$52, IF(OR(Q682="Dry bulk",Q682="Bulk carrier"),Alukset_fx!$C$35,IF(OR(Q682="Tanker",Q682="Gas tanker",Q682="Oil tanker"),Alukset_fx!$C$57,IF(Q682="Chemical tanker",Alukset_fx!$C$56,IF(OR(Q682="Tugboat",Q682="Barge"),0,IF(Q682="Other vessel",Alukset_fx!$C$54,IF(Q682="Container ship",Alukset_fx!$C$37,IF(OR(Q682="RoPax",Q682="RoRo",Q682="Vehicle carrier"),Alukset_fx!$C$55,0))))))))</f>
        <v>0</v>
      </c>
      <c r="Y682" s="211">
        <f>IF(Q682="Other dry cargo", Alukset_fx!$Q$52, IF(OR(Q682="Dry bulk",Q682="Bulk carrier"),Alukset_fx!$Q$35,IF(OR(Q682="Tanker",Q682="Gas tanker",Q682="Oil tanker"),Alukset_fx!$Q$57,IF(Q682="Chemical tanker",Alukset_fx!$Q$56,IF(OR(Q682="Tugboat",Q682="Barge"),0,IF(Q682="Other vessel",Alukset_fx!$Q$54,IF(Q682="Container ship",Alukset_fx!$Q$37,IF(OR(Q682="RoPax",Q682="RoRo",Q682="Vehicle carrier"),Alukset_fx!$Q$55,0))))))))</f>
        <v>0</v>
      </c>
      <c r="Z682" t="str">
        <f t="shared" si="128"/>
        <v>MDO/MGO</v>
      </c>
      <c r="AA682" t="str">
        <f t="shared" si="129"/>
        <v>MSD</v>
      </c>
      <c r="AB682" t="str">
        <f t="shared" si="130"/>
        <v>MDO/MGO</v>
      </c>
      <c r="AC682" t="str">
        <f t="shared" si="131"/>
        <v>MSD</v>
      </c>
      <c r="AD682" t="str">
        <f t="shared" si="132"/>
        <v>MDO/MGO</v>
      </c>
      <c r="AE682" t="str">
        <f t="shared" si="133"/>
        <v>ST</v>
      </c>
      <c r="AG682">
        <f>Alukset_Käynnit!O689</f>
        <v>0</v>
      </c>
      <c r="AH682" s="207">
        <f>IF(AA682="SSD",((U682*Alukset_fx!$B$24)*Alukset_Käynnit_Lask!W682*(Alukset_fx!$K$49)/1000),IF(AA682="MSD",((U682*Alukset_fx!$B$24)*Alukset_Käynnit_Lask!W682*(Alukset_fx!$K$52)/1000),IF(AA682="HSD",((U682*Alukset_fx!$B$24)*Alukset_Käynnit_Lask!W682*(Alukset_fx!$K$55)/1000),0)))</f>
        <v>0</v>
      </c>
      <c r="AI682" s="207">
        <f>IF(AC682="MSD",((V682*Alukset_fx!$B$25)*Alukset_Käynnit_Lask!W682*(Alukset_fx!$L$52)/1000),IF(AC682="HSD",((V682*Alukset_fx!$B$25)*Alukset_Käynnit_Lask!W682*(Alukset_fx!$L$55)/1000),0))</f>
        <v>0</v>
      </c>
      <c r="AJ682" s="207">
        <f>X682*W682*Alukset_fx!$K$61/1000</f>
        <v>0</v>
      </c>
      <c r="AK682">
        <v>0</v>
      </c>
      <c r="AL682" s="207">
        <f>IF(AG682="Käytetty",0,IF(AC682="MSD",((V682*Alukset_fx!$O$25)*Alukset_Käynnit_Lask!O682*(Alukset_fx!$L$52)/1000),IF(AC682="HSD",((V682*Alukset_fx!$O$25)*Alukset_Käynnit_Lask!O682*(Alukset_fx!$L$55)/1000),0)))</f>
        <v>0</v>
      </c>
      <c r="AM682" s="207">
        <f>IF(AG682="Käytetty",0,Y682*O682*Alukset_fx!$K$61/1000)</f>
        <v>0</v>
      </c>
      <c r="AN682" s="213">
        <f t="shared" si="134"/>
        <v>0</v>
      </c>
    </row>
    <row r="683" spans="1:40" x14ac:dyDescent="0.25">
      <c r="A683" s="203">
        <f>Alukset_Käynnit!A690</f>
        <v>0</v>
      </c>
      <c r="B683" s="203">
        <f>Alukset_Käynnit!B690</f>
        <v>0</v>
      </c>
      <c r="C683" s="262">
        <f>Alukset_Käynnit!C690</f>
        <v>0</v>
      </c>
      <c r="D683" s="266">
        <f>Alukset_Käynnit!D690</f>
        <v>0</v>
      </c>
      <c r="E683" s="262">
        <f>Alukset_Käynnit!E690</f>
        <v>0</v>
      </c>
      <c r="F683" s="262">
        <f>Alukset_Käynnit!F690</f>
        <v>0</v>
      </c>
      <c r="G683" s="262">
        <f>Alukset_Käynnit!G690</f>
        <v>0</v>
      </c>
      <c r="H683" s="262">
        <f>Alukset_Käynnit!H690</f>
        <v>0</v>
      </c>
      <c r="I683" s="262">
        <f>Alukset_Käynnit!I690</f>
        <v>0</v>
      </c>
      <c r="J683" s="262">
        <f>Alukset_Käynnit!J690</f>
        <v>0</v>
      </c>
      <c r="K683" s="262">
        <f>Alukset_Käynnit!K690</f>
        <v>0</v>
      </c>
      <c r="L683" s="205">
        <f>Alukset_Käynnit!L690</f>
        <v>0</v>
      </c>
      <c r="N683" s="273">
        <f t="shared" si="135"/>
        <v>0</v>
      </c>
      <c r="O683" s="274">
        <f t="shared" si="136"/>
        <v>0</v>
      </c>
      <c r="Q683" s="204">
        <f t="shared" si="125"/>
        <v>0</v>
      </c>
      <c r="R683" s="202">
        <f>IF(Q683="Other dry cargo",L683*Alukset_fx!$B$71,IF(OR(Q683="Dry bulk",Q683="Bulk carrier"),L683*Alukset_fx!$B$69,IF(Q683="Tugboat",L683*Alukset_fx!$B$76,IF(OR(Q683="Tanker",Q683="Gas tanker",Q683="Chemical tanker",Q683="Oil tanker"),L683*Alukset_fx!$B$68,IF(OR(Q683="RoRo",Q683="Vehicle carrier"),L683*Alukset_fx!$B$72,IF(Q683="RoPax",L683*Alukset_fx!$B$73,IF(Q683="Container ship",L683*Alukset_fx!$B$70,IF(Q683="Barge",0,L683*Alukset_fx!$B$75))))))))</f>
        <v>0</v>
      </c>
      <c r="S683" s="210">
        <f>IF(L683=0,IF(Q683="Other dry cargo",Alukset_fx!$H$73*(Alukset_Käynnit_Lask!K683^Alukset_fx!$I$73),IF(OR(Q683="Dry Bulk",Q683="Bulk carrier"),Alukset_fx!$H$71*(Alukset_Käynnit_Lask!K683^Alukset_fx!$I$71),IF(Q683="Tugboat",Alukset_fx!$H$78*(Alukset_Käynnit_Lask!K683^Alukset_fx!$I$78),IF(OR(Q683="Tanker",Q683="Gas tanker",Q683="Chemical tanker",Q683="Oil tanker"),Alukset_fx!$H$70*(Alukset_Käynnit_Lask!K683^Alukset_fx!$I$70),IF(Q683="Container ship",Alukset_fx!$H$72*(Alukset_Käynnit_Lask!K683^Alukset_fx!$I$72),IF(Q683="Barge",0,IF(Q683="RoPax",Alukset_fx!$H$75*(Alukset_Käynnit_Lask!K683^Alukset_fx!$I$75),IF(OR(Q683="RoRo",Q683="Vehicle carrier"),Alukset_fx!$H$74*(Alukset_Käynnit_Lask!K683^Alukset_fx!$I$74),Alukset_fx!$H$77*(Alukset_Käynnit_Lask!K683^Alukset_fx!$I$77))))))))),"-")</f>
        <v>0</v>
      </c>
      <c r="T683" s="208">
        <f>IF(R683=0,IF(Q683="Other dry cargo",S683*Alukset_fx!$B$71,IF(OR(Q683="Dry bulk",Q683="Bulk carrier"),S683*Alukset_fx!$B$69,IF(Q683="Tugboat",S683*Alukset_fx!$B$76,IF(OR(Q683="Tanker",Q683="Gas tanker",Q683="Chemical tanker",Q683="Oil tanker"),S683*Alukset_fx!$B$68,IF(OR(Q683="RoRo",Q683="Vehicle carrier"),S683*Alukset_fx!$B$72,IF(Q683="RoPax",S683*Alukset_fx!$B$73,IF(Q683="Container ship",S683*Alukset_fx!$B$70,S683*Alukset_fx!$B$75))))))),"-")</f>
        <v>0</v>
      </c>
      <c r="U683" s="208">
        <f t="shared" si="126"/>
        <v>0</v>
      </c>
      <c r="V683" s="208">
        <f t="shared" si="127"/>
        <v>0</v>
      </c>
      <c r="W683" s="202">
        <f>Alukset_Käynnit!N690</f>
        <v>0</v>
      </c>
      <c r="X683" s="211">
        <f>IF(Q683="Other dry cargo", Alukset_fx!$C$52, IF(OR(Q683="Dry bulk",Q683="Bulk carrier"),Alukset_fx!$C$35,IF(OR(Q683="Tanker",Q683="Gas tanker",Q683="Oil tanker"),Alukset_fx!$C$57,IF(Q683="Chemical tanker",Alukset_fx!$C$56,IF(OR(Q683="Tugboat",Q683="Barge"),0,IF(Q683="Other vessel",Alukset_fx!$C$54,IF(Q683="Container ship",Alukset_fx!$C$37,IF(OR(Q683="RoPax",Q683="RoRo",Q683="Vehicle carrier"),Alukset_fx!$C$55,0))))))))</f>
        <v>0</v>
      </c>
      <c r="Y683" s="211">
        <f>IF(Q683="Other dry cargo", Alukset_fx!$Q$52, IF(OR(Q683="Dry bulk",Q683="Bulk carrier"),Alukset_fx!$Q$35,IF(OR(Q683="Tanker",Q683="Gas tanker",Q683="Oil tanker"),Alukset_fx!$Q$57,IF(Q683="Chemical tanker",Alukset_fx!$Q$56,IF(OR(Q683="Tugboat",Q683="Barge"),0,IF(Q683="Other vessel",Alukset_fx!$Q$54,IF(Q683="Container ship",Alukset_fx!$Q$37,IF(OR(Q683="RoPax",Q683="RoRo",Q683="Vehicle carrier"),Alukset_fx!$Q$55,0))))))))</f>
        <v>0</v>
      </c>
      <c r="Z683" t="str">
        <f t="shared" si="128"/>
        <v>MDO/MGO</v>
      </c>
      <c r="AA683" t="str">
        <f t="shared" si="129"/>
        <v>MSD</v>
      </c>
      <c r="AB683" t="str">
        <f t="shared" si="130"/>
        <v>MDO/MGO</v>
      </c>
      <c r="AC683" t="str">
        <f t="shared" si="131"/>
        <v>MSD</v>
      </c>
      <c r="AD683" t="str">
        <f t="shared" si="132"/>
        <v>MDO/MGO</v>
      </c>
      <c r="AE683" t="str">
        <f t="shared" si="133"/>
        <v>ST</v>
      </c>
      <c r="AG683">
        <f>Alukset_Käynnit!O690</f>
        <v>0</v>
      </c>
      <c r="AH683" s="207">
        <f>IF(AA683="SSD",((U683*Alukset_fx!$B$24)*Alukset_Käynnit_Lask!W683*(Alukset_fx!$K$49)/1000),IF(AA683="MSD",((U683*Alukset_fx!$B$24)*Alukset_Käynnit_Lask!W683*(Alukset_fx!$K$52)/1000),IF(AA683="HSD",((U683*Alukset_fx!$B$24)*Alukset_Käynnit_Lask!W683*(Alukset_fx!$K$55)/1000),0)))</f>
        <v>0</v>
      </c>
      <c r="AI683" s="207">
        <f>IF(AC683="MSD",((V683*Alukset_fx!$B$25)*Alukset_Käynnit_Lask!W683*(Alukset_fx!$L$52)/1000),IF(AC683="HSD",((V683*Alukset_fx!$B$25)*Alukset_Käynnit_Lask!W683*(Alukset_fx!$L$55)/1000),0))</f>
        <v>0</v>
      </c>
      <c r="AJ683" s="207">
        <f>X683*W683*Alukset_fx!$K$61/1000</f>
        <v>0</v>
      </c>
      <c r="AK683">
        <v>0</v>
      </c>
      <c r="AL683" s="207">
        <f>IF(AG683="Käytetty",0,IF(AC683="MSD",((V683*Alukset_fx!$O$25)*Alukset_Käynnit_Lask!O683*(Alukset_fx!$L$52)/1000),IF(AC683="HSD",((V683*Alukset_fx!$O$25)*Alukset_Käynnit_Lask!O683*(Alukset_fx!$L$55)/1000),0)))</f>
        <v>0</v>
      </c>
      <c r="AM683" s="207">
        <f>IF(AG683="Käytetty",0,Y683*O683*Alukset_fx!$K$61/1000)</f>
        <v>0</v>
      </c>
      <c r="AN683" s="213">
        <f t="shared" si="134"/>
        <v>0</v>
      </c>
    </row>
    <row r="684" spans="1:40" x14ac:dyDescent="0.25">
      <c r="A684" s="203">
        <f>Alukset_Käynnit!A691</f>
        <v>0</v>
      </c>
      <c r="B684" s="203">
        <f>Alukset_Käynnit!B691</f>
        <v>0</v>
      </c>
      <c r="C684" s="262">
        <f>Alukset_Käynnit!C691</f>
        <v>0</v>
      </c>
      <c r="D684" s="266">
        <f>Alukset_Käynnit!D691</f>
        <v>0</v>
      </c>
      <c r="E684" s="262">
        <f>Alukset_Käynnit!E691</f>
        <v>0</v>
      </c>
      <c r="F684" s="262">
        <f>Alukset_Käynnit!F691</f>
        <v>0</v>
      </c>
      <c r="G684" s="262">
        <f>Alukset_Käynnit!G691</f>
        <v>0</v>
      </c>
      <c r="H684" s="262">
        <f>Alukset_Käynnit!H691</f>
        <v>0</v>
      </c>
      <c r="I684" s="262">
        <f>Alukset_Käynnit!I691</f>
        <v>0</v>
      </c>
      <c r="J684" s="262">
        <f>Alukset_Käynnit!J691</f>
        <v>0</v>
      </c>
      <c r="K684" s="262">
        <f>Alukset_Käynnit!K691</f>
        <v>0</v>
      </c>
      <c r="L684" s="205">
        <f>Alukset_Käynnit!L691</f>
        <v>0</v>
      </c>
      <c r="N684" s="273">
        <f t="shared" si="135"/>
        <v>0</v>
      </c>
      <c r="O684" s="274">
        <f t="shared" si="136"/>
        <v>0</v>
      </c>
      <c r="Q684" s="204">
        <f t="shared" si="125"/>
        <v>0</v>
      </c>
      <c r="R684" s="202">
        <f>IF(Q684="Other dry cargo",L684*Alukset_fx!$B$71,IF(OR(Q684="Dry bulk",Q684="Bulk carrier"),L684*Alukset_fx!$B$69,IF(Q684="Tugboat",L684*Alukset_fx!$B$76,IF(OR(Q684="Tanker",Q684="Gas tanker",Q684="Chemical tanker",Q684="Oil tanker"),L684*Alukset_fx!$B$68,IF(OR(Q684="RoRo",Q684="Vehicle carrier"),L684*Alukset_fx!$B$72,IF(Q684="RoPax",L684*Alukset_fx!$B$73,IF(Q684="Container ship",L684*Alukset_fx!$B$70,IF(Q684="Barge",0,L684*Alukset_fx!$B$75))))))))</f>
        <v>0</v>
      </c>
      <c r="S684" s="210">
        <f>IF(L684=0,IF(Q684="Other dry cargo",Alukset_fx!$H$73*(Alukset_Käynnit_Lask!K684^Alukset_fx!$I$73),IF(OR(Q684="Dry Bulk",Q684="Bulk carrier"),Alukset_fx!$H$71*(Alukset_Käynnit_Lask!K684^Alukset_fx!$I$71),IF(Q684="Tugboat",Alukset_fx!$H$78*(Alukset_Käynnit_Lask!K684^Alukset_fx!$I$78),IF(OR(Q684="Tanker",Q684="Gas tanker",Q684="Chemical tanker",Q684="Oil tanker"),Alukset_fx!$H$70*(Alukset_Käynnit_Lask!K684^Alukset_fx!$I$70),IF(Q684="Container ship",Alukset_fx!$H$72*(Alukset_Käynnit_Lask!K684^Alukset_fx!$I$72),IF(Q684="Barge",0,IF(Q684="RoPax",Alukset_fx!$H$75*(Alukset_Käynnit_Lask!K684^Alukset_fx!$I$75),IF(OR(Q684="RoRo",Q684="Vehicle carrier"),Alukset_fx!$H$74*(Alukset_Käynnit_Lask!K684^Alukset_fx!$I$74),Alukset_fx!$H$77*(Alukset_Käynnit_Lask!K684^Alukset_fx!$I$77))))))))),"-")</f>
        <v>0</v>
      </c>
      <c r="T684" s="208">
        <f>IF(R684=0,IF(Q684="Other dry cargo",S684*Alukset_fx!$B$71,IF(OR(Q684="Dry bulk",Q684="Bulk carrier"),S684*Alukset_fx!$B$69,IF(Q684="Tugboat",S684*Alukset_fx!$B$76,IF(OR(Q684="Tanker",Q684="Gas tanker",Q684="Chemical tanker",Q684="Oil tanker"),S684*Alukset_fx!$B$68,IF(OR(Q684="RoRo",Q684="Vehicle carrier"),S684*Alukset_fx!$B$72,IF(Q684="RoPax",S684*Alukset_fx!$B$73,IF(Q684="Container ship",S684*Alukset_fx!$B$70,S684*Alukset_fx!$B$75))))))),"-")</f>
        <v>0</v>
      </c>
      <c r="U684" s="208">
        <f t="shared" si="126"/>
        <v>0</v>
      </c>
      <c r="V684" s="208">
        <f t="shared" si="127"/>
        <v>0</v>
      </c>
      <c r="W684" s="202">
        <f>Alukset_Käynnit!N691</f>
        <v>0</v>
      </c>
      <c r="X684" s="211">
        <f>IF(Q684="Other dry cargo", Alukset_fx!$C$52, IF(OR(Q684="Dry bulk",Q684="Bulk carrier"),Alukset_fx!$C$35,IF(OR(Q684="Tanker",Q684="Gas tanker",Q684="Oil tanker"),Alukset_fx!$C$57,IF(Q684="Chemical tanker",Alukset_fx!$C$56,IF(OR(Q684="Tugboat",Q684="Barge"),0,IF(Q684="Other vessel",Alukset_fx!$C$54,IF(Q684="Container ship",Alukset_fx!$C$37,IF(OR(Q684="RoPax",Q684="RoRo",Q684="Vehicle carrier"),Alukset_fx!$C$55,0))))))))</f>
        <v>0</v>
      </c>
      <c r="Y684" s="211">
        <f>IF(Q684="Other dry cargo", Alukset_fx!$Q$52, IF(OR(Q684="Dry bulk",Q684="Bulk carrier"),Alukset_fx!$Q$35,IF(OR(Q684="Tanker",Q684="Gas tanker",Q684="Oil tanker"),Alukset_fx!$Q$57,IF(Q684="Chemical tanker",Alukset_fx!$Q$56,IF(OR(Q684="Tugboat",Q684="Barge"),0,IF(Q684="Other vessel",Alukset_fx!$Q$54,IF(Q684="Container ship",Alukset_fx!$Q$37,IF(OR(Q684="RoPax",Q684="RoRo",Q684="Vehicle carrier"),Alukset_fx!$Q$55,0))))))))</f>
        <v>0</v>
      </c>
      <c r="Z684" t="str">
        <f t="shared" si="128"/>
        <v>MDO/MGO</v>
      </c>
      <c r="AA684" t="str">
        <f t="shared" si="129"/>
        <v>MSD</v>
      </c>
      <c r="AB684" t="str">
        <f t="shared" si="130"/>
        <v>MDO/MGO</v>
      </c>
      <c r="AC684" t="str">
        <f t="shared" si="131"/>
        <v>MSD</v>
      </c>
      <c r="AD684" t="str">
        <f t="shared" si="132"/>
        <v>MDO/MGO</v>
      </c>
      <c r="AE684" t="str">
        <f t="shared" si="133"/>
        <v>ST</v>
      </c>
      <c r="AG684">
        <f>Alukset_Käynnit!O691</f>
        <v>0</v>
      </c>
      <c r="AH684" s="207">
        <f>IF(AA684="SSD",((U684*Alukset_fx!$B$24)*Alukset_Käynnit_Lask!W684*(Alukset_fx!$K$49)/1000),IF(AA684="MSD",((U684*Alukset_fx!$B$24)*Alukset_Käynnit_Lask!W684*(Alukset_fx!$K$52)/1000),IF(AA684="HSD",((U684*Alukset_fx!$B$24)*Alukset_Käynnit_Lask!W684*(Alukset_fx!$K$55)/1000),0)))</f>
        <v>0</v>
      </c>
      <c r="AI684" s="207">
        <f>IF(AC684="MSD",((V684*Alukset_fx!$B$25)*Alukset_Käynnit_Lask!W684*(Alukset_fx!$L$52)/1000),IF(AC684="HSD",((V684*Alukset_fx!$B$25)*Alukset_Käynnit_Lask!W684*(Alukset_fx!$L$55)/1000),0))</f>
        <v>0</v>
      </c>
      <c r="AJ684" s="207">
        <f>X684*W684*Alukset_fx!$K$61/1000</f>
        <v>0</v>
      </c>
      <c r="AK684">
        <v>0</v>
      </c>
      <c r="AL684" s="207">
        <f>IF(AG684="Käytetty",0,IF(AC684="MSD",((V684*Alukset_fx!$O$25)*Alukset_Käynnit_Lask!O684*(Alukset_fx!$L$52)/1000),IF(AC684="HSD",((V684*Alukset_fx!$O$25)*Alukset_Käynnit_Lask!O684*(Alukset_fx!$L$55)/1000),0)))</f>
        <v>0</v>
      </c>
      <c r="AM684" s="207">
        <f>IF(AG684="Käytetty",0,Y684*O684*Alukset_fx!$K$61/1000)</f>
        <v>0</v>
      </c>
      <c r="AN684" s="213">
        <f t="shared" si="134"/>
        <v>0</v>
      </c>
    </row>
    <row r="685" spans="1:40" x14ac:dyDescent="0.25">
      <c r="A685" s="203">
        <f>Alukset_Käynnit!A692</f>
        <v>0</v>
      </c>
      <c r="B685" s="203">
        <f>Alukset_Käynnit!B692</f>
        <v>0</v>
      </c>
      <c r="C685" s="262">
        <f>Alukset_Käynnit!C692</f>
        <v>0</v>
      </c>
      <c r="D685" s="266">
        <f>Alukset_Käynnit!D692</f>
        <v>0</v>
      </c>
      <c r="E685" s="262">
        <f>Alukset_Käynnit!E692</f>
        <v>0</v>
      </c>
      <c r="F685" s="262">
        <f>Alukset_Käynnit!F692</f>
        <v>0</v>
      </c>
      <c r="G685" s="262">
        <f>Alukset_Käynnit!G692</f>
        <v>0</v>
      </c>
      <c r="H685" s="262">
        <f>Alukset_Käynnit!H692</f>
        <v>0</v>
      </c>
      <c r="I685" s="262">
        <f>Alukset_Käynnit!I692</f>
        <v>0</v>
      </c>
      <c r="J685" s="262">
        <f>Alukset_Käynnit!J692</f>
        <v>0</v>
      </c>
      <c r="K685" s="262">
        <f>Alukset_Käynnit!K692</f>
        <v>0</v>
      </c>
      <c r="L685" s="205">
        <f>Alukset_Käynnit!L692</f>
        <v>0</v>
      </c>
      <c r="N685" s="273">
        <f t="shared" si="135"/>
        <v>0</v>
      </c>
      <c r="O685" s="274">
        <f t="shared" si="136"/>
        <v>0</v>
      </c>
      <c r="Q685" s="204">
        <f t="shared" si="125"/>
        <v>0</v>
      </c>
      <c r="R685" s="202">
        <f>IF(Q685="Other dry cargo",L685*Alukset_fx!$B$71,IF(OR(Q685="Dry bulk",Q685="Bulk carrier"),L685*Alukset_fx!$B$69,IF(Q685="Tugboat",L685*Alukset_fx!$B$76,IF(OR(Q685="Tanker",Q685="Gas tanker",Q685="Chemical tanker",Q685="Oil tanker"),L685*Alukset_fx!$B$68,IF(OR(Q685="RoRo",Q685="Vehicle carrier"),L685*Alukset_fx!$B$72,IF(Q685="RoPax",L685*Alukset_fx!$B$73,IF(Q685="Container ship",L685*Alukset_fx!$B$70,IF(Q685="Barge",0,L685*Alukset_fx!$B$75))))))))</f>
        <v>0</v>
      </c>
      <c r="S685" s="210">
        <f>IF(L685=0,IF(Q685="Other dry cargo",Alukset_fx!$H$73*(Alukset_Käynnit_Lask!K685^Alukset_fx!$I$73),IF(OR(Q685="Dry Bulk",Q685="Bulk carrier"),Alukset_fx!$H$71*(Alukset_Käynnit_Lask!K685^Alukset_fx!$I$71),IF(Q685="Tugboat",Alukset_fx!$H$78*(Alukset_Käynnit_Lask!K685^Alukset_fx!$I$78),IF(OR(Q685="Tanker",Q685="Gas tanker",Q685="Chemical tanker",Q685="Oil tanker"),Alukset_fx!$H$70*(Alukset_Käynnit_Lask!K685^Alukset_fx!$I$70),IF(Q685="Container ship",Alukset_fx!$H$72*(Alukset_Käynnit_Lask!K685^Alukset_fx!$I$72),IF(Q685="Barge",0,IF(Q685="RoPax",Alukset_fx!$H$75*(Alukset_Käynnit_Lask!K685^Alukset_fx!$I$75),IF(OR(Q685="RoRo",Q685="Vehicle carrier"),Alukset_fx!$H$74*(Alukset_Käynnit_Lask!K685^Alukset_fx!$I$74),Alukset_fx!$H$77*(Alukset_Käynnit_Lask!K685^Alukset_fx!$I$77))))))))),"-")</f>
        <v>0</v>
      </c>
      <c r="T685" s="208">
        <f>IF(R685=0,IF(Q685="Other dry cargo",S685*Alukset_fx!$B$71,IF(OR(Q685="Dry bulk",Q685="Bulk carrier"),S685*Alukset_fx!$B$69,IF(Q685="Tugboat",S685*Alukset_fx!$B$76,IF(OR(Q685="Tanker",Q685="Gas tanker",Q685="Chemical tanker",Q685="Oil tanker"),S685*Alukset_fx!$B$68,IF(OR(Q685="RoRo",Q685="Vehicle carrier"),S685*Alukset_fx!$B$72,IF(Q685="RoPax",S685*Alukset_fx!$B$73,IF(Q685="Container ship",S685*Alukset_fx!$B$70,S685*Alukset_fx!$B$75))))))),"-")</f>
        <v>0</v>
      </c>
      <c r="U685" s="208">
        <f t="shared" si="126"/>
        <v>0</v>
      </c>
      <c r="V685" s="208">
        <f t="shared" si="127"/>
        <v>0</v>
      </c>
      <c r="W685" s="202">
        <f>Alukset_Käynnit!N692</f>
        <v>0</v>
      </c>
      <c r="X685" s="211">
        <f>IF(Q685="Other dry cargo", Alukset_fx!$C$52, IF(OR(Q685="Dry bulk",Q685="Bulk carrier"),Alukset_fx!$C$35,IF(OR(Q685="Tanker",Q685="Gas tanker",Q685="Oil tanker"),Alukset_fx!$C$57,IF(Q685="Chemical tanker",Alukset_fx!$C$56,IF(OR(Q685="Tugboat",Q685="Barge"),0,IF(Q685="Other vessel",Alukset_fx!$C$54,IF(Q685="Container ship",Alukset_fx!$C$37,IF(OR(Q685="RoPax",Q685="RoRo",Q685="Vehicle carrier"),Alukset_fx!$C$55,0))))))))</f>
        <v>0</v>
      </c>
      <c r="Y685" s="211">
        <f>IF(Q685="Other dry cargo", Alukset_fx!$Q$52, IF(OR(Q685="Dry bulk",Q685="Bulk carrier"),Alukset_fx!$Q$35,IF(OR(Q685="Tanker",Q685="Gas tanker",Q685="Oil tanker"),Alukset_fx!$Q$57,IF(Q685="Chemical tanker",Alukset_fx!$Q$56,IF(OR(Q685="Tugboat",Q685="Barge"),0,IF(Q685="Other vessel",Alukset_fx!$Q$54,IF(Q685="Container ship",Alukset_fx!$Q$37,IF(OR(Q685="RoPax",Q685="RoRo",Q685="Vehicle carrier"),Alukset_fx!$Q$55,0))))))))</f>
        <v>0</v>
      </c>
      <c r="Z685" t="str">
        <f t="shared" si="128"/>
        <v>MDO/MGO</v>
      </c>
      <c r="AA685" t="str">
        <f t="shared" si="129"/>
        <v>MSD</v>
      </c>
      <c r="AB685" t="str">
        <f t="shared" si="130"/>
        <v>MDO/MGO</v>
      </c>
      <c r="AC685" t="str">
        <f t="shared" si="131"/>
        <v>MSD</v>
      </c>
      <c r="AD685" t="str">
        <f t="shared" si="132"/>
        <v>MDO/MGO</v>
      </c>
      <c r="AE685" t="str">
        <f t="shared" si="133"/>
        <v>ST</v>
      </c>
      <c r="AG685">
        <f>Alukset_Käynnit!O692</f>
        <v>0</v>
      </c>
      <c r="AH685" s="207">
        <f>IF(AA685="SSD",((U685*Alukset_fx!$B$24)*Alukset_Käynnit_Lask!W685*(Alukset_fx!$K$49)/1000),IF(AA685="MSD",((U685*Alukset_fx!$B$24)*Alukset_Käynnit_Lask!W685*(Alukset_fx!$K$52)/1000),IF(AA685="HSD",((U685*Alukset_fx!$B$24)*Alukset_Käynnit_Lask!W685*(Alukset_fx!$K$55)/1000),0)))</f>
        <v>0</v>
      </c>
      <c r="AI685" s="207">
        <f>IF(AC685="MSD",((V685*Alukset_fx!$B$25)*Alukset_Käynnit_Lask!W685*(Alukset_fx!$L$52)/1000),IF(AC685="HSD",((V685*Alukset_fx!$B$25)*Alukset_Käynnit_Lask!W685*(Alukset_fx!$L$55)/1000),0))</f>
        <v>0</v>
      </c>
      <c r="AJ685" s="207">
        <f>X685*W685*Alukset_fx!$K$61/1000</f>
        <v>0</v>
      </c>
      <c r="AK685">
        <v>0</v>
      </c>
      <c r="AL685" s="207">
        <f>IF(AG685="Käytetty",0,IF(AC685="MSD",((V685*Alukset_fx!$O$25)*Alukset_Käynnit_Lask!O685*(Alukset_fx!$L$52)/1000),IF(AC685="HSD",((V685*Alukset_fx!$O$25)*Alukset_Käynnit_Lask!O685*(Alukset_fx!$L$55)/1000),0)))</f>
        <v>0</v>
      </c>
      <c r="AM685" s="207">
        <f>IF(AG685="Käytetty",0,Y685*O685*Alukset_fx!$K$61/1000)</f>
        <v>0</v>
      </c>
      <c r="AN685" s="213">
        <f t="shared" si="134"/>
        <v>0</v>
      </c>
    </row>
    <row r="686" spans="1:40" x14ac:dyDescent="0.25">
      <c r="A686" s="203">
        <f>Alukset_Käynnit!A693</f>
        <v>0</v>
      </c>
      <c r="B686" s="203">
        <f>Alukset_Käynnit!B693</f>
        <v>0</v>
      </c>
      <c r="C686" s="262">
        <f>Alukset_Käynnit!C693</f>
        <v>0</v>
      </c>
      <c r="D686" s="266">
        <f>Alukset_Käynnit!D693</f>
        <v>0</v>
      </c>
      <c r="E686" s="262">
        <f>Alukset_Käynnit!E693</f>
        <v>0</v>
      </c>
      <c r="F686" s="262">
        <f>Alukset_Käynnit!F693</f>
        <v>0</v>
      </c>
      <c r="G686" s="262">
        <f>Alukset_Käynnit!G693</f>
        <v>0</v>
      </c>
      <c r="H686" s="262">
        <f>Alukset_Käynnit!H693</f>
        <v>0</v>
      </c>
      <c r="I686" s="262">
        <f>Alukset_Käynnit!I693</f>
        <v>0</v>
      </c>
      <c r="J686" s="262">
        <f>Alukset_Käynnit!J693</f>
        <v>0</v>
      </c>
      <c r="K686" s="262">
        <f>Alukset_Käynnit!K693</f>
        <v>0</v>
      </c>
      <c r="L686" s="205">
        <f>Alukset_Käynnit!L693</f>
        <v>0</v>
      </c>
      <c r="N686" s="273">
        <f t="shared" si="135"/>
        <v>0</v>
      </c>
      <c r="O686" s="274">
        <f t="shared" si="136"/>
        <v>0</v>
      </c>
      <c r="Q686" s="204">
        <f t="shared" si="125"/>
        <v>0</v>
      </c>
      <c r="R686" s="202">
        <f>IF(Q686="Other dry cargo",L686*Alukset_fx!$B$71,IF(OR(Q686="Dry bulk",Q686="Bulk carrier"),L686*Alukset_fx!$B$69,IF(Q686="Tugboat",L686*Alukset_fx!$B$76,IF(OR(Q686="Tanker",Q686="Gas tanker",Q686="Chemical tanker",Q686="Oil tanker"),L686*Alukset_fx!$B$68,IF(OR(Q686="RoRo",Q686="Vehicle carrier"),L686*Alukset_fx!$B$72,IF(Q686="RoPax",L686*Alukset_fx!$B$73,IF(Q686="Container ship",L686*Alukset_fx!$B$70,IF(Q686="Barge",0,L686*Alukset_fx!$B$75))))))))</f>
        <v>0</v>
      </c>
      <c r="S686" s="210">
        <f>IF(L686=0,IF(Q686="Other dry cargo",Alukset_fx!$H$73*(Alukset_Käynnit_Lask!K686^Alukset_fx!$I$73),IF(OR(Q686="Dry Bulk",Q686="Bulk carrier"),Alukset_fx!$H$71*(Alukset_Käynnit_Lask!K686^Alukset_fx!$I$71),IF(Q686="Tugboat",Alukset_fx!$H$78*(Alukset_Käynnit_Lask!K686^Alukset_fx!$I$78),IF(OR(Q686="Tanker",Q686="Gas tanker",Q686="Chemical tanker",Q686="Oil tanker"),Alukset_fx!$H$70*(Alukset_Käynnit_Lask!K686^Alukset_fx!$I$70),IF(Q686="Container ship",Alukset_fx!$H$72*(Alukset_Käynnit_Lask!K686^Alukset_fx!$I$72),IF(Q686="Barge",0,IF(Q686="RoPax",Alukset_fx!$H$75*(Alukset_Käynnit_Lask!K686^Alukset_fx!$I$75),IF(OR(Q686="RoRo",Q686="Vehicle carrier"),Alukset_fx!$H$74*(Alukset_Käynnit_Lask!K686^Alukset_fx!$I$74),Alukset_fx!$H$77*(Alukset_Käynnit_Lask!K686^Alukset_fx!$I$77))))))))),"-")</f>
        <v>0</v>
      </c>
      <c r="T686" s="208">
        <f>IF(R686=0,IF(Q686="Other dry cargo",S686*Alukset_fx!$B$71,IF(OR(Q686="Dry bulk",Q686="Bulk carrier"),S686*Alukset_fx!$B$69,IF(Q686="Tugboat",S686*Alukset_fx!$B$76,IF(OR(Q686="Tanker",Q686="Gas tanker",Q686="Chemical tanker",Q686="Oil tanker"),S686*Alukset_fx!$B$68,IF(OR(Q686="RoRo",Q686="Vehicle carrier"),S686*Alukset_fx!$B$72,IF(Q686="RoPax",S686*Alukset_fx!$B$73,IF(Q686="Container ship",S686*Alukset_fx!$B$70,S686*Alukset_fx!$B$75))))))),"-")</f>
        <v>0</v>
      </c>
      <c r="U686" s="208">
        <f t="shared" si="126"/>
        <v>0</v>
      </c>
      <c r="V686" s="208">
        <f t="shared" si="127"/>
        <v>0</v>
      </c>
      <c r="W686" s="202">
        <f>Alukset_Käynnit!N693</f>
        <v>0</v>
      </c>
      <c r="X686" s="211">
        <f>IF(Q686="Other dry cargo", Alukset_fx!$C$52, IF(OR(Q686="Dry bulk",Q686="Bulk carrier"),Alukset_fx!$C$35,IF(OR(Q686="Tanker",Q686="Gas tanker",Q686="Oil tanker"),Alukset_fx!$C$57,IF(Q686="Chemical tanker",Alukset_fx!$C$56,IF(OR(Q686="Tugboat",Q686="Barge"),0,IF(Q686="Other vessel",Alukset_fx!$C$54,IF(Q686="Container ship",Alukset_fx!$C$37,IF(OR(Q686="RoPax",Q686="RoRo",Q686="Vehicle carrier"),Alukset_fx!$C$55,0))))))))</f>
        <v>0</v>
      </c>
      <c r="Y686" s="211">
        <f>IF(Q686="Other dry cargo", Alukset_fx!$Q$52, IF(OR(Q686="Dry bulk",Q686="Bulk carrier"),Alukset_fx!$Q$35,IF(OR(Q686="Tanker",Q686="Gas tanker",Q686="Oil tanker"),Alukset_fx!$Q$57,IF(Q686="Chemical tanker",Alukset_fx!$Q$56,IF(OR(Q686="Tugboat",Q686="Barge"),0,IF(Q686="Other vessel",Alukset_fx!$Q$54,IF(Q686="Container ship",Alukset_fx!$Q$37,IF(OR(Q686="RoPax",Q686="RoRo",Q686="Vehicle carrier"),Alukset_fx!$Q$55,0))))))))</f>
        <v>0</v>
      </c>
      <c r="Z686" t="str">
        <f t="shared" si="128"/>
        <v>MDO/MGO</v>
      </c>
      <c r="AA686" t="str">
        <f t="shared" si="129"/>
        <v>MSD</v>
      </c>
      <c r="AB686" t="str">
        <f t="shared" si="130"/>
        <v>MDO/MGO</v>
      </c>
      <c r="AC686" t="str">
        <f t="shared" si="131"/>
        <v>MSD</v>
      </c>
      <c r="AD686" t="str">
        <f t="shared" si="132"/>
        <v>MDO/MGO</v>
      </c>
      <c r="AE686" t="str">
        <f t="shared" si="133"/>
        <v>ST</v>
      </c>
      <c r="AG686">
        <f>Alukset_Käynnit!O693</f>
        <v>0</v>
      </c>
      <c r="AH686" s="207">
        <f>IF(AA686="SSD",((U686*Alukset_fx!$B$24)*Alukset_Käynnit_Lask!W686*(Alukset_fx!$K$49)/1000),IF(AA686="MSD",((U686*Alukset_fx!$B$24)*Alukset_Käynnit_Lask!W686*(Alukset_fx!$K$52)/1000),IF(AA686="HSD",((U686*Alukset_fx!$B$24)*Alukset_Käynnit_Lask!W686*(Alukset_fx!$K$55)/1000),0)))</f>
        <v>0</v>
      </c>
      <c r="AI686" s="207">
        <f>IF(AC686="MSD",((V686*Alukset_fx!$B$25)*Alukset_Käynnit_Lask!W686*(Alukset_fx!$L$52)/1000),IF(AC686="HSD",((V686*Alukset_fx!$B$25)*Alukset_Käynnit_Lask!W686*(Alukset_fx!$L$55)/1000),0))</f>
        <v>0</v>
      </c>
      <c r="AJ686" s="207">
        <f>X686*W686*Alukset_fx!$K$61/1000</f>
        <v>0</v>
      </c>
      <c r="AK686">
        <v>0</v>
      </c>
      <c r="AL686" s="207">
        <f>IF(AG686="Käytetty",0,IF(AC686="MSD",((V686*Alukset_fx!$O$25)*Alukset_Käynnit_Lask!O686*(Alukset_fx!$L$52)/1000),IF(AC686="HSD",((V686*Alukset_fx!$O$25)*Alukset_Käynnit_Lask!O686*(Alukset_fx!$L$55)/1000),0)))</f>
        <v>0</v>
      </c>
      <c r="AM686" s="207">
        <f>IF(AG686="Käytetty",0,Y686*O686*Alukset_fx!$K$61/1000)</f>
        <v>0</v>
      </c>
      <c r="AN686" s="213">
        <f t="shared" si="134"/>
        <v>0</v>
      </c>
    </row>
    <row r="687" spans="1:40" x14ac:dyDescent="0.25">
      <c r="A687" s="203">
        <f>Alukset_Käynnit!A694</f>
        <v>0</v>
      </c>
      <c r="B687" s="203">
        <f>Alukset_Käynnit!B694</f>
        <v>0</v>
      </c>
      <c r="C687" s="262">
        <f>Alukset_Käynnit!C694</f>
        <v>0</v>
      </c>
      <c r="D687" s="266">
        <f>Alukset_Käynnit!D694</f>
        <v>0</v>
      </c>
      <c r="E687" s="262">
        <f>Alukset_Käynnit!E694</f>
        <v>0</v>
      </c>
      <c r="F687" s="262">
        <f>Alukset_Käynnit!F694</f>
        <v>0</v>
      </c>
      <c r="G687" s="262">
        <f>Alukset_Käynnit!G694</f>
        <v>0</v>
      </c>
      <c r="H687" s="262">
        <f>Alukset_Käynnit!H694</f>
        <v>0</v>
      </c>
      <c r="I687" s="262">
        <f>Alukset_Käynnit!I694</f>
        <v>0</v>
      </c>
      <c r="J687" s="262">
        <f>Alukset_Käynnit!J694</f>
        <v>0</v>
      </c>
      <c r="K687" s="262">
        <f>Alukset_Käynnit!K694</f>
        <v>0</v>
      </c>
      <c r="L687" s="205">
        <f>Alukset_Käynnit!L694</f>
        <v>0</v>
      </c>
      <c r="N687" s="273">
        <f t="shared" si="135"/>
        <v>0</v>
      </c>
      <c r="O687" s="274">
        <f t="shared" si="136"/>
        <v>0</v>
      </c>
      <c r="Q687" s="204">
        <f t="shared" si="125"/>
        <v>0</v>
      </c>
      <c r="R687" s="202">
        <f>IF(Q687="Other dry cargo",L687*Alukset_fx!$B$71,IF(OR(Q687="Dry bulk",Q687="Bulk carrier"),L687*Alukset_fx!$B$69,IF(Q687="Tugboat",L687*Alukset_fx!$B$76,IF(OR(Q687="Tanker",Q687="Gas tanker",Q687="Chemical tanker",Q687="Oil tanker"),L687*Alukset_fx!$B$68,IF(OR(Q687="RoRo",Q687="Vehicle carrier"),L687*Alukset_fx!$B$72,IF(Q687="RoPax",L687*Alukset_fx!$B$73,IF(Q687="Container ship",L687*Alukset_fx!$B$70,IF(Q687="Barge",0,L687*Alukset_fx!$B$75))))))))</f>
        <v>0</v>
      </c>
      <c r="S687" s="210">
        <f>IF(L687=0,IF(Q687="Other dry cargo",Alukset_fx!$H$73*(Alukset_Käynnit_Lask!K687^Alukset_fx!$I$73),IF(OR(Q687="Dry Bulk",Q687="Bulk carrier"),Alukset_fx!$H$71*(Alukset_Käynnit_Lask!K687^Alukset_fx!$I$71),IF(Q687="Tugboat",Alukset_fx!$H$78*(Alukset_Käynnit_Lask!K687^Alukset_fx!$I$78),IF(OR(Q687="Tanker",Q687="Gas tanker",Q687="Chemical tanker",Q687="Oil tanker"),Alukset_fx!$H$70*(Alukset_Käynnit_Lask!K687^Alukset_fx!$I$70),IF(Q687="Container ship",Alukset_fx!$H$72*(Alukset_Käynnit_Lask!K687^Alukset_fx!$I$72),IF(Q687="Barge",0,IF(Q687="RoPax",Alukset_fx!$H$75*(Alukset_Käynnit_Lask!K687^Alukset_fx!$I$75),IF(OR(Q687="RoRo",Q687="Vehicle carrier"),Alukset_fx!$H$74*(Alukset_Käynnit_Lask!K687^Alukset_fx!$I$74),Alukset_fx!$H$77*(Alukset_Käynnit_Lask!K687^Alukset_fx!$I$77))))))))),"-")</f>
        <v>0</v>
      </c>
      <c r="T687" s="208">
        <f>IF(R687=0,IF(Q687="Other dry cargo",S687*Alukset_fx!$B$71,IF(OR(Q687="Dry bulk",Q687="Bulk carrier"),S687*Alukset_fx!$B$69,IF(Q687="Tugboat",S687*Alukset_fx!$B$76,IF(OR(Q687="Tanker",Q687="Gas tanker",Q687="Chemical tanker",Q687="Oil tanker"),S687*Alukset_fx!$B$68,IF(OR(Q687="RoRo",Q687="Vehicle carrier"),S687*Alukset_fx!$B$72,IF(Q687="RoPax",S687*Alukset_fx!$B$73,IF(Q687="Container ship",S687*Alukset_fx!$B$70,S687*Alukset_fx!$B$75))))))),"-")</f>
        <v>0</v>
      </c>
      <c r="U687" s="208">
        <f t="shared" si="126"/>
        <v>0</v>
      </c>
      <c r="V687" s="208">
        <f t="shared" si="127"/>
        <v>0</v>
      </c>
      <c r="W687" s="202">
        <f>Alukset_Käynnit!N694</f>
        <v>0</v>
      </c>
      <c r="X687" s="211">
        <f>IF(Q687="Other dry cargo", Alukset_fx!$C$52, IF(OR(Q687="Dry bulk",Q687="Bulk carrier"),Alukset_fx!$C$35,IF(OR(Q687="Tanker",Q687="Gas tanker",Q687="Oil tanker"),Alukset_fx!$C$57,IF(Q687="Chemical tanker",Alukset_fx!$C$56,IF(OR(Q687="Tugboat",Q687="Barge"),0,IF(Q687="Other vessel",Alukset_fx!$C$54,IF(Q687="Container ship",Alukset_fx!$C$37,IF(OR(Q687="RoPax",Q687="RoRo",Q687="Vehicle carrier"),Alukset_fx!$C$55,0))))))))</f>
        <v>0</v>
      </c>
      <c r="Y687" s="211">
        <f>IF(Q687="Other dry cargo", Alukset_fx!$Q$52, IF(OR(Q687="Dry bulk",Q687="Bulk carrier"),Alukset_fx!$Q$35,IF(OR(Q687="Tanker",Q687="Gas tanker",Q687="Oil tanker"),Alukset_fx!$Q$57,IF(Q687="Chemical tanker",Alukset_fx!$Q$56,IF(OR(Q687="Tugboat",Q687="Barge"),0,IF(Q687="Other vessel",Alukset_fx!$Q$54,IF(Q687="Container ship",Alukset_fx!$Q$37,IF(OR(Q687="RoPax",Q687="RoRo",Q687="Vehicle carrier"),Alukset_fx!$Q$55,0))))))))</f>
        <v>0</v>
      </c>
      <c r="Z687" t="str">
        <f t="shared" si="128"/>
        <v>MDO/MGO</v>
      </c>
      <c r="AA687" t="str">
        <f t="shared" si="129"/>
        <v>MSD</v>
      </c>
      <c r="AB687" t="str">
        <f t="shared" si="130"/>
        <v>MDO/MGO</v>
      </c>
      <c r="AC687" t="str">
        <f t="shared" si="131"/>
        <v>MSD</v>
      </c>
      <c r="AD687" t="str">
        <f t="shared" si="132"/>
        <v>MDO/MGO</v>
      </c>
      <c r="AE687" t="str">
        <f t="shared" si="133"/>
        <v>ST</v>
      </c>
      <c r="AG687">
        <f>Alukset_Käynnit!O694</f>
        <v>0</v>
      </c>
      <c r="AH687" s="207">
        <f>IF(AA687="SSD",((U687*Alukset_fx!$B$24)*Alukset_Käynnit_Lask!W687*(Alukset_fx!$K$49)/1000),IF(AA687="MSD",((U687*Alukset_fx!$B$24)*Alukset_Käynnit_Lask!W687*(Alukset_fx!$K$52)/1000),IF(AA687="HSD",((U687*Alukset_fx!$B$24)*Alukset_Käynnit_Lask!W687*(Alukset_fx!$K$55)/1000),0)))</f>
        <v>0</v>
      </c>
      <c r="AI687" s="207">
        <f>IF(AC687="MSD",((V687*Alukset_fx!$B$25)*Alukset_Käynnit_Lask!W687*(Alukset_fx!$L$52)/1000),IF(AC687="HSD",((V687*Alukset_fx!$B$25)*Alukset_Käynnit_Lask!W687*(Alukset_fx!$L$55)/1000),0))</f>
        <v>0</v>
      </c>
      <c r="AJ687" s="207">
        <f>X687*W687*Alukset_fx!$K$61/1000</f>
        <v>0</v>
      </c>
      <c r="AK687">
        <v>0</v>
      </c>
      <c r="AL687" s="207">
        <f>IF(AG687="Käytetty",0,IF(AC687="MSD",((V687*Alukset_fx!$O$25)*Alukset_Käynnit_Lask!O687*(Alukset_fx!$L$52)/1000),IF(AC687="HSD",((V687*Alukset_fx!$O$25)*Alukset_Käynnit_Lask!O687*(Alukset_fx!$L$55)/1000),0)))</f>
        <v>0</v>
      </c>
      <c r="AM687" s="207">
        <f>IF(AG687="Käytetty",0,Y687*O687*Alukset_fx!$K$61/1000)</f>
        <v>0</v>
      </c>
      <c r="AN687" s="213">
        <f t="shared" si="134"/>
        <v>0</v>
      </c>
    </row>
    <row r="688" spans="1:40" x14ac:dyDescent="0.25">
      <c r="A688" s="203">
        <f>Alukset_Käynnit!A695</f>
        <v>0</v>
      </c>
      <c r="B688" s="203">
        <f>Alukset_Käynnit!B695</f>
        <v>0</v>
      </c>
      <c r="C688" s="262">
        <f>Alukset_Käynnit!C695</f>
        <v>0</v>
      </c>
      <c r="D688" s="266">
        <f>Alukset_Käynnit!D695</f>
        <v>0</v>
      </c>
      <c r="E688" s="262">
        <f>Alukset_Käynnit!E695</f>
        <v>0</v>
      </c>
      <c r="F688" s="262">
        <f>Alukset_Käynnit!F695</f>
        <v>0</v>
      </c>
      <c r="G688" s="262">
        <f>Alukset_Käynnit!G695</f>
        <v>0</v>
      </c>
      <c r="H688" s="262">
        <f>Alukset_Käynnit!H695</f>
        <v>0</v>
      </c>
      <c r="I688" s="262">
        <f>Alukset_Käynnit!I695</f>
        <v>0</v>
      </c>
      <c r="J688" s="262">
        <f>Alukset_Käynnit!J695</f>
        <v>0</v>
      </c>
      <c r="K688" s="262">
        <f>Alukset_Käynnit!K695</f>
        <v>0</v>
      </c>
      <c r="L688" s="205">
        <f>Alukset_Käynnit!L695</f>
        <v>0</v>
      </c>
      <c r="N688" s="273">
        <f t="shared" si="135"/>
        <v>0</v>
      </c>
      <c r="O688" s="274">
        <f t="shared" si="136"/>
        <v>0</v>
      </c>
      <c r="Q688" s="204">
        <f t="shared" si="125"/>
        <v>0</v>
      </c>
      <c r="R688" s="202">
        <f>IF(Q688="Other dry cargo",L688*Alukset_fx!$B$71,IF(OR(Q688="Dry bulk",Q688="Bulk carrier"),L688*Alukset_fx!$B$69,IF(Q688="Tugboat",L688*Alukset_fx!$B$76,IF(OR(Q688="Tanker",Q688="Gas tanker",Q688="Chemical tanker",Q688="Oil tanker"),L688*Alukset_fx!$B$68,IF(OR(Q688="RoRo",Q688="Vehicle carrier"),L688*Alukset_fx!$B$72,IF(Q688="RoPax",L688*Alukset_fx!$B$73,IF(Q688="Container ship",L688*Alukset_fx!$B$70,IF(Q688="Barge",0,L688*Alukset_fx!$B$75))))))))</f>
        <v>0</v>
      </c>
      <c r="S688" s="210">
        <f>IF(L688=0,IF(Q688="Other dry cargo",Alukset_fx!$H$73*(Alukset_Käynnit_Lask!K688^Alukset_fx!$I$73),IF(OR(Q688="Dry Bulk",Q688="Bulk carrier"),Alukset_fx!$H$71*(Alukset_Käynnit_Lask!K688^Alukset_fx!$I$71),IF(Q688="Tugboat",Alukset_fx!$H$78*(Alukset_Käynnit_Lask!K688^Alukset_fx!$I$78),IF(OR(Q688="Tanker",Q688="Gas tanker",Q688="Chemical tanker",Q688="Oil tanker"),Alukset_fx!$H$70*(Alukset_Käynnit_Lask!K688^Alukset_fx!$I$70),IF(Q688="Container ship",Alukset_fx!$H$72*(Alukset_Käynnit_Lask!K688^Alukset_fx!$I$72),IF(Q688="Barge",0,IF(Q688="RoPax",Alukset_fx!$H$75*(Alukset_Käynnit_Lask!K688^Alukset_fx!$I$75),IF(OR(Q688="RoRo",Q688="Vehicle carrier"),Alukset_fx!$H$74*(Alukset_Käynnit_Lask!K688^Alukset_fx!$I$74),Alukset_fx!$H$77*(Alukset_Käynnit_Lask!K688^Alukset_fx!$I$77))))))))),"-")</f>
        <v>0</v>
      </c>
      <c r="T688" s="208">
        <f>IF(R688=0,IF(Q688="Other dry cargo",S688*Alukset_fx!$B$71,IF(OR(Q688="Dry bulk",Q688="Bulk carrier"),S688*Alukset_fx!$B$69,IF(Q688="Tugboat",S688*Alukset_fx!$B$76,IF(OR(Q688="Tanker",Q688="Gas tanker",Q688="Chemical tanker",Q688="Oil tanker"),S688*Alukset_fx!$B$68,IF(OR(Q688="RoRo",Q688="Vehicle carrier"),S688*Alukset_fx!$B$72,IF(Q688="RoPax",S688*Alukset_fx!$B$73,IF(Q688="Container ship",S688*Alukset_fx!$B$70,S688*Alukset_fx!$B$75))))))),"-")</f>
        <v>0</v>
      </c>
      <c r="U688" s="208">
        <f t="shared" si="126"/>
        <v>0</v>
      </c>
      <c r="V688" s="208">
        <f t="shared" si="127"/>
        <v>0</v>
      </c>
      <c r="W688" s="202">
        <f>Alukset_Käynnit!N695</f>
        <v>0</v>
      </c>
      <c r="X688" s="211">
        <f>IF(Q688="Other dry cargo", Alukset_fx!$C$52, IF(OR(Q688="Dry bulk",Q688="Bulk carrier"),Alukset_fx!$C$35,IF(OR(Q688="Tanker",Q688="Gas tanker",Q688="Oil tanker"),Alukset_fx!$C$57,IF(Q688="Chemical tanker",Alukset_fx!$C$56,IF(OR(Q688="Tugboat",Q688="Barge"),0,IF(Q688="Other vessel",Alukset_fx!$C$54,IF(Q688="Container ship",Alukset_fx!$C$37,IF(OR(Q688="RoPax",Q688="RoRo",Q688="Vehicle carrier"),Alukset_fx!$C$55,0))))))))</f>
        <v>0</v>
      </c>
      <c r="Y688" s="211">
        <f>IF(Q688="Other dry cargo", Alukset_fx!$Q$52, IF(OR(Q688="Dry bulk",Q688="Bulk carrier"),Alukset_fx!$Q$35,IF(OR(Q688="Tanker",Q688="Gas tanker",Q688="Oil tanker"),Alukset_fx!$Q$57,IF(Q688="Chemical tanker",Alukset_fx!$Q$56,IF(OR(Q688="Tugboat",Q688="Barge"),0,IF(Q688="Other vessel",Alukset_fx!$Q$54,IF(Q688="Container ship",Alukset_fx!$Q$37,IF(OR(Q688="RoPax",Q688="RoRo",Q688="Vehicle carrier"),Alukset_fx!$Q$55,0))))))))</f>
        <v>0</v>
      </c>
      <c r="Z688" t="str">
        <f t="shared" si="128"/>
        <v>MDO/MGO</v>
      </c>
      <c r="AA688" t="str">
        <f t="shared" si="129"/>
        <v>MSD</v>
      </c>
      <c r="AB688" t="str">
        <f t="shared" si="130"/>
        <v>MDO/MGO</v>
      </c>
      <c r="AC688" t="str">
        <f t="shared" si="131"/>
        <v>MSD</v>
      </c>
      <c r="AD688" t="str">
        <f t="shared" si="132"/>
        <v>MDO/MGO</v>
      </c>
      <c r="AE688" t="str">
        <f t="shared" si="133"/>
        <v>ST</v>
      </c>
      <c r="AG688">
        <f>Alukset_Käynnit!O695</f>
        <v>0</v>
      </c>
      <c r="AH688" s="207">
        <f>IF(AA688="SSD",((U688*Alukset_fx!$B$24)*Alukset_Käynnit_Lask!W688*(Alukset_fx!$K$49)/1000),IF(AA688="MSD",((U688*Alukset_fx!$B$24)*Alukset_Käynnit_Lask!W688*(Alukset_fx!$K$52)/1000),IF(AA688="HSD",((U688*Alukset_fx!$B$24)*Alukset_Käynnit_Lask!W688*(Alukset_fx!$K$55)/1000),0)))</f>
        <v>0</v>
      </c>
      <c r="AI688" s="207">
        <f>IF(AC688="MSD",((V688*Alukset_fx!$B$25)*Alukset_Käynnit_Lask!W688*(Alukset_fx!$L$52)/1000),IF(AC688="HSD",((V688*Alukset_fx!$B$25)*Alukset_Käynnit_Lask!W688*(Alukset_fx!$L$55)/1000),0))</f>
        <v>0</v>
      </c>
      <c r="AJ688" s="207">
        <f>X688*W688*Alukset_fx!$K$61/1000</f>
        <v>0</v>
      </c>
      <c r="AK688">
        <v>0</v>
      </c>
      <c r="AL688" s="207">
        <f>IF(AG688="Käytetty",0,IF(AC688="MSD",((V688*Alukset_fx!$O$25)*Alukset_Käynnit_Lask!O688*(Alukset_fx!$L$52)/1000),IF(AC688="HSD",((V688*Alukset_fx!$O$25)*Alukset_Käynnit_Lask!O688*(Alukset_fx!$L$55)/1000),0)))</f>
        <v>0</v>
      </c>
      <c r="AM688" s="207">
        <f>IF(AG688="Käytetty",0,Y688*O688*Alukset_fx!$K$61/1000)</f>
        <v>0</v>
      </c>
      <c r="AN688" s="213">
        <f t="shared" si="134"/>
        <v>0</v>
      </c>
    </row>
    <row r="689" spans="1:40" x14ac:dyDescent="0.25">
      <c r="A689" s="203">
        <f>Alukset_Käynnit!A696</f>
        <v>0</v>
      </c>
      <c r="B689" s="203">
        <f>Alukset_Käynnit!B696</f>
        <v>0</v>
      </c>
      <c r="C689" s="262">
        <f>Alukset_Käynnit!C696</f>
        <v>0</v>
      </c>
      <c r="D689" s="266">
        <f>Alukset_Käynnit!D696</f>
        <v>0</v>
      </c>
      <c r="E689" s="262">
        <f>Alukset_Käynnit!E696</f>
        <v>0</v>
      </c>
      <c r="F689" s="262">
        <f>Alukset_Käynnit!F696</f>
        <v>0</v>
      </c>
      <c r="G689" s="262">
        <f>Alukset_Käynnit!G696</f>
        <v>0</v>
      </c>
      <c r="H689" s="262">
        <f>Alukset_Käynnit!H696</f>
        <v>0</v>
      </c>
      <c r="I689" s="262">
        <f>Alukset_Käynnit!I696</f>
        <v>0</v>
      </c>
      <c r="J689" s="262">
        <f>Alukset_Käynnit!J696</f>
        <v>0</v>
      </c>
      <c r="K689" s="262">
        <f>Alukset_Käynnit!K696</f>
        <v>0</v>
      </c>
      <c r="L689" s="205">
        <f>Alukset_Käynnit!L696</f>
        <v>0</v>
      </c>
      <c r="N689" s="273">
        <f t="shared" si="135"/>
        <v>0</v>
      </c>
      <c r="O689" s="274">
        <f t="shared" si="136"/>
        <v>0</v>
      </c>
      <c r="Q689" s="204">
        <f t="shared" si="125"/>
        <v>0</v>
      </c>
      <c r="R689" s="202">
        <f>IF(Q689="Other dry cargo",L689*Alukset_fx!$B$71,IF(OR(Q689="Dry bulk",Q689="Bulk carrier"),L689*Alukset_fx!$B$69,IF(Q689="Tugboat",L689*Alukset_fx!$B$76,IF(OR(Q689="Tanker",Q689="Gas tanker",Q689="Chemical tanker",Q689="Oil tanker"),L689*Alukset_fx!$B$68,IF(OR(Q689="RoRo",Q689="Vehicle carrier"),L689*Alukset_fx!$B$72,IF(Q689="RoPax",L689*Alukset_fx!$B$73,IF(Q689="Container ship",L689*Alukset_fx!$B$70,IF(Q689="Barge",0,L689*Alukset_fx!$B$75))))))))</f>
        <v>0</v>
      </c>
      <c r="S689" s="210">
        <f>IF(L689=0,IF(Q689="Other dry cargo",Alukset_fx!$H$73*(Alukset_Käynnit_Lask!K689^Alukset_fx!$I$73),IF(OR(Q689="Dry Bulk",Q689="Bulk carrier"),Alukset_fx!$H$71*(Alukset_Käynnit_Lask!K689^Alukset_fx!$I$71),IF(Q689="Tugboat",Alukset_fx!$H$78*(Alukset_Käynnit_Lask!K689^Alukset_fx!$I$78),IF(OR(Q689="Tanker",Q689="Gas tanker",Q689="Chemical tanker",Q689="Oil tanker"),Alukset_fx!$H$70*(Alukset_Käynnit_Lask!K689^Alukset_fx!$I$70),IF(Q689="Container ship",Alukset_fx!$H$72*(Alukset_Käynnit_Lask!K689^Alukset_fx!$I$72),IF(Q689="Barge",0,IF(Q689="RoPax",Alukset_fx!$H$75*(Alukset_Käynnit_Lask!K689^Alukset_fx!$I$75),IF(OR(Q689="RoRo",Q689="Vehicle carrier"),Alukset_fx!$H$74*(Alukset_Käynnit_Lask!K689^Alukset_fx!$I$74),Alukset_fx!$H$77*(Alukset_Käynnit_Lask!K689^Alukset_fx!$I$77))))))))),"-")</f>
        <v>0</v>
      </c>
      <c r="T689" s="208">
        <f>IF(R689=0,IF(Q689="Other dry cargo",S689*Alukset_fx!$B$71,IF(OR(Q689="Dry bulk",Q689="Bulk carrier"),S689*Alukset_fx!$B$69,IF(Q689="Tugboat",S689*Alukset_fx!$B$76,IF(OR(Q689="Tanker",Q689="Gas tanker",Q689="Chemical tanker",Q689="Oil tanker"),S689*Alukset_fx!$B$68,IF(OR(Q689="RoRo",Q689="Vehicle carrier"),S689*Alukset_fx!$B$72,IF(Q689="RoPax",S689*Alukset_fx!$B$73,IF(Q689="Container ship",S689*Alukset_fx!$B$70,S689*Alukset_fx!$B$75))))))),"-")</f>
        <v>0</v>
      </c>
      <c r="U689" s="208">
        <f t="shared" si="126"/>
        <v>0</v>
      </c>
      <c r="V689" s="208">
        <f t="shared" si="127"/>
        <v>0</v>
      </c>
      <c r="W689" s="202">
        <f>Alukset_Käynnit!N696</f>
        <v>0</v>
      </c>
      <c r="X689" s="211">
        <f>IF(Q689="Other dry cargo", Alukset_fx!$C$52, IF(OR(Q689="Dry bulk",Q689="Bulk carrier"),Alukset_fx!$C$35,IF(OR(Q689="Tanker",Q689="Gas tanker",Q689="Oil tanker"),Alukset_fx!$C$57,IF(Q689="Chemical tanker",Alukset_fx!$C$56,IF(OR(Q689="Tugboat",Q689="Barge"),0,IF(Q689="Other vessel",Alukset_fx!$C$54,IF(Q689="Container ship",Alukset_fx!$C$37,IF(OR(Q689="RoPax",Q689="RoRo",Q689="Vehicle carrier"),Alukset_fx!$C$55,0))))))))</f>
        <v>0</v>
      </c>
      <c r="Y689" s="211">
        <f>IF(Q689="Other dry cargo", Alukset_fx!$Q$52, IF(OR(Q689="Dry bulk",Q689="Bulk carrier"),Alukset_fx!$Q$35,IF(OR(Q689="Tanker",Q689="Gas tanker",Q689="Oil tanker"),Alukset_fx!$Q$57,IF(Q689="Chemical tanker",Alukset_fx!$Q$56,IF(OR(Q689="Tugboat",Q689="Barge"),0,IF(Q689="Other vessel",Alukset_fx!$Q$54,IF(Q689="Container ship",Alukset_fx!$Q$37,IF(OR(Q689="RoPax",Q689="RoRo",Q689="Vehicle carrier"),Alukset_fx!$Q$55,0))))))))</f>
        <v>0</v>
      </c>
      <c r="Z689" t="str">
        <f t="shared" si="128"/>
        <v>MDO/MGO</v>
      </c>
      <c r="AA689" t="str">
        <f t="shared" si="129"/>
        <v>MSD</v>
      </c>
      <c r="AB689" t="str">
        <f t="shared" si="130"/>
        <v>MDO/MGO</v>
      </c>
      <c r="AC689" t="str">
        <f t="shared" si="131"/>
        <v>MSD</v>
      </c>
      <c r="AD689" t="str">
        <f t="shared" si="132"/>
        <v>MDO/MGO</v>
      </c>
      <c r="AE689" t="str">
        <f t="shared" si="133"/>
        <v>ST</v>
      </c>
      <c r="AG689">
        <f>Alukset_Käynnit!O696</f>
        <v>0</v>
      </c>
      <c r="AH689" s="207">
        <f>IF(AA689="SSD",((U689*Alukset_fx!$B$24)*Alukset_Käynnit_Lask!W689*(Alukset_fx!$K$49)/1000),IF(AA689="MSD",((U689*Alukset_fx!$B$24)*Alukset_Käynnit_Lask!W689*(Alukset_fx!$K$52)/1000),IF(AA689="HSD",((U689*Alukset_fx!$B$24)*Alukset_Käynnit_Lask!W689*(Alukset_fx!$K$55)/1000),0)))</f>
        <v>0</v>
      </c>
      <c r="AI689" s="207">
        <f>IF(AC689="MSD",((V689*Alukset_fx!$B$25)*Alukset_Käynnit_Lask!W689*(Alukset_fx!$L$52)/1000),IF(AC689="HSD",((V689*Alukset_fx!$B$25)*Alukset_Käynnit_Lask!W689*(Alukset_fx!$L$55)/1000),0))</f>
        <v>0</v>
      </c>
      <c r="AJ689" s="207">
        <f>X689*W689*Alukset_fx!$K$61/1000</f>
        <v>0</v>
      </c>
      <c r="AK689">
        <v>0</v>
      </c>
      <c r="AL689" s="207">
        <f>IF(AG689="Käytetty",0,IF(AC689="MSD",((V689*Alukset_fx!$O$25)*Alukset_Käynnit_Lask!O689*(Alukset_fx!$L$52)/1000),IF(AC689="HSD",((V689*Alukset_fx!$O$25)*Alukset_Käynnit_Lask!O689*(Alukset_fx!$L$55)/1000),0)))</f>
        <v>0</v>
      </c>
      <c r="AM689" s="207">
        <f>IF(AG689="Käytetty",0,Y689*O689*Alukset_fx!$K$61/1000)</f>
        <v>0</v>
      </c>
      <c r="AN689" s="213">
        <f t="shared" si="134"/>
        <v>0</v>
      </c>
    </row>
    <row r="690" spans="1:40" x14ac:dyDescent="0.25">
      <c r="A690" s="203">
        <f>Alukset_Käynnit!A697</f>
        <v>0</v>
      </c>
      <c r="B690" s="203">
        <f>Alukset_Käynnit!B697</f>
        <v>0</v>
      </c>
      <c r="C690" s="262">
        <f>Alukset_Käynnit!C697</f>
        <v>0</v>
      </c>
      <c r="D690" s="266">
        <f>Alukset_Käynnit!D697</f>
        <v>0</v>
      </c>
      <c r="E690" s="262">
        <f>Alukset_Käynnit!E697</f>
        <v>0</v>
      </c>
      <c r="F690" s="262">
        <f>Alukset_Käynnit!F697</f>
        <v>0</v>
      </c>
      <c r="G690" s="262">
        <f>Alukset_Käynnit!G697</f>
        <v>0</v>
      </c>
      <c r="H690" s="262">
        <f>Alukset_Käynnit!H697</f>
        <v>0</v>
      </c>
      <c r="I690" s="262">
        <f>Alukset_Käynnit!I697</f>
        <v>0</v>
      </c>
      <c r="J690" s="262">
        <f>Alukset_Käynnit!J697</f>
        <v>0</v>
      </c>
      <c r="K690" s="262">
        <f>Alukset_Käynnit!K697</f>
        <v>0</v>
      </c>
      <c r="L690" s="205">
        <f>Alukset_Käynnit!L697</f>
        <v>0</v>
      </c>
      <c r="N690" s="273">
        <f t="shared" si="135"/>
        <v>0</v>
      </c>
      <c r="O690" s="274">
        <f t="shared" si="136"/>
        <v>0</v>
      </c>
      <c r="Q690" s="204">
        <f t="shared" si="125"/>
        <v>0</v>
      </c>
      <c r="R690" s="202">
        <f>IF(Q690="Other dry cargo",L690*Alukset_fx!$B$71,IF(OR(Q690="Dry bulk",Q690="Bulk carrier"),L690*Alukset_fx!$B$69,IF(Q690="Tugboat",L690*Alukset_fx!$B$76,IF(OR(Q690="Tanker",Q690="Gas tanker",Q690="Chemical tanker",Q690="Oil tanker"),L690*Alukset_fx!$B$68,IF(OR(Q690="RoRo",Q690="Vehicle carrier"),L690*Alukset_fx!$B$72,IF(Q690="RoPax",L690*Alukset_fx!$B$73,IF(Q690="Container ship",L690*Alukset_fx!$B$70,IF(Q690="Barge",0,L690*Alukset_fx!$B$75))))))))</f>
        <v>0</v>
      </c>
      <c r="S690" s="210">
        <f>IF(L690=0,IF(Q690="Other dry cargo",Alukset_fx!$H$73*(Alukset_Käynnit_Lask!K690^Alukset_fx!$I$73),IF(OR(Q690="Dry Bulk",Q690="Bulk carrier"),Alukset_fx!$H$71*(Alukset_Käynnit_Lask!K690^Alukset_fx!$I$71),IF(Q690="Tugboat",Alukset_fx!$H$78*(Alukset_Käynnit_Lask!K690^Alukset_fx!$I$78),IF(OR(Q690="Tanker",Q690="Gas tanker",Q690="Chemical tanker",Q690="Oil tanker"),Alukset_fx!$H$70*(Alukset_Käynnit_Lask!K690^Alukset_fx!$I$70),IF(Q690="Container ship",Alukset_fx!$H$72*(Alukset_Käynnit_Lask!K690^Alukset_fx!$I$72),IF(Q690="Barge",0,IF(Q690="RoPax",Alukset_fx!$H$75*(Alukset_Käynnit_Lask!K690^Alukset_fx!$I$75),IF(OR(Q690="RoRo",Q690="Vehicle carrier"),Alukset_fx!$H$74*(Alukset_Käynnit_Lask!K690^Alukset_fx!$I$74),Alukset_fx!$H$77*(Alukset_Käynnit_Lask!K690^Alukset_fx!$I$77))))))))),"-")</f>
        <v>0</v>
      </c>
      <c r="T690" s="208">
        <f>IF(R690=0,IF(Q690="Other dry cargo",S690*Alukset_fx!$B$71,IF(OR(Q690="Dry bulk",Q690="Bulk carrier"),S690*Alukset_fx!$B$69,IF(Q690="Tugboat",S690*Alukset_fx!$B$76,IF(OR(Q690="Tanker",Q690="Gas tanker",Q690="Chemical tanker",Q690="Oil tanker"),S690*Alukset_fx!$B$68,IF(OR(Q690="RoRo",Q690="Vehicle carrier"),S690*Alukset_fx!$B$72,IF(Q690="RoPax",S690*Alukset_fx!$B$73,IF(Q690="Container ship",S690*Alukset_fx!$B$70,S690*Alukset_fx!$B$75))))))),"-")</f>
        <v>0</v>
      </c>
      <c r="U690" s="208">
        <f t="shared" si="126"/>
        <v>0</v>
      </c>
      <c r="V690" s="208">
        <f t="shared" si="127"/>
        <v>0</v>
      </c>
      <c r="W690" s="202">
        <f>Alukset_Käynnit!N697</f>
        <v>0</v>
      </c>
      <c r="X690" s="211">
        <f>IF(Q690="Other dry cargo", Alukset_fx!$C$52, IF(OR(Q690="Dry bulk",Q690="Bulk carrier"),Alukset_fx!$C$35,IF(OR(Q690="Tanker",Q690="Gas tanker",Q690="Oil tanker"),Alukset_fx!$C$57,IF(Q690="Chemical tanker",Alukset_fx!$C$56,IF(OR(Q690="Tugboat",Q690="Barge"),0,IF(Q690="Other vessel",Alukset_fx!$C$54,IF(Q690="Container ship",Alukset_fx!$C$37,IF(OR(Q690="RoPax",Q690="RoRo",Q690="Vehicle carrier"),Alukset_fx!$C$55,0))))))))</f>
        <v>0</v>
      </c>
      <c r="Y690" s="211">
        <f>IF(Q690="Other dry cargo", Alukset_fx!$Q$52, IF(OR(Q690="Dry bulk",Q690="Bulk carrier"),Alukset_fx!$Q$35,IF(OR(Q690="Tanker",Q690="Gas tanker",Q690="Oil tanker"),Alukset_fx!$Q$57,IF(Q690="Chemical tanker",Alukset_fx!$Q$56,IF(OR(Q690="Tugboat",Q690="Barge"),0,IF(Q690="Other vessel",Alukset_fx!$Q$54,IF(Q690="Container ship",Alukset_fx!$Q$37,IF(OR(Q690="RoPax",Q690="RoRo",Q690="Vehicle carrier"),Alukset_fx!$Q$55,0))))))))</f>
        <v>0</v>
      </c>
      <c r="Z690" t="str">
        <f t="shared" si="128"/>
        <v>MDO/MGO</v>
      </c>
      <c r="AA690" t="str">
        <f t="shared" si="129"/>
        <v>MSD</v>
      </c>
      <c r="AB690" t="str">
        <f t="shared" si="130"/>
        <v>MDO/MGO</v>
      </c>
      <c r="AC690" t="str">
        <f t="shared" si="131"/>
        <v>MSD</v>
      </c>
      <c r="AD690" t="str">
        <f t="shared" si="132"/>
        <v>MDO/MGO</v>
      </c>
      <c r="AE690" t="str">
        <f t="shared" si="133"/>
        <v>ST</v>
      </c>
      <c r="AG690">
        <f>Alukset_Käynnit!O697</f>
        <v>0</v>
      </c>
      <c r="AH690" s="207">
        <f>IF(AA690="SSD",((U690*Alukset_fx!$B$24)*Alukset_Käynnit_Lask!W690*(Alukset_fx!$K$49)/1000),IF(AA690="MSD",((U690*Alukset_fx!$B$24)*Alukset_Käynnit_Lask!W690*(Alukset_fx!$K$52)/1000),IF(AA690="HSD",((U690*Alukset_fx!$B$24)*Alukset_Käynnit_Lask!W690*(Alukset_fx!$K$55)/1000),0)))</f>
        <v>0</v>
      </c>
      <c r="AI690" s="207">
        <f>IF(AC690="MSD",((V690*Alukset_fx!$B$25)*Alukset_Käynnit_Lask!W690*(Alukset_fx!$L$52)/1000),IF(AC690="HSD",((V690*Alukset_fx!$B$25)*Alukset_Käynnit_Lask!W690*(Alukset_fx!$L$55)/1000),0))</f>
        <v>0</v>
      </c>
      <c r="AJ690" s="207">
        <f>X690*W690*Alukset_fx!$K$61/1000</f>
        <v>0</v>
      </c>
      <c r="AK690">
        <v>0</v>
      </c>
      <c r="AL690" s="207">
        <f>IF(AG690="Käytetty",0,IF(AC690="MSD",((V690*Alukset_fx!$O$25)*Alukset_Käynnit_Lask!O690*(Alukset_fx!$L$52)/1000),IF(AC690="HSD",((V690*Alukset_fx!$O$25)*Alukset_Käynnit_Lask!O690*(Alukset_fx!$L$55)/1000),0)))</f>
        <v>0</v>
      </c>
      <c r="AM690" s="207">
        <f>IF(AG690="Käytetty",0,Y690*O690*Alukset_fx!$K$61/1000)</f>
        <v>0</v>
      </c>
      <c r="AN690" s="213">
        <f t="shared" si="134"/>
        <v>0</v>
      </c>
    </row>
    <row r="691" spans="1:40" x14ac:dyDescent="0.25">
      <c r="A691" s="203">
        <f>Alukset_Käynnit!A698</f>
        <v>0</v>
      </c>
      <c r="B691" s="203">
        <f>Alukset_Käynnit!B698</f>
        <v>0</v>
      </c>
      <c r="C691" s="262">
        <f>Alukset_Käynnit!C698</f>
        <v>0</v>
      </c>
      <c r="D691" s="266">
        <f>Alukset_Käynnit!D698</f>
        <v>0</v>
      </c>
      <c r="E691" s="262">
        <f>Alukset_Käynnit!E698</f>
        <v>0</v>
      </c>
      <c r="F691" s="262">
        <f>Alukset_Käynnit!F698</f>
        <v>0</v>
      </c>
      <c r="G691" s="262">
        <f>Alukset_Käynnit!G698</f>
        <v>0</v>
      </c>
      <c r="H691" s="262">
        <f>Alukset_Käynnit!H698</f>
        <v>0</v>
      </c>
      <c r="I691" s="262">
        <f>Alukset_Käynnit!I698</f>
        <v>0</v>
      </c>
      <c r="J691" s="262">
        <f>Alukset_Käynnit!J698</f>
        <v>0</v>
      </c>
      <c r="K691" s="262">
        <f>Alukset_Käynnit!K698</f>
        <v>0</v>
      </c>
      <c r="L691" s="205">
        <f>Alukset_Käynnit!L698</f>
        <v>0</v>
      </c>
      <c r="N691" s="273">
        <f t="shared" si="135"/>
        <v>0</v>
      </c>
      <c r="O691" s="274">
        <f t="shared" si="136"/>
        <v>0</v>
      </c>
      <c r="Q691" s="204">
        <f t="shared" si="125"/>
        <v>0</v>
      </c>
      <c r="R691" s="202">
        <f>IF(Q691="Other dry cargo",L691*Alukset_fx!$B$71,IF(OR(Q691="Dry bulk",Q691="Bulk carrier"),L691*Alukset_fx!$B$69,IF(Q691="Tugboat",L691*Alukset_fx!$B$76,IF(OR(Q691="Tanker",Q691="Gas tanker",Q691="Chemical tanker",Q691="Oil tanker"),L691*Alukset_fx!$B$68,IF(OR(Q691="RoRo",Q691="Vehicle carrier"),L691*Alukset_fx!$B$72,IF(Q691="RoPax",L691*Alukset_fx!$B$73,IF(Q691="Container ship",L691*Alukset_fx!$B$70,IF(Q691="Barge",0,L691*Alukset_fx!$B$75))))))))</f>
        <v>0</v>
      </c>
      <c r="S691" s="210">
        <f>IF(L691=0,IF(Q691="Other dry cargo",Alukset_fx!$H$73*(Alukset_Käynnit_Lask!K691^Alukset_fx!$I$73),IF(OR(Q691="Dry Bulk",Q691="Bulk carrier"),Alukset_fx!$H$71*(Alukset_Käynnit_Lask!K691^Alukset_fx!$I$71),IF(Q691="Tugboat",Alukset_fx!$H$78*(Alukset_Käynnit_Lask!K691^Alukset_fx!$I$78),IF(OR(Q691="Tanker",Q691="Gas tanker",Q691="Chemical tanker",Q691="Oil tanker"),Alukset_fx!$H$70*(Alukset_Käynnit_Lask!K691^Alukset_fx!$I$70),IF(Q691="Container ship",Alukset_fx!$H$72*(Alukset_Käynnit_Lask!K691^Alukset_fx!$I$72),IF(Q691="Barge",0,IF(Q691="RoPax",Alukset_fx!$H$75*(Alukset_Käynnit_Lask!K691^Alukset_fx!$I$75),IF(OR(Q691="RoRo",Q691="Vehicle carrier"),Alukset_fx!$H$74*(Alukset_Käynnit_Lask!K691^Alukset_fx!$I$74),Alukset_fx!$H$77*(Alukset_Käynnit_Lask!K691^Alukset_fx!$I$77))))))))),"-")</f>
        <v>0</v>
      </c>
      <c r="T691" s="208">
        <f>IF(R691=0,IF(Q691="Other dry cargo",S691*Alukset_fx!$B$71,IF(OR(Q691="Dry bulk",Q691="Bulk carrier"),S691*Alukset_fx!$B$69,IF(Q691="Tugboat",S691*Alukset_fx!$B$76,IF(OR(Q691="Tanker",Q691="Gas tanker",Q691="Chemical tanker",Q691="Oil tanker"),S691*Alukset_fx!$B$68,IF(OR(Q691="RoRo",Q691="Vehicle carrier"),S691*Alukset_fx!$B$72,IF(Q691="RoPax",S691*Alukset_fx!$B$73,IF(Q691="Container ship",S691*Alukset_fx!$B$70,S691*Alukset_fx!$B$75))))))),"-")</f>
        <v>0</v>
      </c>
      <c r="U691" s="208">
        <f t="shared" si="126"/>
        <v>0</v>
      </c>
      <c r="V691" s="208">
        <f t="shared" si="127"/>
        <v>0</v>
      </c>
      <c r="W691" s="202">
        <f>Alukset_Käynnit!N698</f>
        <v>0</v>
      </c>
      <c r="X691" s="211">
        <f>IF(Q691="Other dry cargo", Alukset_fx!$C$52, IF(OR(Q691="Dry bulk",Q691="Bulk carrier"),Alukset_fx!$C$35,IF(OR(Q691="Tanker",Q691="Gas tanker",Q691="Oil tanker"),Alukset_fx!$C$57,IF(Q691="Chemical tanker",Alukset_fx!$C$56,IF(OR(Q691="Tugboat",Q691="Barge"),0,IF(Q691="Other vessel",Alukset_fx!$C$54,IF(Q691="Container ship",Alukset_fx!$C$37,IF(OR(Q691="RoPax",Q691="RoRo",Q691="Vehicle carrier"),Alukset_fx!$C$55,0))))))))</f>
        <v>0</v>
      </c>
      <c r="Y691" s="211">
        <f>IF(Q691="Other dry cargo", Alukset_fx!$Q$52, IF(OR(Q691="Dry bulk",Q691="Bulk carrier"),Alukset_fx!$Q$35,IF(OR(Q691="Tanker",Q691="Gas tanker",Q691="Oil tanker"),Alukset_fx!$Q$57,IF(Q691="Chemical tanker",Alukset_fx!$Q$56,IF(OR(Q691="Tugboat",Q691="Barge"),0,IF(Q691="Other vessel",Alukset_fx!$Q$54,IF(Q691="Container ship",Alukset_fx!$Q$37,IF(OR(Q691="RoPax",Q691="RoRo",Q691="Vehicle carrier"),Alukset_fx!$Q$55,0))))))))</f>
        <v>0</v>
      </c>
      <c r="Z691" t="str">
        <f t="shared" si="128"/>
        <v>MDO/MGO</v>
      </c>
      <c r="AA691" t="str">
        <f t="shared" si="129"/>
        <v>MSD</v>
      </c>
      <c r="AB691" t="str">
        <f t="shared" si="130"/>
        <v>MDO/MGO</v>
      </c>
      <c r="AC691" t="str">
        <f t="shared" si="131"/>
        <v>MSD</v>
      </c>
      <c r="AD691" t="str">
        <f t="shared" si="132"/>
        <v>MDO/MGO</v>
      </c>
      <c r="AE691" t="str">
        <f t="shared" si="133"/>
        <v>ST</v>
      </c>
      <c r="AG691">
        <f>Alukset_Käynnit!O698</f>
        <v>0</v>
      </c>
      <c r="AH691" s="207">
        <f>IF(AA691="SSD",((U691*Alukset_fx!$B$24)*Alukset_Käynnit_Lask!W691*(Alukset_fx!$K$49)/1000),IF(AA691="MSD",((U691*Alukset_fx!$B$24)*Alukset_Käynnit_Lask!W691*(Alukset_fx!$K$52)/1000),IF(AA691="HSD",((U691*Alukset_fx!$B$24)*Alukset_Käynnit_Lask!W691*(Alukset_fx!$K$55)/1000),0)))</f>
        <v>0</v>
      </c>
      <c r="AI691" s="207">
        <f>IF(AC691="MSD",((V691*Alukset_fx!$B$25)*Alukset_Käynnit_Lask!W691*(Alukset_fx!$L$52)/1000),IF(AC691="HSD",((V691*Alukset_fx!$B$25)*Alukset_Käynnit_Lask!W691*(Alukset_fx!$L$55)/1000),0))</f>
        <v>0</v>
      </c>
      <c r="AJ691" s="207">
        <f>X691*W691*Alukset_fx!$K$61/1000</f>
        <v>0</v>
      </c>
      <c r="AK691">
        <v>0</v>
      </c>
      <c r="AL691" s="207">
        <f>IF(AG691="Käytetty",0,IF(AC691="MSD",((V691*Alukset_fx!$O$25)*Alukset_Käynnit_Lask!O691*(Alukset_fx!$L$52)/1000),IF(AC691="HSD",((V691*Alukset_fx!$O$25)*Alukset_Käynnit_Lask!O691*(Alukset_fx!$L$55)/1000),0)))</f>
        <v>0</v>
      </c>
      <c r="AM691" s="207">
        <f>IF(AG691="Käytetty",0,Y691*O691*Alukset_fx!$K$61/1000)</f>
        <v>0</v>
      </c>
      <c r="AN691" s="213">
        <f t="shared" si="134"/>
        <v>0</v>
      </c>
    </row>
    <row r="692" spans="1:40" x14ac:dyDescent="0.25">
      <c r="A692" s="203">
        <f>Alukset_Käynnit!A699</f>
        <v>0</v>
      </c>
      <c r="B692" s="203">
        <f>Alukset_Käynnit!B699</f>
        <v>0</v>
      </c>
      <c r="C692" s="262">
        <f>Alukset_Käynnit!C699</f>
        <v>0</v>
      </c>
      <c r="D692" s="266">
        <f>Alukset_Käynnit!D699</f>
        <v>0</v>
      </c>
      <c r="E692" s="262">
        <f>Alukset_Käynnit!E699</f>
        <v>0</v>
      </c>
      <c r="F692" s="262">
        <f>Alukset_Käynnit!F699</f>
        <v>0</v>
      </c>
      <c r="G692" s="262">
        <f>Alukset_Käynnit!G699</f>
        <v>0</v>
      </c>
      <c r="H692" s="262">
        <f>Alukset_Käynnit!H699</f>
        <v>0</v>
      </c>
      <c r="I692" s="262">
        <f>Alukset_Käynnit!I699</f>
        <v>0</v>
      </c>
      <c r="J692" s="262">
        <f>Alukset_Käynnit!J699</f>
        <v>0</v>
      </c>
      <c r="K692" s="262">
        <f>Alukset_Käynnit!K699</f>
        <v>0</v>
      </c>
      <c r="L692" s="205">
        <f>Alukset_Käynnit!L699</f>
        <v>0</v>
      </c>
      <c r="N692" s="273">
        <f t="shared" si="135"/>
        <v>0</v>
      </c>
      <c r="O692" s="274">
        <f t="shared" si="136"/>
        <v>0</v>
      </c>
      <c r="Q692" s="204">
        <f t="shared" si="125"/>
        <v>0</v>
      </c>
      <c r="R692" s="202">
        <f>IF(Q692="Other dry cargo",L692*Alukset_fx!$B$71,IF(OR(Q692="Dry bulk",Q692="Bulk carrier"),L692*Alukset_fx!$B$69,IF(Q692="Tugboat",L692*Alukset_fx!$B$76,IF(OR(Q692="Tanker",Q692="Gas tanker",Q692="Chemical tanker",Q692="Oil tanker"),L692*Alukset_fx!$B$68,IF(OR(Q692="RoRo",Q692="Vehicle carrier"),L692*Alukset_fx!$B$72,IF(Q692="RoPax",L692*Alukset_fx!$B$73,IF(Q692="Container ship",L692*Alukset_fx!$B$70,IF(Q692="Barge",0,L692*Alukset_fx!$B$75))))))))</f>
        <v>0</v>
      </c>
      <c r="S692" s="210">
        <f>IF(L692=0,IF(Q692="Other dry cargo",Alukset_fx!$H$73*(Alukset_Käynnit_Lask!K692^Alukset_fx!$I$73),IF(OR(Q692="Dry Bulk",Q692="Bulk carrier"),Alukset_fx!$H$71*(Alukset_Käynnit_Lask!K692^Alukset_fx!$I$71),IF(Q692="Tugboat",Alukset_fx!$H$78*(Alukset_Käynnit_Lask!K692^Alukset_fx!$I$78),IF(OR(Q692="Tanker",Q692="Gas tanker",Q692="Chemical tanker",Q692="Oil tanker"),Alukset_fx!$H$70*(Alukset_Käynnit_Lask!K692^Alukset_fx!$I$70),IF(Q692="Container ship",Alukset_fx!$H$72*(Alukset_Käynnit_Lask!K692^Alukset_fx!$I$72),IF(Q692="Barge",0,IF(Q692="RoPax",Alukset_fx!$H$75*(Alukset_Käynnit_Lask!K692^Alukset_fx!$I$75),IF(OR(Q692="RoRo",Q692="Vehicle carrier"),Alukset_fx!$H$74*(Alukset_Käynnit_Lask!K692^Alukset_fx!$I$74),Alukset_fx!$H$77*(Alukset_Käynnit_Lask!K692^Alukset_fx!$I$77))))))))),"-")</f>
        <v>0</v>
      </c>
      <c r="T692" s="208">
        <f>IF(R692=0,IF(Q692="Other dry cargo",S692*Alukset_fx!$B$71,IF(OR(Q692="Dry bulk",Q692="Bulk carrier"),S692*Alukset_fx!$B$69,IF(Q692="Tugboat",S692*Alukset_fx!$B$76,IF(OR(Q692="Tanker",Q692="Gas tanker",Q692="Chemical tanker",Q692="Oil tanker"),S692*Alukset_fx!$B$68,IF(OR(Q692="RoRo",Q692="Vehicle carrier"),S692*Alukset_fx!$B$72,IF(Q692="RoPax",S692*Alukset_fx!$B$73,IF(Q692="Container ship",S692*Alukset_fx!$B$70,S692*Alukset_fx!$B$75))))))),"-")</f>
        <v>0</v>
      </c>
      <c r="U692" s="208">
        <f t="shared" si="126"/>
        <v>0</v>
      </c>
      <c r="V692" s="208">
        <f t="shared" si="127"/>
        <v>0</v>
      </c>
      <c r="W692" s="202">
        <f>Alukset_Käynnit!N699</f>
        <v>0</v>
      </c>
      <c r="X692" s="211">
        <f>IF(Q692="Other dry cargo", Alukset_fx!$C$52, IF(OR(Q692="Dry bulk",Q692="Bulk carrier"),Alukset_fx!$C$35,IF(OR(Q692="Tanker",Q692="Gas tanker",Q692="Oil tanker"),Alukset_fx!$C$57,IF(Q692="Chemical tanker",Alukset_fx!$C$56,IF(OR(Q692="Tugboat",Q692="Barge"),0,IF(Q692="Other vessel",Alukset_fx!$C$54,IF(Q692="Container ship",Alukset_fx!$C$37,IF(OR(Q692="RoPax",Q692="RoRo",Q692="Vehicle carrier"),Alukset_fx!$C$55,0))))))))</f>
        <v>0</v>
      </c>
      <c r="Y692" s="211">
        <f>IF(Q692="Other dry cargo", Alukset_fx!$Q$52, IF(OR(Q692="Dry bulk",Q692="Bulk carrier"),Alukset_fx!$Q$35,IF(OR(Q692="Tanker",Q692="Gas tanker",Q692="Oil tanker"),Alukset_fx!$Q$57,IF(Q692="Chemical tanker",Alukset_fx!$Q$56,IF(OR(Q692="Tugboat",Q692="Barge"),0,IF(Q692="Other vessel",Alukset_fx!$Q$54,IF(Q692="Container ship",Alukset_fx!$Q$37,IF(OR(Q692="RoPax",Q692="RoRo",Q692="Vehicle carrier"),Alukset_fx!$Q$55,0))))))))</f>
        <v>0</v>
      </c>
      <c r="Z692" t="str">
        <f t="shared" si="128"/>
        <v>MDO/MGO</v>
      </c>
      <c r="AA692" t="str">
        <f t="shared" si="129"/>
        <v>MSD</v>
      </c>
      <c r="AB692" t="str">
        <f t="shared" si="130"/>
        <v>MDO/MGO</v>
      </c>
      <c r="AC692" t="str">
        <f t="shared" si="131"/>
        <v>MSD</v>
      </c>
      <c r="AD692" t="str">
        <f t="shared" si="132"/>
        <v>MDO/MGO</v>
      </c>
      <c r="AE692" t="str">
        <f t="shared" si="133"/>
        <v>ST</v>
      </c>
      <c r="AG692">
        <f>Alukset_Käynnit!O699</f>
        <v>0</v>
      </c>
      <c r="AH692" s="207">
        <f>IF(AA692="SSD",((U692*Alukset_fx!$B$24)*Alukset_Käynnit_Lask!W692*(Alukset_fx!$K$49)/1000),IF(AA692="MSD",((U692*Alukset_fx!$B$24)*Alukset_Käynnit_Lask!W692*(Alukset_fx!$K$52)/1000),IF(AA692="HSD",((U692*Alukset_fx!$B$24)*Alukset_Käynnit_Lask!W692*(Alukset_fx!$K$55)/1000),0)))</f>
        <v>0</v>
      </c>
      <c r="AI692" s="207">
        <f>IF(AC692="MSD",((V692*Alukset_fx!$B$25)*Alukset_Käynnit_Lask!W692*(Alukset_fx!$L$52)/1000),IF(AC692="HSD",((V692*Alukset_fx!$B$25)*Alukset_Käynnit_Lask!W692*(Alukset_fx!$L$55)/1000),0))</f>
        <v>0</v>
      </c>
      <c r="AJ692" s="207">
        <f>X692*W692*Alukset_fx!$K$61/1000</f>
        <v>0</v>
      </c>
      <c r="AK692">
        <v>0</v>
      </c>
      <c r="AL692" s="207">
        <f>IF(AG692="Käytetty",0,IF(AC692="MSD",((V692*Alukset_fx!$O$25)*Alukset_Käynnit_Lask!O692*(Alukset_fx!$L$52)/1000),IF(AC692="HSD",((V692*Alukset_fx!$O$25)*Alukset_Käynnit_Lask!O692*(Alukset_fx!$L$55)/1000),0)))</f>
        <v>0</v>
      </c>
      <c r="AM692" s="207">
        <f>IF(AG692="Käytetty",0,Y692*O692*Alukset_fx!$K$61/1000)</f>
        <v>0</v>
      </c>
      <c r="AN692" s="213">
        <f t="shared" si="134"/>
        <v>0</v>
      </c>
    </row>
    <row r="693" spans="1:40" x14ac:dyDescent="0.25">
      <c r="A693" s="203">
        <f>Alukset_Käynnit!A700</f>
        <v>0</v>
      </c>
      <c r="B693" s="203">
        <f>Alukset_Käynnit!B700</f>
        <v>0</v>
      </c>
      <c r="C693" s="262">
        <f>Alukset_Käynnit!C700</f>
        <v>0</v>
      </c>
      <c r="D693" s="266">
        <f>Alukset_Käynnit!D700</f>
        <v>0</v>
      </c>
      <c r="E693" s="262">
        <f>Alukset_Käynnit!E700</f>
        <v>0</v>
      </c>
      <c r="F693" s="262">
        <f>Alukset_Käynnit!F700</f>
        <v>0</v>
      </c>
      <c r="G693" s="262">
        <f>Alukset_Käynnit!G700</f>
        <v>0</v>
      </c>
      <c r="H693" s="262">
        <f>Alukset_Käynnit!H700</f>
        <v>0</v>
      </c>
      <c r="I693" s="262">
        <f>Alukset_Käynnit!I700</f>
        <v>0</v>
      </c>
      <c r="J693" s="262">
        <f>Alukset_Käynnit!J700</f>
        <v>0</v>
      </c>
      <c r="K693" s="262">
        <f>Alukset_Käynnit!K700</f>
        <v>0</v>
      </c>
      <c r="L693" s="205">
        <f>Alukset_Käynnit!L700</f>
        <v>0</v>
      </c>
      <c r="N693" s="273">
        <f t="shared" si="135"/>
        <v>0</v>
      </c>
      <c r="O693" s="274">
        <f t="shared" si="136"/>
        <v>0</v>
      </c>
      <c r="Q693" s="204">
        <f t="shared" si="125"/>
        <v>0</v>
      </c>
      <c r="R693" s="202">
        <f>IF(Q693="Other dry cargo",L693*Alukset_fx!$B$71,IF(OR(Q693="Dry bulk",Q693="Bulk carrier"),L693*Alukset_fx!$B$69,IF(Q693="Tugboat",L693*Alukset_fx!$B$76,IF(OR(Q693="Tanker",Q693="Gas tanker",Q693="Chemical tanker",Q693="Oil tanker"),L693*Alukset_fx!$B$68,IF(OR(Q693="RoRo",Q693="Vehicle carrier"),L693*Alukset_fx!$B$72,IF(Q693="RoPax",L693*Alukset_fx!$B$73,IF(Q693="Container ship",L693*Alukset_fx!$B$70,IF(Q693="Barge",0,L693*Alukset_fx!$B$75))))))))</f>
        <v>0</v>
      </c>
      <c r="S693" s="210">
        <f>IF(L693=0,IF(Q693="Other dry cargo",Alukset_fx!$H$73*(Alukset_Käynnit_Lask!K693^Alukset_fx!$I$73),IF(OR(Q693="Dry Bulk",Q693="Bulk carrier"),Alukset_fx!$H$71*(Alukset_Käynnit_Lask!K693^Alukset_fx!$I$71),IF(Q693="Tugboat",Alukset_fx!$H$78*(Alukset_Käynnit_Lask!K693^Alukset_fx!$I$78),IF(OR(Q693="Tanker",Q693="Gas tanker",Q693="Chemical tanker",Q693="Oil tanker"),Alukset_fx!$H$70*(Alukset_Käynnit_Lask!K693^Alukset_fx!$I$70),IF(Q693="Container ship",Alukset_fx!$H$72*(Alukset_Käynnit_Lask!K693^Alukset_fx!$I$72),IF(Q693="Barge",0,IF(Q693="RoPax",Alukset_fx!$H$75*(Alukset_Käynnit_Lask!K693^Alukset_fx!$I$75),IF(OR(Q693="RoRo",Q693="Vehicle carrier"),Alukset_fx!$H$74*(Alukset_Käynnit_Lask!K693^Alukset_fx!$I$74),Alukset_fx!$H$77*(Alukset_Käynnit_Lask!K693^Alukset_fx!$I$77))))))))),"-")</f>
        <v>0</v>
      </c>
      <c r="T693" s="208">
        <f>IF(R693=0,IF(Q693="Other dry cargo",S693*Alukset_fx!$B$71,IF(OR(Q693="Dry bulk",Q693="Bulk carrier"),S693*Alukset_fx!$B$69,IF(Q693="Tugboat",S693*Alukset_fx!$B$76,IF(OR(Q693="Tanker",Q693="Gas tanker",Q693="Chemical tanker",Q693="Oil tanker"),S693*Alukset_fx!$B$68,IF(OR(Q693="RoRo",Q693="Vehicle carrier"),S693*Alukset_fx!$B$72,IF(Q693="RoPax",S693*Alukset_fx!$B$73,IF(Q693="Container ship",S693*Alukset_fx!$B$70,S693*Alukset_fx!$B$75))))))),"-")</f>
        <v>0</v>
      </c>
      <c r="U693" s="208">
        <f t="shared" si="126"/>
        <v>0</v>
      </c>
      <c r="V693" s="208">
        <f t="shared" si="127"/>
        <v>0</v>
      </c>
      <c r="W693" s="202">
        <f>Alukset_Käynnit!N700</f>
        <v>0</v>
      </c>
      <c r="X693" s="211">
        <f>IF(Q693="Other dry cargo", Alukset_fx!$C$52, IF(OR(Q693="Dry bulk",Q693="Bulk carrier"),Alukset_fx!$C$35,IF(OR(Q693="Tanker",Q693="Gas tanker",Q693="Oil tanker"),Alukset_fx!$C$57,IF(Q693="Chemical tanker",Alukset_fx!$C$56,IF(OR(Q693="Tugboat",Q693="Barge"),0,IF(Q693="Other vessel",Alukset_fx!$C$54,IF(Q693="Container ship",Alukset_fx!$C$37,IF(OR(Q693="RoPax",Q693="RoRo",Q693="Vehicle carrier"),Alukset_fx!$C$55,0))))))))</f>
        <v>0</v>
      </c>
      <c r="Y693" s="211">
        <f>IF(Q693="Other dry cargo", Alukset_fx!$Q$52, IF(OR(Q693="Dry bulk",Q693="Bulk carrier"),Alukset_fx!$Q$35,IF(OR(Q693="Tanker",Q693="Gas tanker",Q693="Oil tanker"),Alukset_fx!$Q$57,IF(Q693="Chemical tanker",Alukset_fx!$Q$56,IF(OR(Q693="Tugboat",Q693="Barge"),0,IF(Q693="Other vessel",Alukset_fx!$Q$54,IF(Q693="Container ship",Alukset_fx!$Q$37,IF(OR(Q693="RoPax",Q693="RoRo",Q693="Vehicle carrier"),Alukset_fx!$Q$55,0))))))))</f>
        <v>0</v>
      </c>
      <c r="Z693" t="str">
        <f t="shared" si="128"/>
        <v>MDO/MGO</v>
      </c>
      <c r="AA693" t="str">
        <f t="shared" si="129"/>
        <v>MSD</v>
      </c>
      <c r="AB693" t="str">
        <f t="shared" si="130"/>
        <v>MDO/MGO</v>
      </c>
      <c r="AC693" t="str">
        <f t="shared" si="131"/>
        <v>MSD</v>
      </c>
      <c r="AD693" t="str">
        <f t="shared" si="132"/>
        <v>MDO/MGO</v>
      </c>
      <c r="AE693" t="str">
        <f t="shared" si="133"/>
        <v>ST</v>
      </c>
      <c r="AG693">
        <f>Alukset_Käynnit!O700</f>
        <v>0</v>
      </c>
      <c r="AH693" s="207">
        <f>IF(AA693="SSD",((U693*Alukset_fx!$B$24)*Alukset_Käynnit_Lask!W693*(Alukset_fx!$K$49)/1000),IF(AA693="MSD",((U693*Alukset_fx!$B$24)*Alukset_Käynnit_Lask!W693*(Alukset_fx!$K$52)/1000),IF(AA693="HSD",((U693*Alukset_fx!$B$24)*Alukset_Käynnit_Lask!W693*(Alukset_fx!$K$55)/1000),0)))</f>
        <v>0</v>
      </c>
      <c r="AI693" s="207">
        <f>IF(AC693="MSD",((V693*Alukset_fx!$B$25)*Alukset_Käynnit_Lask!W693*(Alukset_fx!$L$52)/1000),IF(AC693="HSD",((V693*Alukset_fx!$B$25)*Alukset_Käynnit_Lask!W693*(Alukset_fx!$L$55)/1000),0))</f>
        <v>0</v>
      </c>
      <c r="AJ693" s="207">
        <f>X693*W693*Alukset_fx!$K$61/1000</f>
        <v>0</v>
      </c>
      <c r="AK693">
        <v>0</v>
      </c>
      <c r="AL693" s="207">
        <f>IF(AG693="Käytetty",0,IF(AC693="MSD",((V693*Alukset_fx!$O$25)*Alukset_Käynnit_Lask!O693*(Alukset_fx!$L$52)/1000),IF(AC693="HSD",((V693*Alukset_fx!$O$25)*Alukset_Käynnit_Lask!O693*(Alukset_fx!$L$55)/1000),0)))</f>
        <v>0</v>
      </c>
      <c r="AM693" s="207">
        <f>IF(AG693="Käytetty",0,Y693*O693*Alukset_fx!$K$61/1000)</f>
        <v>0</v>
      </c>
      <c r="AN693" s="213">
        <f t="shared" si="134"/>
        <v>0</v>
      </c>
    </row>
    <row r="694" spans="1:40" x14ac:dyDescent="0.25">
      <c r="A694" s="203">
        <f>Alukset_Käynnit!A701</f>
        <v>0</v>
      </c>
      <c r="B694" s="203">
        <f>Alukset_Käynnit!B701</f>
        <v>0</v>
      </c>
      <c r="C694" s="262">
        <f>Alukset_Käynnit!C701</f>
        <v>0</v>
      </c>
      <c r="D694" s="266">
        <f>Alukset_Käynnit!D701</f>
        <v>0</v>
      </c>
      <c r="E694" s="262">
        <f>Alukset_Käynnit!E701</f>
        <v>0</v>
      </c>
      <c r="F694" s="262">
        <f>Alukset_Käynnit!F701</f>
        <v>0</v>
      </c>
      <c r="G694" s="262">
        <f>Alukset_Käynnit!G701</f>
        <v>0</v>
      </c>
      <c r="H694" s="262">
        <f>Alukset_Käynnit!H701</f>
        <v>0</v>
      </c>
      <c r="I694" s="262">
        <f>Alukset_Käynnit!I701</f>
        <v>0</v>
      </c>
      <c r="J694" s="262">
        <f>Alukset_Käynnit!J701</f>
        <v>0</v>
      </c>
      <c r="K694" s="262">
        <f>Alukset_Käynnit!K701</f>
        <v>0</v>
      </c>
      <c r="L694" s="205">
        <f>Alukset_Käynnit!L701</f>
        <v>0</v>
      </c>
      <c r="N694" s="273">
        <f t="shared" si="135"/>
        <v>0</v>
      </c>
      <c r="O694" s="274">
        <f t="shared" si="136"/>
        <v>0</v>
      </c>
      <c r="Q694" s="204">
        <f t="shared" si="125"/>
        <v>0</v>
      </c>
      <c r="R694" s="202">
        <f>IF(Q694="Other dry cargo",L694*Alukset_fx!$B$71,IF(OR(Q694="Dry bulk",Q694="Bulk carrier"),L694*Alukset_fx!$B$69,IF(Q694="Tugboat",L694*Alukset_fx!$B$76,IF(OR(Q694="Tanker",Q694="Gas tanker",Q694="Chemical tanker",Q694="Oil tanker"),L694*Alukset_fx!$B$68,IF(OR(Q694="RoRo",Q694="Vehicle carrier"),L694*Alukset_fx!$B$72,IF(Q694="RoPax",L694*Alukset_fx!$B$73,IF(Q694="Container ship",L694*Alukset_fx!$B$70,IF(Q694="Barge",0,L694*Alukset_fx!$B$75))))))))</f>
        <v>0</v>
      </c>
      <c r="S694" s="210">
        <f>IF(L694=0,IF(Q694="Other dry cargo",Alukset_fx!$H$73*(Alukset_Käynnit_Lask!K694^Alukset_fx!$I$73),IF(OR(Q694="Dry Bulk",Q694="Bulk carrier"),Alukset_fx!$H$71*(Alukset_Käynnit_Lask!K694^Alukset_fx!$I$71),IF(Q694="Tugboat",Alukset_fx!$H$78*(Alukset_Käynnit_Lask!K694^Alukset_fx!$I$78),IF(OR(Q694="Tanker",Q694="Gas tanker",Q694="Chemical tanker",Q694="Oil tanker"),Alukset_fx!$H$70*(Alukset_Käynnit_Lask!K694^Alukset_fx!$I$70),IF(Q694="Container ship",Alukset_fx!$H$72*(Alukset_Käynnit_Lask!K694^Alukset_fx!$I$72),IF(Q694="Barge",0,IF(Q694="RoPax",Alukset_fx!$H$75*(Alukset_Käynnit_Lask!K694^Alukset_fx!$I$75),IF(OR(Q694="RoRo",Q694="Vehicle carrier"),Alukset_fx!$H$74*(Alukset_Käynnit_Lask!K694^Alukset_fx!$I$74),Alukset_fx!$H$77*(Alukset_Käynnit_Lask!K694^Alukset_fx!$I$77))))))))),"-")</f>
        <v>0</v>
      </c>
      <c r="T694" s="208">
        <f>IF(R694=0,IF(Q694="Other dry cargo",S694*Alukset_fx!$B$71,IF(OR(Q694="Dry bulk",Q694="Bulk carrier"),S694*Alukset_fx!$B$69,IF(Q694="Tugboat",S694*Alukset_fx!$B$76,IF(OR(Q694="Tanker",Q694="Gas tanker",Q694="Chemical tanker",Q694="Oil tanker"),S694*Alukset_fx!$B$68,IF(OR(Q694="RoRo",Q694="Vehicle carrier"),S694*Alukset_fx!$B$72,IF(Q694="RoPax",S694*Alukset_fx!$B$73,IF(Q694="Container ship",S694*Alukset_fx!$B$70,S694*Alukset_fx!$B$75))))))),"-")</f>
        <v>0</v>
      </c>
      <c r="U694" s="208">
        <f t="shared" si="126"/>
        <v>0</v>
      </c>
      <c r="V694" s="208">
        <f t="shared" si="127"/>
        <v>0</v>
      </c>
      <c r="W694" s="202">
        <f>Alukset_Käynnit!N701</f>
        <v>0</v>
      </c>
      <c r="X694" s="211">
        <f>IF(Q694="Other dry cargo", Alukset_fx!$C$52, IF(OR(Q694="Dry bulk",Q694="Bulk carrier"),Alukset_fx!$C$35,IF(OR(Q694="Tanker",Q694="Gas tanker",Q694="Oil tanker"),Alukset_fx!$C$57,IF(Q694="Chemical tanker",Alukset_fx!$C$56,IF(OR(Q694="Tugboat",Q694="Barge"),0,IF(Q694="Other vessel",Alukset_fx!$C$54,IF(Q694="Container ship",Alukset_fx!$C$37,IF(OR(Q694="RoPax",Q694="RoRo",Q694="Vehicle carrier"),Alukset_fx!$C$55,0))))))))</f>
        <v>0</v>
      </c>
      <c r="Y694" s="211">
        <f>IF(Q694="Other dry cargo", Alukset_fx!$Q$52, IF(OR(Q694="Dry bulk",Q694="Bulk carrier"),Alukset_fx!$Q$35,IF(OR(Q694="Tanker",Q694="Gas tanker",Q694="Oil tanker"),Alukset_fx!$Q$57,IF(Q694="Chemical tanker",Alukset_fx!$Q$56,IF(OR(Q694="Tugboat",Q694="Barge"),0,IF(Q694="Other vessel",Alukset_fx!$Q$54,IF(Q694="Container ship",Alukset_fx!$Q$37,IF(OR(Q694="RoPax",Q694="RoRo",Q694="Vehicle carrier"),Alukset_fx!$Q$55,0))))))))</f>
        <v>0</v>
      </c>
      <c r="Z694" t="str">
        <f t="shared" si="128"/>
        <v>MDO/MGO</v>
      </c>
      <c r="AA694" t="str">
        <f t="shared" si="129"/>
        <v>MSD</v>
      </c>
      <c r="AB694" t="str">
        <f t="shared" si="130"/>
        <v>MDO/MGO</v>
      </c>
      <c r="AC694" t="str">
        <f t="shared" si="131"/>
        <v>MSD</v>
      </c>
      <c r="AD694" t="str">
        <f t="shared" si="132"/>
        <v>MDO/MGO</v>
      </c>
      <c r="AE694" t="str">
        <f t="shared" si="133"/>
        <v>ST</v>
      </c>
      <c r="AG694">
        <f>Alukset_Käynnit!O701</f>
        <v>0</v>
      </c>
      <c r="AH694" s="207">
        <f>IF(AA694="SSD",((U694*Alukset_fx!$B$24)*Alukset_Käynnit_Lask!W694*(Alukset_fx!$K$49)/1000),IF(AA694="MSD",((U694*Alukset_fx!$B$24)*Alukset_Käynnit_Lask!W694*(Alukset_fx!$K$52)/1000),IF(AA694="HSD",((U694*Alukset_fx!$B$24)*Alukset_Käynnit_Lask!W694*(Alukset_fx!$K$55)/1000),0)))</f>
        <v>0</v>
      </c>
      <c r="AI694" s="207">
        <f>IF(AC694="MSD",((V694*Alukset_fx!$B$25)*Alukset_Käynnit_Lask!W694*(Alukset_fx!$L$52)/1000),IF(AC694="HSD",((V694*Alukset_fx!$B$25)*Alukset_Käynnit_Lask!W694*(Alukset_fx!$L$55)/1000),0))</f>
        <v>0</v>
      </c>
      <c r="AJ694" s="207">
        <f>X694*W694*Alukset_fx!$K$61/1000</f>
        <v>0</v>
      </c>
      <c r="AK694">
        <v>0</v>
      </c>
      <c r="AL694" s="207">
        <f>IF(AG694="Käytetty",0,IF(AC694="MSD",((V694*Alukset_fx!$O$25)*Alukset_Käynnit_Lask!O694*(Alukset_fx!$L$52)/1000),IF(AC694="HSD",((V694*Alukset_fx!$O$25)*Alukset_Käynnit_Lask!O694*(Alukset_fx!$L$55)/1000),0)))</f>
        <v>0</v>
      </c>
      <c r="AM694" s="207">
        <f>IF(AG694="Käytetty",0,Y694*O694*Alukset_fx!$K$61/1000)</f>
        <v>0</v>
      </c>
      <c r="AN694" s="213">
        <f t="shared" si="134"/>
        <v>0</v>
      </c>
    </row>
    <row r="695" spans="1:40" x14ac:dyDescent="0.25">
      <c r="A695" s="203">
        <f>Alukset_Käynnit!A702</f>
        <v>0</v>
      </c>
      <c r="B695" s="203">
        <f>Alukset_Käynnit!B702</f>
        <v>0</v>
      </c>
      <c r="C695" s="262">
        <f>Alukset_Käynnit!C702</f>
        <v>0</v>
      </c>
      <c r="D695" s="266">
        <f>Alukset_Käynnit!D702</f>
        <v>0</v>
      </c>
      <c r="E695" s="262">
        <f>Alukset_Käynnit!E702</f>
        <v>0</v>
      </c>
      <c r="F695" s="262">
        <f>Alukset_Käynnit!F702</f>
        <v>0</v>
      </c>
      <c r="G695" s="262">
        <f>Alukset_Käynnit!G702</f>
        <v>0</v>
      </c>
      <c r="H695" s="262">
        <f>Alukset_Käynnit!H702</f>
        <v>0</v>
      </c>
      <c r="I695" s="262">
        <f>Alukset_Käynnit!I702</f>
        <v>0</v>
      </c>
      <c r="J695" s="262">
        <f>Alukset_Käynnit!J702</f>
        <v>0</v>
      </c>
      <c r="K695" s="262">
        <f>Alukset_Käynnit!K702</f>
        <v>0</v>
      </c>
      <c r="L695" s="205">
        <f>Alukset_Käynnit!L702</f>
        <v>0</v>
      </c>
      <c r="N695" s="273">
        <f t="shared" si="135"/>
        <v>0</v>
      </c>
      <c r="O695" s="274">
        <f t="shared" si="136"/>
        <v>0</v>
      </c>
      <c r="Q695" s="204">
        <f t="shared" si="125"/>
        <v>0</v>
      </c>
      <c r="R695" s="202">
        <f>IF(Q695="Other dry cargo",L695*Alukset_fx!$B$71,IF(OR(Q695="Dry bulk",Q695="Bulk carrier"),L695*Alukset_fx!$B$69,IF(Q695="Tugboat",L695*Alukset_fx!$B$76,IF(OR(Q695="Tanker",Q695="Gas tanker",Q695="Chemical tanker",Q695="Oil tanker"),L695*Alukset_fx!$B$68,IF(OR(Q695="RoRo",Q695="Vehicle carrier"),L695*Alukset_fx!$B$72,IF(Q695="RoPax",L695*Alukset_fx!$B$73,IF(Q695="Container ship",L695*Alukset_fx!$B$70,IF(Q695="Barge",0,L695*Alukset_fx!$B$75))))))))</f>
        <v>0</v>
      </c>
      <c r="S695" s="210">
        <f>IF(L695=0,IF(Q695="Other dry cargo",Alukset_fx!$H$73*(Alukset_Käynnit_Lask!K695^Alukset_fx!$I$73),IF(OR(Q695="Dry Bulk",Q695="Bulk carrier"),Alukset_fx!$H$71*(Alukset_Käynnit_Lask!K695^Alukset_fx!$I$71),IF(Q695="Tugboat",Alukset_fx!$H$78*(Alukset_Käynnit_Lask!K695^Alukset_fx!$I$78),IF(OR(Q695="Tanker",Q695="Gas tanker",Q695="Chemical tanker",Q695="Oil tanker"),Alukset_fx!$H$70*(Alukset_Käynnit_Lask!K695^Alukset_fx!$I$70),IF(Q695="Container ship",Alukset_fx!$H$72*(Alukset_Käynnit_Lask!K695^Alukset_fx!$I$72),IF(Q695="Barge",0,IF(Q695="RoPax",Alukset_fx!$H$75*(Alukset_Käynnit_Lask!K695^Alukset_fx!$I$75),IF(OR(Q695="RoRo",Q695="Vehicle carrier"),Alukset_fx!$H$74*(Alukset_Käynnit_Lask!K695^Alukset_fx!$I$74),Alukset_fx!$H$77*(Alukset_Käynnit_Lask!K695^Alukset_fx!$I$77))))))))),"-")</f>
        <v>0</v>
      </c>
      <c r="T695" s="208">
        <f>IF(R695=0,IF(Q695="Other dry cargo",S695*Alukset_fx!$B$71,IF(OR(Q695="Dry bulk",Q695="Bulk carrier"),S695*Alukset_fx!$B$69,IF(Q695="Tugboat",S695*Alukset_fx!$B$76,IF(OR(Q695="Tanker",Q695="Gas tanker",Q695="Chemical tanker",Q695="Oil tanker"),S695*Alukset_fx!$B$68,IF(OR(Q695="RoRo",Q695="Vehicle carrier"),S695*Alukset_fx!$B$72,IF(Q695="RoPax",S695*Alukset_fx!$B$73,IF(Q695="Container ship",S695*Alukset_fx!$B$70,S695*Alukset_fx!$B$75))))))),"-")</f>
        <v>0</v>
      </c>
      <c r="U695" s="208">
        <f t="shared" si="126"/>
        <v>0</v>
      </c>
      <c r="V695" s="208">
        <f t="shared" si="127"/>
        <v>0</v>
      </c>
      <c r="W695" s="202">
        <f>Alukset_Käynnit!N702</f>
        <v>0</v>
      </c>
      <c r="X695" s="211">
        <f>IF(Q695="Other dry cargo", Alukset_fx!$C$52, IF(OR(Q695="Dry bulk",Q695="Bulk carrier"),Alukset_fx!$C$35,IF(OR(Q695="Tanker",Q695="Gas tanker",Q695="Oil tanker"),Alukset_fx!$C$57,IF(Q695="Chemical tanker",Alukset_fx!$C$56,IF(OR(Q695="Tugboat",Q695="Barge"),0,IF(Q695="Other vessel",Alukset_fx!$C$54,IF(Q695="Container ship",Alukset_fx!$C$37,IF(OR(Q695="RoPax",Q695="RoRo",Q695="Vehicle carrier"),Alukset_fx!$C$55,0))))))))</f>
        <v>0</v>
      </c>
      <c r="Y695" s="211">
        <f>IF(Q695="Other dry cargo", Alukset_fx!$Q$52, IF(OR(Q695="Dry bulk",Q695="Bulk carrier"),Alukset_fx!$Q$35,IF(OR(Q695="Tanker",Q695="Gas tanker",Q695="Oil tanker"),Alukset_fx!$Q$57,IF(Q695="Chemical tanker",Alukset_fx!$Q$56,IF(OR(Q695="Tugboat",Q695="Barge"),0,IF(Q695="Other vessel",Alukset_fx!$Q$54,IF(Q695="Container ship",Alukset_fx!$Q$37,IF(OR(Q695="RoPax",Q695="RoRo",Q695="Vehicle carrier"),Alukset_fx!$Q$55,0))))))))</f>
        <v>0</v>
      </c>
      <c r="Z695" t="str">
        <f t="shared" si="128"/>
        <v>MDO/MGO</v>
      </c>
      <c r="AA695" t="str">
        <f t="shared" si="129"/>
        <v>MSD</v>
      </c>
      <c r="AB695" t="str">
        <f t="shared" si="130"/>
        <v>MDO/MGO</v>
      </c>
      <c r="AC695" t="str">
        <f t="shared" si="131"/>
        <v>MSD</v>
      </c>
      <c r="AD695" t="str">
        <f t="shared" si="132"/>
        <v>MDO/MGO</v>
      </c>
      <c r="AE695" t="str">
        <f t="shared" si="133"/>
        <v>ST</v>
      </c>
      <c r="AG695">
        <f>Alukset_Käynnit!O702</f>
        <v>0</v>
      </c>
      <c r="AH695" s="207">
        <f>IF(AA695="SSD",((U695*Alukset_fx!$B$24)*Alukset_Käynnit_Lask!W695*(Alukset_fx!$K$49)/1000),IF(AA695="MSD",((U695*Alukset_fx!$B$24)*Alukset_Käynnit_Lask!W695*(Alukset_fx!$K$52)/1000),IF(AA695="HSD",((U695*Alukset_fx!$B$24)*Alukset_Käynnit_Lask!W695*(Alukset_fx!$K$55)/1000),0)))</f>
        <v>0</v>
      </c>
      <c r="AI695" s="207">
        <f>IF(AC695="MSD",((V695*Alukset_fx!$B$25)*Alukset_Käynnit_Lask!W695*(Alukset_fx!$L$52)/1000),IF(AC695="HSD",((V695*Alukset_fx!$B$25)*Alukset_Käynnit_Lask!W695*(Alukset_fx!$L$55)/1000),0))</f>
        <v>0</v>
      </c>
      <c r="AJ695" s="207">
        <f>X695*W695*Alukset_fx!$K$61/1000</f>
        <v>0</v>
      </c>
      <c r="AK695">
        <v>0</v>
      </c>
      <c r="AL695" s="207">
        <f>IF(AG695="Käytetty",0,IF(AC695="MSD",((V695*Alukset_fx!$O$25)*Alukset_Käynnit_Lask!O695*(Alukset_fx!$L$52)/1000),IF(AC695="HSD",((V695*Alukset_fx!$O$25)*Alukset_Käynnit_Lask!O695*(Alukset_fx!$L$55)/1000),0)))</f>
        <v>0</v>
      </c>
      <c r="AM695" s="207">
        <f>IF(AG695="Käytetty",0,Y695*O695*Alukset_fx!$K$61/1000)</f>
        <v>0</v>
      </c>
      <c r="AN695" s="213">
        <f t="shared" si="134"/>
        <v>0</v>
      </c>
    </row>
    <row r="696" spans="1:40" x14ac:dyDescent="0.25">
      <c r="A696" s="203">
        <f>Alukset_Käynnit!A703</f>
        <v>0</v>
      </c>
      <c r="B696" s="203">
        <f>Alukset_Käynnit!B703</f>
        <v>0</v>
      </c>
      <c r="C696" s="262">
        <f>Alukset_Käynnit!C703</f>
        <v>0</v>
      </c>
      <c r="D696" s="266">
        <f>Alukset_Käynnit!D703</f>
        <v>0</v>
      </c>
      <c r="E696" s="262">
        <f>Alukset_Käynnit!E703</f>
        <v>0</v>
      </c>
      <c r="F696" s="262">
        <f>Alukset_Käynnit!F703</f>
        <v>0</v>
      </c>
      <c r="G696" s="262">
        <f>Alukset_Käynnit!G703</f>
        <v>0</v>
      </c>
      <c r="H696" s="262">
        <f>Alukset_Käynnit!H703</f>
        <v>0</v>
      </c>
      <c r="I696" s="262">
        <f>Alukset_Käynnit!I703</f>
        <v>0</v>
      </c>
      <c r="J696" s="262">
        <f>Alukset_Käynnit!J703</f>
        <v>0</v>
      </c>
      <c r="K696" s="262">
        <f>Alukset_Käynnit!K703</f>
        <v>0</v>
      </c>
      <c r="L696" s="205">
        <f>Alukset_Käynnit!L703</f>
        <v>0</v>
      </c>
      <c r="N696" s="273">
        <f t="shared" si="135"/>
        <v>0</v>
      </c>
      <c r="O696" s="274">
        <f t="shared" si="136"/>
        <v>0</v>
      </c>
      <c r="Q696" s="204">
        <f t="shared" si="125"/>
        <v>0</v>
      </c>
      <c r="R696" s="202">
        <f>IF(Q696="Other dry cargo",L696*Alukset_fx!$B$71,IF(OR(Q696="Dry bulk",Q696="Bulk carrier"),L696*Alukset_fx!$B$69,IF(Q696="Tugboat",L696*Alukset_fx!$B$76,IF(OR(Q696="Tanker",Q696="Gas tanker",Q696="Chemical tanker",Q696="Oil tanker"),L696*Alukset_fx!$B$68,IF(OR(Q696="RoRo",Q696="Vehicle carrier"),L696*Alukset_fx!$B$72,IF(Q696="RoPax",L696*Alukset_fx!$B$73,IF(Q696="Container ship",L696*Alukset_fx!$B$70,IF(Q696="Barge",0,L696*Alukset_fx!$B$75))))))))</f>
        <v>0</v>
      </c>
      <c r="S696" s="210">
        <f>IF(L696=0,IF(Q696="Other dry cargo",Alukset_fx!$H$73*(Alukset_Käynnit_Lask!K696^Alukset_fx!$I$73),IF(OR(Q696="Dry Bulk",Q696="Bulk carrier"),Alukset_fx!$H$71*(Alukset_Käynnit_Lask!K696^Alukset_fx!$I$71),IF(Q696="Tugboat",Alukset_fx!$H$78*(Alukset_Käynnit_Lask!K696^Alukset_fx!$I$78),IF(OR(Q696="Tanker",Q696="Gas tanker",Q696="Chemical tanker",Q696="Oil tanker"),Alukset_fx!$H$70*(Alukset_Käynnit_Lask!K696^Alukset_fx!$I$70),IF(Q696="Container ship",Alukset_fx!$H$72*(Alukset_Käynnit_Lask!K696^Alukset_fx!$I$72),IF(Q696="Barge",0,IF(Q696="RoPax",Alukset_fx!$H$75*(Alukset_Käynnit_Lask!K696^Alukset_fx!$I$75),IF(OR(Q696="RoRo",Q696="Vehicle carrier"),Alukset_fx!$H$74*(Alukset_Käynnit_Lask!K696^Alukset_fx!$I$74),Alukset_fx!$H$77*(Alukset_Käynnit_Lask!K696^Alukset_fx!$I$77))))))))),"-")</f>
        <v>0</v>
      </c>
      <c r="T696" s="208">
        <f>IF(R696=0,IF(Q696="Other dry cargo",S696*Alukset_fx!$B$71,IF(OR(Q696="Dry bulk",Q696="Bulk carrier"),S696*Alukset_fx!$B$69,IF(Q696="Tugboat",S696*Alukset_fx!$B$76,IF(OR(Q696="Tanker",Q696="Gas tanker",Q696="Chemical tanker",Q696="Oil tanker"),S696*Alukset_fx!$B$68,IF(OR(Q696="RoRo",Q696="Vehicle carrier"),S696*Alukset_fx!$B$72,IF(Q696="RoPax",S696*Alukset_fx!$B$73,IF(Q696="Container ship",S696*Alukset_fx!$B$70,S696*Alukset_fx!$B$75))))))),"-")</f>
        <v>0</v>
      </c>
      <c r="U696" s="208">
        <f t="shared" si="126"/>
        <v>0</v>
      </c>
      <c r="V696" s="208">
        <f t="shared" si="127"/>
        <v>0</v>
      </c>
      <c r="W696" s="202">
        <f>Alukset_Käynnit!N703</f>
        <v>0</v>
      </c>
      <c r="X696" s="211">
        <f>IF(Q696="Other dry cargo", Alukset_fx!$C$52, IF(OR(Q696="Dry bulk",Q696="Bulk carrier"),Alukset_fx!$C$35,IF(OR(Q696="Tanker",Q696="Gas tanker",Q696="Oil tanker"),Alukset_fx!$C$57,IF(Q696="Chemical tanker",Alukset_fx!$C$56,IF(OR(Q696="Tugboat",Q696="Barge"),0,IF(Q696="Other vessel",Alukset_fx!$C$54,IF(Q696="Container ship",Alukset_fx!$C$37,IF(OR(Q696="RoPax",Q696="RoRo",Q696="Vehicle carrier"),Alukset_fx!$C$55,0))))))))</f>
        <v>0</v>
      </c>
      <c r="Y696" s="211">
        <f>IF(Q696="Other dry cargo", Alukset_fx!$Q$52, IF(OR(Q696="Dry bulk",Q696="Bulk carrier"),Alukset_fx!$Q$35,IF(OR(Q696="Tanker",Q696="Gas tanker",Q696="Oil tanker"),Alukset_fx!$Q$57,IF(Q696="Chemical tanker",Alukset_fx!$Q$56,IF(OR(Q696="Tugboat",Q696="Barge"),0,IF(Q696="Other vessel",Alukset_fx!$Q$54,IF(Q696="Container ship",Alukset_fx!$Q$37,IF(OR(Q696="RoPax",Q696="RoRo",Q696="Vehicle carrier"),Alukset_fx!$Q$55,0))))))))</f>
        <v>0</v>
      </c>
      <c r="Z696" t="str">
        <f t="shared" si="128"/>
        <v>MDO/MGO</v>
      </c>
      <c r="AA696" t="str">
        <f t="shared" si="129"/>
        <v>MSD</v>
      </c>
      <c r="AB696" t="str">
        <f t="shared" si="130"/>
        <v>MDO/MGO</v>
      </c>
      <c r="AC696" t="str">
        <f t="shared" si="131"/>
        <v>MSD</v>
      </c>
      <c r="AD696" t="str">
        <f t="shared" si="132"/>
        <v>MDO/MGO</v>
      </c>
      <c r="AE696" t="str">
        <f t="shared" si="133"/>
        <v>ST</v>
      </c>
      <c r="AG696">
        <f>Alukset_Käynnit!O703</f>
        <v>0</v>
      </c>
      <c r="AH696" s="207">
        <f>IF(AA696="SSD",((U696*Alukset_fx!$B$24)*Alukset_Käynnit_Lask!W696*(Alukset_fx!$K$49)/1000),IF(AA696="MSD",((U696*Alukset_fx!$B$24)*Alukset_Käynnit_Lask!W696*(Alukset_fx!$K$52)/1000),IF(AA696="HSD",((U696*Alukset_fx!$B$24)*Alukset_Käynnit_Lask!W696*(Alukset_fx!$K$55)/1000),0)))</f>
        <v>0</v>
      </c>
      <c r="AI696" s="207">
        <f>IF(AC696="MSD",((V696*Alukset_fx!$B$25)*Alukset_Käynnit_Lask!W696*(Alukset_fx!$L$52)/1000),IF(AC696="HSD",((V696*Alukset_fx!$B$25)*Alukset_Käynnit_Lask!W696*(Alukset_fx!$L$55)/1000),0))</f>
        <v>0</v>
      </c>
      <c r="AJ696" s="207">
        <f>X696*W696*Alukset_fx!$K$61/1000</f>
        <v>0</v>
      </c>
      <c r="AK696">
        <v>0</v>
      </c>
      <c r="AL696" s="207">
        <f>IF(AG696="Käytetty",0,IF(AC696="MSD",((V696*Alukset_fx!$O$25)*Alukset_Käynnit_Lask!O696*(Alukset_fx!$L$52)/1000),IF(AC696="HSD",((V696*Alukset_fx!$O$25)*Alukset_Käynnit_Lask!O696*(Alukset_fx!$L$55)/1000),0)))</f>
        <v>0</v>
      </c>
      <c r="AM696" s="207">
        <f>IF(AG696="Käytetty",0,Y696*O696*Alukset_fx!$K$61/1000)</f>
        <v>0</v>
      </c>
      <c r="AN696" s="213">
        <f t="shared" si="134"/>
        <v>0</v>
      </c>
    </row>
    <row r="697" spans="1:40" x14ac:dyDescent="0.25">
      <c r="A697" s="203">
        <f>Alukset_Käynnit!A704</f>
        <v>0</v>
      </c>
      <c r="B697" s="203">
        <f>Alukset_Käynnit!B704</f>
        <v>0</v>
      </c>
      <c r="C697" s="262">
        <f>Alukset_Käynnit!C704</f>
        <v>0</v>
      </c>
      <c r="D697" s="266">
        <f>Alukset_Käynnit!D704</f>
        <v>0</v>
      </c>
      <c r="E697" s="262">
        <f>Alukset_Käynnit!E704</f>
        <v>0</v>
      </c>
      <c r="F697" s="262">
        <f>Alukset_Käynnit!F704</f>
        <v>0</v>
      </c>
      <c r="G697" s="262">
        <f>Alukset_Käynnit!G704</f>
        <v>0</v>
      </c>
      <c r="H697" s="262">
        <f>Alukset_Käynnit!H704</f>
        <v>0</v>
      </c>
      <c r="I697" s="262">
        <f>Alukset_Käynnit!I704</f>
        <v>0</v>
      </c>
      <c r="J697" s="262">
        <f>Alukset_Käynnit!J704</f>
        <v>0</v>
      </c>
      <c r="K697" s="262">
        <f>Alukset_Käynnit!K704</f>
        <v>0</v>
      </c>
      <c r="L697" s="205">
        <f>Alukset_Käynnit!L704</f>
        <v>0</v>
      </c>
      <c r="N697" s="273">
        <f t="shared" si="135"/>
        <v>0</v>
      </c>
      <c r="O697" s="274">
        <f t="shared" si="136"/>
        <v>0</v>
      </c>
      <c r="Q697" s="204">
        <f t="shared" si="125"/>
        <v>0</v>
      </c>
      <c r="R697" s="202">
        <f>IF(Q697="Other dry cargo",L697*Alukset_fx!$B$71,IF(OR(Q697="Dry bulk",Q697="Bulk carrier"),L697*Alukset_fx!$B$69,IF(Q697="Tugboat",L697*Alukset_fx!$B$76,IF(OR(Q697="Tanker",Q697="Gas tanker",Q697="Chemical tanker",Q697="Oil tanker"),L697*Alukset_fx!$B$68,IF(OR(Q697="RoRo",Q697="Vehicle carrier"),L697*Alukset_fx!$B$72,IF(Q697="RoPax",L697*Alukset_fx!$B$73,IF(Q697="Container ship",L697*Alukset_fx!$B$70,IF(Q697="Barge",0,L697*Alukset_fx!$B$75))))))))</f>
        <v>0</v>
      </c>
      <c r="S697" s="210">
        <f>IF(L697=0,IF(Q697="Other dry cargo",Alukset_fx!$H$73*(Alukset_Käynnit_Lask!K697^Alukset_fx!$I$73),IF(OR(Q697="Dry Bulk",Q697="Bulk carrier"),Alukset_fx!$H$71*(Alukset_Käynnit_Lask!K697^Alukset_fx!$I$71),IF(Q697="Tugboat",Alukset_fx!$H$78*(Alukset_Käynnit_Lask!K697^Alukset_fx!$I$78),IF(OR(Q697="Tanker",Q697="Gas tanker",Q697="Chemical tanker",Q697="Oil tanker"),Alukset_fx!$H$70*(Alukset_Käynnit_Lask!K697^Alukset_fx!$I$70),IF(Q697="Container ship",Alukset_fx!$H$72*(Alukset_Käynnit_Lask!K697^Alukset_fx!$I$72),IF(Q697="Barge",0,IF(Q697="RoPax",Alukset_fx!$H$75*(Alukset_Käynnit_Lask!K697^Alukset_fx!$I$75),IF(OR(Q697="RoRo",Q697="Vehicle carrier"),Alukset_fx!$H$74*(Alukset_Käynnit_Lask!K697^Alukset_fx!$I$74),Alukset_fx!$H$77*(Alukset_Käynnit_Lask!K697^Alukset_fx!$I$77))))))))),"-")</f>
        <v>0</v>
      </c>
      <c r="T697" s="208">
        <f>IF(R697=0,IF(Q697="Other dry cargo",S697*Alukset_fx!$B$71,IF(OR(Q697="Dry bulk",Q697="Bulk carrier"),S697*Alukset_fx!$B$69,IF(Q697="Tugboat",S697*Alukset_fx!$B$76,IF(OR(Q697="Tanker",Q697="Gas tanker",Q697="Chemical tanker",Q697="Oil tanker"),S697*Alukset_fx!$B$68,IF(OR(Q697="RoRo",Q697="Vehicle carrier"),S697*Alukset_fx!$B$72,IF(Q697="RoPax",S697*Alukset_fx!$B$73,IF(Q697="Container ship",S697*Alukset_fx!$B$70,S697*Alukset_fx!$B$75))))))),"-")</f>
        <v>0</v>
      </c>
      <c r="U697" s="208">
        <f t="shared" si="126"/>
        <v>0</v>
      </c>
      <c r="V697" s="208">
        <f t="shared" si="127"/>
        <v>0</v>
      </c>
      <c r="W697" s="202">
        <f>Alukset_Käynnit!N704</f>
        <v>0</v>
      </c>
      <c r="X697" s="211">
        <f>IF(Q697="Other dry cargo", Alukset_fx!$C$52, IF(OR(Q697="Dry bulk",Q697="Bulk carrier"),Alukset_fx!$C$35,IF(OR(Q697="Tanker",Q697="Gas tanker",Q697="Oil tanker"),Alukset_fx!$C$57,IF(Q697="Chemical tanker",Alukset_fx!$C$56,IF(OR(Q697="Tugboat",Q697="Barge"),0,IF(Q697="Other vessel",Alukset_fx!$C$54,IF(Q697="Container ship",Alukset_fx!$C$37,IF(OR(Q697="RoPax",Q697="RoRo",Q697="Vehicle carrier"),Alukset_fx!$C$55,0))))))))</f>
        <v>0</v>
      </c>
      <c r="Y697" s="211">
        <f>IF(Q697="Other dry cargo", Alukset_fx!$Q$52, IF(OR(Q697="Dry bulk",Q697="Bulk carrier"),Alukset_fx!$Q$35,IF(OR(Q697="Tanker",Q697="Gas tanker",Q697="Oil tanker"),Alukset_fx!$Q$57,IF(Q697="Chemical tanker",Alukset_fx!$Q$56,IF(OR(Q697="Tugboat",Q697="Barge"),0,IF(Q697="Other vessel",Alukset_fx!$Q$54,IF(Q697="Container ship",Alukset_fx!$Q$37,IF(OR(Q697="RoPax",Q697="RoRo",Q697="Vehicle carrier"),Alukset_fx!$Q$55,0))))))))</f>
        <v>0</v>
      </c>
      <c r="Z697" t="str">
        <f t="shared" si="128"/>
        <v>MDO/MGO</v>
      </c>
      <c r="AA697" t="str">
        <f t="shared" si="129"/>
        <v>MSD</v>
      </c>
      <c r="AB697" t="str">
        <f t="shared" si="130"/>
        <v>MDO/MGO</v>
      </c>
      <c r="AC697" t="str">
        <f t="shared" si="131"/>
        <v>MSD</v>
      </c>
      <c r="AD697" t="str">
        <f t="shared" si="132"/>
        <v>MDO/MGO</v>
      </c>
      <c r="AE697" t="str">
        <f t="shared" si="133"/>
        <v>ST</v>
      </c>
      <c r="AG697">
        <f>Alukset_Käynnit!O704</f>
        <v>0</v>
      </c>
      <c r="AH697" s="207">
        <f>IF(AA697="SSD",((U697*Alukset_fx!$B$24)*Alukset_Käynnit_Lask!W697*(Alukset_fx!$K$49)/1000),IF(AA697="MSD",((U697*Alukset_fx!$B$24)*Alukset_Käynnit_Lask!W697*(Alukset_fx!$K$52)/1000),IF(AA697="HSD",((U697*Alukset_fx!$B$24)*Alukset_Käynnit_Lask!W697*(Alukset_fx!$K$55)/1000),0)))</f>
        <v>0</v>
      </c>
      <c r="AI697" s="207">
        <f>IF(AC697="MSD",((V697*Alukset_fx!$B$25)*Alukset_Käynnit_Lask!W697*(Alukset_fx!$L$52)/1000),IF(AC697="HSD",((V697*Alukset_fx!$B$25)*Alukset_Käynnit_Lask!W697*(Alukset_fx!$L$55)/1000),0))</f>
        <v>0</v>
      </c>
      <c r="AJ697" s="207">
        <f>X697*W697*Alukset_fx!$K$61/1000</f>
        <v>0</v>
      </c>
      <c r="AK697">
        <v>0</v>
      </c>
      <c r="AL697" s="207">
        <f>IF(AG697="Käytetty",0,IF(AC697="MSD",((V697*Alukset_fx!$O$25)*Alukset_Käynnit_Lask!O697*(Alukset_fx!$L$52)/1000),IF(AC697="HSD",((V697*Alukset_fx!$O$25)*Alukset_Käynnit_Lask!O697*(Alukset_fx!$L$55)/1000),0)))</f>
        <v>0</v>
      </c>
      <c r="AM697" s="207">
        <f>IF(AG697="Käytetty",0,Y697*O697*Alukset_fx!$K$61/1000)</f>
        <v>0</v>
      </c>
      <c r="AN697" s="213">
        <f t="shared" si="134"/>
        <v>0</v>
      </c>
    </row>
    <row r="698" spans="1:40" x14ac:dyDescent="0.25">
      <c r="A698" s="203">
        <f>Alukset_Käynnit!A705</f>
        <v>0</v>
      </c>
      <c r="B698" s="203">
        <f>Alukset_Käynnit!B705</f>
        <v>0</v>
      </c>
      <c r="C698" s="262">
        <f>Alukset_Käynnit!C705</f>
        <v>0</v>
      </c>
      <c r="D698" s="266">
        <f>Alukset_Käynnit!D705</f>
        <v>0</v>
      </c>
      <c r="E698" s="262">
        <f>Alukset_Käynnit!E705</f>
        <v>0</v>
      </c>
      <c r="F698" s="262">
        <f>Alukset_Käynnit!F705</f>
        <v>0</v>
      </c>
      <c r="G698" s="262">
        <f>Alukset_Käynnit!G705</f>
        <v>0</v>
      </c>
      <c r="H698" s="262">
        <f>Alukset_Käynnit!H705</f>
        <v>0</v>
      </c>
      <c r="I698" s="262">
        <f>Alukset_Käynnit!I705</f>
        <v>0</v>
      </c>
      <c r="J698" s="262">
        <f>Alukset_Käynnit!J705</f>
        <v>0</v>
      </c>
      <c r="K698" s="262">
        <f>Alukset_Käynnit!K705</f>
        <v>0</v>
      </c>
      <c r="L698" s="205">
        <f>Alukset_Käynnit!L705</f>
        <v>0</v>
      </c>
      <c r="N698" s="273">
        <f t="shared" si="135"/>
        <v>0</v>
      </c>
      <c r="O698" s="274">
        <f t="shared" si="136"/>
        <v>0</v>
      </c>
      <c r="Q698" s="204">
        <f t="shared" si="125"/>
        <v>0</v>
      </c>
      <c r="R698" s="202">
        <f>IF(Q698="Other dry cargo",L698*Alukset_fx!$B$71,IF(OR(Q698="Dry bulk",Q698="Bulk carrier"),L698*Alukset_fx!$B$69,IF(Q698="Tugboat",L698*Alukset_fx!$B$76,IF(OR(Q698="Tanker",Q698="Gas tanker",Q698="Chemical tanker",Q698="Oil tanker"),L698*Alukset_fx!$B$68,IF(OR(Q698="RoRo",Q698="Vehicle carrier"),L698*Alukset_fx!$B$72,IF(Q698="RoPax",L698*Alukset_fx!$B$73,IF(Q698="Container ship",L698*Alukset_fx!$B$70,IF(Q698="Barge",0,L698*Alukset_fx!$B$75))))))))</f>
        <v>0</v>
      </c>
      <c r="S698" s="210">
        <f>IF(L698=0,IF(Q698="Other dry cargo",Alukset_fx!$H$73*(Alukset_Käynnit_Lask!K698^Alukset_fx!$I$73),IF(OR(Q698="Dry Bulk",Q698="Bulk carrier"),Alukset_fx!$H$71*(Alukset_Käynnit_Lask!K698^Alukset_fx!$I$71),IF(Q698="Tugboat",Alukset_fx!$H$78*(Alukset_Käynnit_Lask!K698^Alukset_fx!$I$78),IF(OR(Q698="Tanker",Q698="Gas tanker",Q698="Chemical tanker",Q698="Oil tanker"),Alukset_fx!$H$70*(Alukset_Käynnit_Lask!K698^Alukset_fx!$I$70),IF(Q698="Container ship",Alukset_fx!$H$72*(Alukset_Käynnit_Lask!K698^Alukset_fx!$I$72),IF(Q698="Barge",0,IF(Q698="RoPax",Alukset_fx!$H$75*(Alukset_Käynnit_Lask!K698^Alukset_fx!$I$75),IF(OR(Q698="RoRo",Q698="Vehicle carrier"),Alukset_fx!$H$74*(Alukset_Käynnit_Lask!K698^Alukset_fx!$I$74),Alukset_fx!$H$77*(Alukset_Käynnit_Lask!K698^Alukset_fx!$I$77))))))))),"-")</f>
        <v>0</v>
      </c>
      <c r="T698" s="208">
        <f>IF(R698=0,IF(Q698="Other dry cargo",S698*Alukset_fx!$B$71,IF(OR(Q698="Dry bulk",Q698="Bulk carrier"),S698*Alukset_fx!$B$69,IF(Q698="Tugboat",S698*Alukset_fx!$B$76,IF(OR(Q698="Tanker",Q698="Gas tanker",Q698="Chemical tanker",Q698="Oil tanker"),S698*Alukset_fx!$B$68,IF(OR(Q698="RoRo",Q698="Vehicle carrier"),S698*Alukset_fx!$B$72,IF(Q698="RoPax",S698*Alukset_fx!$B$73,IF(Q698="Container ship",S698*Alukset_fx!$B$70,S698*Alukset_fx!$B$75))))))),"-")</f>
        <v>0</v>
      </c>
      <c r="U698" s="208">
        <f t="shared" si="126"/>
        <v>0</v>
      </c>
      <c r="V698" s="208">
        <f t="shared" si="127"/>
        <v>0</v>
      </c>
      <c r="W698" s="202">
        <f>Alukset_Käynnit!N705</f>
        <v>0</v>
      </c>
      <c r="X698" s="211">
        <f>IF(Q698="Other dry cargo", Alukset_fx!$C$52, IF(OR(Q698="Dry bulk",Q698="Bulk carrier"),Alukset_fx!$C$35,IF(OR(Q698="Tanker",Q698="Gas tanker",Q698="Oil tanker"),Alukset_fx!$C$57,IF(Q698="Chemical tanker",Alukset_fx!$C$56,IF(OR(Q698="Tugboat",Q698="Barge"),0,IF(Q698="Other vessel",Alukset_fx!$C$54,IF(Q698="Container ship",Alukset_fx!$C$37,IF(OR(Q698="RoPax",Q698="RoRo",Q698="Vehicle carrier"),Alukset_fx!$C$55,0))))))))</f>
        <v>0</v>
      </c>
      <c r="Y698" s="211">
        <f>IF(Q698="Other dry cargo", Alukset_fx!$Q$52, IF(OR(Q698="Dry bulk",Q698="Bulk carrier"),Alukset_fx!$Q$35,IF(OR(Q698="Tanker",Q698="Gas tanker",Q698="Oil tanker"),Alukset_fx!$Q$57,IF(Q698="Chemical tanker",Alukset_fx!$Q$56,IF(OR(Q698="Tugboat",Q698="Barge"),0,IF(Q698="Other vessel",Alukset_fx!$Q$54,IF(Q698="Container ship",Alukset_fx!$Q$37,IF(OR(Q698="RoPax",Q698="RoRo",Q698="Vehicle carrier"),Alukset_fx!$Q$55,0))))))))</f>
        <v>0</v>
      </c>
      <c r="Z698" t="str">
        <f t="shared" si="128"/>
        <v>MDO/MGO</v>
      </c>
      <c r="AA698" t="str">
        <f t="shared" si="129"/>
        <v>MSD</v>
      </c>
      <c r="AB698" t="str">
        <f t="shared" si="130"/>
        <v>MDO/MGO</v>
      </c>
      <c r="AC698" t="str">
        <f t="shared" si="131"/>
        <v>MSD</v>
      </c>
      <c r="AD698" t="str">
        <f t="shared" si="132"/>
        <v>MDO/MGO</v>
      </c>
      <c r="AE698" t="str">
        <f t="shared" si="133"/>
        <v>ST</v>
      </c>
      <c r="AG698">
        <f>Alukset_Käynnit!O705</f>
        <v>0</v>
      </c>
      <c r="AH698" s="207">
        <f>IF(AA698="SSD",((U698*Alukset_fx!$B$24)*Alukset_Käynnit_Lask!W698*(Alukset_fx!$K$49)/1000),IF(AA698="MSD",((U698*Alukset_fx!$B$24)*Alukset_Käynnit_Lask!W698*(Alukset_fx!$K$52)/1000),IF(AA698="HSD",((U698*Alukset_fx!$B$24)*Alukset_Käynnit_Lask!W698*(Alukset_fx!$K$55)/1000),0)))</f>
        <v>0</v>
      </c>
      <c r="AI698" s="207">
        <f>IF(AC698="MSD",((V698*Alukset_fx!$B$25)*Alukset_Käynnit_Lask!W698*(Alukset_fx!$L$52)/1000),IF(AC698="HSD",((V698*Alukset_fx!$B$25)*Alukset_Käynnit_Lask!W698*(Alukset_fx!$L$55)/1000),0))</f>
        <v>0</v>
      </c>
      <c r="AJ698" s="207">
        <f>X698*W698*Alukset_fx!$K$61/1000</f>
        <v>0</v>
      </c>
      <c r="AK698">
        <v>0</v>
      </c>
      <c r="AL698" s="207">
        <f>IF(AG698="Käytetty",0,IF(AC698="MSD",((V698*Alukset_fx!$O$25)*Alukset_Käynnit_Lask!O698*(Alukset_fx!$L$52)/1000),IF(AC698="HSD",((V698*Alukset_fx!$O$25)*Alukset_Käynnit_Lask!O698*(Alukset_fx!$L$55)/1000),0)))</f>
        <v>0</v>
      </c>
      <c r="AM698" s="207">
        <f>IF(AG698="Käytetty",0,Y698*O698*Alukset_fx!$K$61/1000)</f>
        <v>0</v>
      </c>
      <c r="AN698" s="213">
        <f t="shared" si="134"/>
        <v>0</v>
      </c>
    </row>
    <row r="699" spans="1:40" x14ac:dyDescent="0.25">
      <c r="A699" s="203">
        <f>Alukset_Käynnit!A706</f>
        <v>0</v>
      </c>
      <c r="B699" s="203">
        <f>Alukset_Käynnit!B706</f>
        <v>0</v>
      </c>
      <c r="C699" s="262">
        <f>Alukset_Käynnit!C706</f>
        <v>0</v>
      </c>
      <c r="D699" s="266">
        <f>Alukset_Käynnit!D706</f>
        <v>0</v>
      </c>
      <c r="E699" s="262">
        <f>Alukset_Käynnit!E706</f>
        <v>0</v>
      </c>
      <c r="F699" s="262">
        <f>Alukset_Käynnit!F706</f>
        <v>0</v>
      </c>
      <c r="G699" s="262">
        <f>Alukset_Käynnit!G706</f>
        <v>0</v>
      </c>
      <c r="H699" s="262">
        <f>Alukset_Käynnit!H706</f>
        <v>0</v>
      </c>
      <c r="I699" s="262">
        <f>Alukset_Käynnit!I706</f>
        <v>0</v>
      </c>
      <c r="J699" s="262">
        <f>Alukset_Käynnit!J706</f>
        <v>0</v>
      </c>
      <c r="K699" s="262">
        <f>Alukset_Käynnit!K706</f>
        <v>0</v>
      </c>
      <c r="L699" s="205">
        <f>Alukset_Käynnit!L706</f>
        <v>0</v>
      </c>
      <c r="N699" s="273">
        <f t="shared" si="135"/>
        <v>0</v>
      </c>
      <c r="O699" s="274">
        <f t="shared" si="136"/>
        <v>0</v>
      </c>
      <c r="Q699" s="204">
        <f t="shared" si="125"/>
        <v>0</v>
      </c>
      <c r="R699" s="202">
        <f>IF(Q699="Other dry cargo",L699*Alukset_fx!$B$71,IF(OR(Q699="Dry bulk",Q699="Bulk carrier"),L699*Alukset_fx!$B$69,IF(Q699="Tugboat",L699*Alukset_fx!$B$76,IF(OR(Q699="Tanker",Q699="Gas tanker",Q699="Chemical tanker",Q699="Oil tanker"),L699*Alukset_fx!$B$68,IF(OR(Q699="RoRo",Q699="Vehicle carrier"),L699*Alukset_fx!$B$72,IF(Q699="RoPax",L699*Alukset_fx!$B$73,IF(Q699="Container ship",L699*Alukset_fx!$B$70,IF(Q699="Barge",0,L699*Alukset_fx!$B$75))))))))</f>
        <v>0</v>
      </c>
      <c r="S699" s="210">
        <f>IF(L699=0,IF(Q699="Other dry cargo",Alukset_fx!$H$73*(Alukset_Käynnit_Lask!K699^Alukset_fx!$I$73),IF(OR(Q699="Dry Bulk",Q699="Bulk carrier"),Alukset_fx!$H$71*(Alukset_Käynnit_Lask!K699^Alukset_fx!$I$71),IF(Q699="Tugboat",Alukset_fx!$H$78*(Alukset_Käynnit_Lask!K699^Alukset_fx!$I$78),IF(OR(Q699="Tanker",Q699="Gas tanker",Q699="Chemical tanker",Q699="Oil tanker"),Alukset_fx!$H$70*(Alukset_Käynnit_Lask!K699^Alukset_fx!$I$70),IF(Q699="Container ship",Alukset_fx!$H$72*(Alukset_Käynnit_Lask!K699^Alukset_fx!$I$72),IF(Q699="Barge",0,IF(Q699="RoPax",Alukset_fx!$H$75*(Alukset_Käynnit_Lask!K699^Alukset_fx!$I$75),IF(OR(Q699="RoRo",Q699="Vehicle carrier"),Alukset_fx!$H$74*(Alukset_Käynnit_Lask!K699^Alukset_fx!$I$74),Alukset_fx!$H$77*(Alukset_Käynnit_Lask!K699^Alukset_fx!$I$77))))))))),"-")</f>
        <v>0</v>
      </c>
      <c r="T699" s="208">
        <f>IF(R699=0,IF(Q699="Other dry cargo",S699*Alukset_fx!$B$71,IF(OR(Q699="Dry bulk",Q699="Bulk carrier"),S699*Alukset_fx!$B$69,IF(Q699="Tugboat",S699*Alukset_fx!$B$76,IF(OR(Q699="Tanker",Q699="Gas tanker",Q699="Chemical tanker",Q699="Oil tanker"),S699*Alukset_fx!$B$68,IF(OR(Q699="RoRo",Q699="Vehicle carrier"),S699*Alukset_fx!$B$72,IF(Q699="RoPax",S699*Alukset_fx!$B$73,IF(Q699="Container ship",S699*Alukset_fx!$B$70,S699*Alukset_fx!$B$75))))))),"-")</f>
        <v>0</v>
      </c>
      <c r="U699" s="208">
        <f t="shared" si="126"/>
        <v>0</v>
      </c>
      <c r="V699" s="208">
        <f t="shared" si="127"/>
        <v>0</v>
      </c>
      <c r="W699" s="202">
        <f>Alukset_Käynnit!N706</f>
        <v>0</v>
      </c>
      <c r="X699" s="211">
        <f>IF(Q699="Other dry cargo", Alukset_fx!$C$52, IF(OR(Q699="Dry bulk",Q699="Bulk carrier"),Alukset_fx!$C$35,IF(OR(Q699="Tanker",Q699="Gas tanker",Q699="Oil tanker"),Alukset_fx!$C$57,IF(Q699="Chemical tanker",Alukset_fx!$C$56,IF(OR(Q699="Tugboat",Q699="Barge"),0,IF(Q699="Other vessel",Alukset_fx!$C$54,IF(Q699="Container ship",Alukset_fx!$C$37,IF(OR(Q699="RoPax",Q699="RoRo",Q699="Vehicle carrier"),Alukset_fx!$C$55,0))))))))</f>
        <v>0</v>
      </c>
      <c r="Y699" s="211">
        <f>IF(Q699="Other dry cargo", Alukset_fx!$Q$52, IF(OR(Q699="Dry bulk",Q699="Bulk carrier"),Alukset_fx!$Q$35,IF(OR(Q699="Tanker",Q699="Gas tanker",Q699="Oil tanker"),Alukset_fx!$Q$57,IF(Q699="Chemical tanker",Alukset_fx!$Q$56,IF(OR(Q699="Tugboat",Q699="Barge"),0,IF(Q699="Other vessel",Alukset_fx!$Q$54,IF(Q699="Container ship",Alukset_fx!$Q$37,IF(OR(Q699="RoPax",Q699="RoRo",Q699="Vehicle carrier"),Alukset_fx!$Q$55,0))))))))</f>
        <v>0</v>
      </c>
      <c r="Z699" t="str">
        <f t="shared" si="128"/>
        <v>MDO/MGO</v>
      </c>
      <c r="AA699" t="str">
        <f t="shared" si="129"/>
        <v>MSD</v>
      </c>
      <c r="AB699" t="str">
        <f t="shared" si="130"/>
        <v>MDO/MGO</v>
      </c>
      <c r="AC699" t="str">
        <f t="shared" si="131"/>
        <v>MSD</v>
      </c>
      <c r="AD699" t="str">
        <f t="shared" si="132"/>
        <v>MDO/MGO</v>
      </c>
      <c r="AE699" t="str">
        <f t="shared" si="133"/>
        <v>ST</v>
      </c>
      <c r="AG699">
        <f>Alukset_Käynnit!O706</f>
        <v>0</v>
      </c>
      <c r="AH699" s="207">
        <f>IF(AA699="SSD",((U699*Alukset_fx!$B$24)*Alukset_Käynnit_Lask!W699*(Alukset_fx!$K$49)/1000),IF(AA699="MSD",((U699*Alukset_fx!$B$24)*Alukset_Käynnit_Lask!W699*(Alukset_fx!$K$52)/1000),IF(AA699="HSD",((U699*Alukset_fx!$B$24)*Alukset_Käynnit_Lask!W699*(Alukset_fx!$K$55)/1000),0)))</f>
        <v>0</v>
      </c>
      <c r="AI699" s="207">
        <f>IF(AC699="MSD",((V699*Alukset_fx!$B$25)*Alukset_Käynnit_Lask!W699*(Alukset_fx!$L$52)/1000),IF(AC699="HSD",((V699*Alukset_fx!$B$25)*Alukset_Käynnit_Lask!W699*(Alukset_fx!$L$55)/1000),0))</f>
        <v>0</v>
      </c>
      <c r="AJ699" s="207">
        <f>X699*W699*Alukset_fx!$K$61/1000</f>
        <v>0</v>
      </c>
      <c r="AK699">
        <v>0</v>
      </c>
      <c r="AL699" s="207">
        <f>IF(AG699="Käytetty",0,IF(AC699="MSD",((V699*Alukset_fx!$O$25)*Alukset_Käynnit_Lask!O699*(Alukset_fx!$L$52)/1000),IF(AC699="HSD",((V699*Alukset_fx!$O$25)*Alukset_Käynnit_Lask!O699*(Alukset_fx!$L$55)/1000),0)))</f>
        <v>0</v>
      </c>
      <c r="AM699" s="207">
        <f>IF(AG699="Käytetty",0,Y699*O699*Alukset_fx!$K$61/1000)</f>
        <v>0</v>
      </c>
      <c r="AN699" s="213">
        <f t="shared" si="134"/>
        <v>0</v>
      </c>
    </row>
    <row r="700" spans="1:40" x14ac:dyDescent="0.25">
      <c r="A700" s="203">
        <f>Alukset_Käynnit!A707</f>
        <v>0</v>
      </c>
      <c r="B700" s="203">
        <f>Alukset_Käynnit!B707</f>
        <v>0</v>
      </c>
      <c r="C700" s="262">
        <f>Alukset_Käynnit!C707</f>
        <v>0</v>
      </c>
      <c r="D700" s="266">
        <f>Alukset_Käynnit!D707</f>
        <v>0</v>
      </c>
      <c r="E700" s="262">
        <f>Alukset_Käynnit!E707</f>
        <v>0</v>
      </c>
      <c r="F700" s="262">
        <f>Alukset_Käynnit!F707</f>
        <v>0</v>
      </c>
      <c r="G700" s="262">
        <f>Alukset_Käynnit!G707</f>
        <v>0</v>
      </c>
      <c r="H700" s="262">
        <f>Alukset_Käynnit!H707</f>
        <v>0</v>
      </c>
      <c r="I700" s="262">
        <f>Alukset_Käynnit!I707</f>
        <v>0</v>
      </c>
      <c r="J700" s="262">
        <f>Alukset_Käynnit!J707</f>
        <v>0</v>
      </c>
      <c r="K700" s="262">
        <f>Alukset_Käynnit!K707</f>
        <v>0</v>
      </c>
      <c r="L700" s="205">
        <f>Alukset_Käynnit!L707</f>
        <v>0</v>
      </c>
      <c r="N700" s="273">
        <f t="shared" si="135"/>
        <v>0</v>
      </c>
      <c r="O700" s="274">
        <f t="shared" si="136"/>
        <v>0</v>
      </c>
      <c r="Q700" s="204">
        <f t="shared" si="125"/>
        <v>0</v>
      </c>
      <c r="R700" s="202">
        <f>IF(Q700="Other dry cargo",L700*Alukset_fx!$B$71,IF(OR(Q700="Dry bulk",Q700="Bulk carrier"),L700*Alukset_fx!$B$69,IF(Q700="Tugboat",L700*Alukset_fx!$B$76,IF(OR(Q700="Tanker",Q700="Gas tanker",Q700="Chemical tanker",Q700="Oil tanker"),L700*Alukset_fx!$B$68,IF(OR(Q700="RoRo",Q700="Vehicle carrier"),L700*Alukset_fx!$B$72,IF(Q700="RoPax",L700*Alukset_fx!$B$73,IF(Q700="Container ship",L700*Alukset_fx!$B$70,IF(Q700="Barge",0,L700*Alukset_fx!$B$75))))))))</f>
        <v>0</v>
      </c>
      <c r="S700" s="210">
        <f>IF(L700=0,IF(Q700="Other dry cargo",Alukset_fx!$H$73*(Alukset_Käynnit_Lask!K700^Alukset_fx!$I$73),IF(OR(Q700="Dry Bulk",Q700="Bulk carrier"),Alukset_fx!$H$71*(Alukset_Käynnit_Lask!K700^Alukset_fx!$I$71),IF(Q700="Tugboat",Alukset_fx!$H$78*(Alukset_Käynnit_Lask!K700^Alukset_fx!$I$78),IF(OR(Q700="Tanker",Q700="Gas tanker",Q700="Chemical tanker",Q700="Oil tanker"),Alukset_fx!$H$70*(Alukset_Käynnit_Lask!K700^Alukset_fx!$I$70),IF(Q700="Container ship",Alukset_fx!$H$72*(Alukset_Käynnit_Lask!K700^Alukset_fx!$I$72),IF(Q700="Barge",0,IF(Q700="RoPax",Alukset_fx!$H$75*(Alukset_Käynnit_Lask!K700^Alukset_fx!$I$75),IF(OR(Q700="RoRo",Q700="Vehicle carrier"),Alukset_fx!$H$74*(Alukset_Käynnit_Lask!K700^Alukset_fx!$I$74),Alukset_fx!$H$77*(Alukset_Käynnit_Lask!K700^Alukset_fx!$I$77))))))))),"-")</f>
        <v>0</v>
      </c>
      <c r="T700" s="208">
        <f>IF(R700=0,IF(Q700="Other dry cargo",S700*Alukset_fx!$B$71,IF(OR(Q700="Dry bulk",Q700="Bulk carrier"),S700*Alukset_fx!$B$69,IF(Q700="Tugboat",S700*Alukset_fx!$B$76,IF(OR(Q700="Tanker",Q700="Gas tanker",Q700="Chemical tanker",Q700="Oil tanker"),S700*Alukset_fx!$B$68,IF(OR(Q700="RoRo",Q700="Vehicle carrier"),S700*Alukset_fx!$B$72,IF(Q700="RoPax",S700*Alukset_fx!$B$73,IF(Q700="Container ship",S700*Alukset_fx!$B$70,S700*Alukset_fx!$B$75))))))),"-")</f>
        <v>0</v>
      </c>
      <c r="U700" s="208">
        <f t="shared" si="126"/>
        <v>0</v>
      </c>
      <c r="V700" s="208">
        <f t="shared" si="127"/>
        <v>0</v>
      </c>
      <c r="W700" s="202">
        <f>Alukset_Käynnit!N707</f>
        <v>0</v>
      </c>
      <c r="X700" s="211">
        <f>IF(Q700="Other dry cargo", Alukset_fx!$C$52, IF(OR(Q700="Dry bulk",Q700="Bulk carrier"),Alukset_fx!$C$35,IF(OR(Q700="Tanker",Q700="Gas tanker",Q700="Oil tanker"),Alukset_fx!$C$57,IF(Q700="Chemical tanker",Alukset_fx!$C$56,IF(OR(Q700="Tugboat",Q700="Barge"),0,IF(Q700="Other vessel",Alukset_fx!$C$54,IF(Q700="Container ship",Alukset_fx!$C$37,IF(OR(Q700="RoPax",Q700="RoRo",Q700="Vehicle carrier"),Alukset_fx!$C$55,0))))))))</f>
        <v>0</v>
      </c>
      <c r="Y700" s="211">
        <f>IF(Q700="Other dry cargo", Alukset_fx!$Q$52, IF(OR(Q700="Dry bulk",Q700="Bulk carrier"),Alukset_fx!$Q$35,IF(OR(Q700="Tanker",Q700="Gas tanker",Q700="Oil tanker"),Alukset_fx!$Q$57,IF(Q700="Chemical tanker",Alukset_fx!$Q$56,IF(OR(Q700="Tugboat",Q700="Barge"),0,IF(Q700="Other vessel",Alukset_fx!$Q$54,IF(Q700="Container ship",Alukset_fx!$Q$37,IF(OR(Q700="RoPax",Q700="RoRo",Q700="Vehicle carrier"),Alukset_fx!$Q$55,0))))))))</f>
        <v>0</v>
      </c>
      <c r="Z700" t="str">
        <f t="shared" si="128"/>
        <v>MDO/MGO</v>
      </c>
      <c r="AA700" t="str">
        <f t="shared" si="129"/>
        <v>MSD</v>
      </c>
      <c r="AB700" t="str">
        <f t="shared" si="130"/>
        <v>MDO/MGO</v>
      </c>
      <c r="AC700" t="str">
        <f t="shared" si="131"/>
        <v>MSD</v>
      </c>
      <c r="AD700" t="str">
        <f t="shared" si="132"/>
        <v>MDO/MGO</v>
      </c>
      <c r="AE700" t="str">
        <f t="shared" si="133"/>
        <v>ST</v>
      </c>
      <c r="AG700">
        <f>Alukset_Käynnit!O707</f>
        <v>0</v>
      </c>
      <c r="AH700" s="207">
        <f>IF(AA700="SSD",((U700*Alukset_fx!$B$24)*Alukset_Käynnit_Lask!W700*(Alukset_fx!$K$49)/1000),IF(AA700="MSD",((U700*Alukset_fx!$B$24)*Alukset_Käynnit_Lask!W700*(Alukset_fx!$K$52)/1000),IF(AA700="HSD",((U700*Alukset_fx!$B$24)*Alukset_Käynnit_Lask!W700*(Alukset_fx!$K$55)/1000),0)))</f>
        <v>0</v>
      </c>
      <c r="AI700" s="207">
        <f>IF(AC700="MSD",((V700*Alukset_fx!$B$25)*Alukset_Käynnit_Lask!W700*(Alukset_fx!$L$52)/1000),IF(AC700="HSD",((V700*Alukset_fx!$B$25)*Alukset_Käynnit_Lask!W700*(Alukset_fx!$L$55)/1000),0))</f>
        <v>0</v>
      </c>
      <c r="AJ700" s="207">
        <f>X700*W700*Alukset_fx!$K$61/1000</f>
        <v>0</v>
      </c>
      <c r="AK700">
        <v>0</v>
      </c>
      <c r="AL700" s="207">
        <f>IF(AG700="Käytetty",0,IF(AC700="MSD",((V700*Alukset_fx!$O$25)*Alukset_Käynnit_Lask!O700*(Alukset_fx!$L$52)/1000),IF(AC700="HSD",((V700*Alukset_fx!$O$25)*Alukset_Käynnit_Lask!O700*(Alukset_fx!$L$55)/1000),0)))</f>
        <v>0</v>
      </c>
      <c r="AM700" s="207">
        <f>IF(AG700="Käytetty",0,Y700*O700*Alukset_fx!$K$61/1000)</f>
        <v>0</v>
      </c>
      <c r="AN700" s="213">
        <f t="shared" si="134"/>
        <v>0</v>
      </c>
    </row>
    <row r="701" spans="1:40" x14ac:dyDescent="0.25">
      <c r="A701" s="203">
        <f>Alukset_Käynnit!A708</f>
        <v>0</v>
      </c>
      <c r="B701" s="203">
        <f>Alukset_Käynnit!B708</f>
        <v>0</v>
      </c>
      <c r="C701" s="262">
        <f>Alukset_Käynnit!C708</f>
        <v>0</v>
      </c>
      <c r="D701" s="266">
        <f>Alukset_Käynnit!D708</f>
        <v>0</v>
      </c>
      <c r="E701" s="262">
        <f>Alukset_Käynnit!E708</f>
        <v>0</v>
      </c>
      <c r="F701" s="262">
        <f>Alukset_Käynnit!F708</f>
        <v>0</v>
      </c>
      <c r="G701" s="262">
        <f>Alukset_Käynnit!G708</f>
        <v>0</v>
      </c>
      <c r="H701" s="262">
        <f>Alukset_Käynnit!H708</f>
        <v>0</v>
      </c>
      <c r="I701" s="262">
        <f>Alukset_Käynnit!I708</f>
        <v>0</v>
      </c>
      <c r="J701" s="262">
        <f>Alukset_Käynnit!J708</f>
        <v>0</v>
      </c>
      <c r="K701" s="262">
        <f>Alukset_Käynnit!K708</f>
        <v>0</v>
      </c>
      <c r="L701" s="205">
        <f>Alukset_Käynnit!L708</f>
        <v>0</v>
      </c>
      <c r="N701" s="273">
        <f t="shared" si="135"/>
        <v>0</v>
      </c>
      <c r="O701" s="274">
        <f t="shared" si="136"/>
        <v>0</v>
      </c>
      <c r="Q701" s="204">
        <f t="shared" si="125"/>
        <v>0</v>
      </c>
      <c r="R701" s="202">
        <f>IF(Q701="Other dry cargo",L701*Alukset_fx!$B$71,IF(OR(Q701="Dry bulk",Q701="Bulk carrier"),L701*Alukset_fx!$B$69,IF(Q701="Tugboat",L701*Alukset_fx!$B$76,IF(OR(Q701="Tanker",Q701="Gas tanker",Q701="Chemical tanker",Q701="Oil tanker"),L701*Alukset_fx!$B$68,IF(OR(Q701="RoRo",Q701="Vehicle carrier"),L701*Alukset_fx!$B$72,IF(Q701="RoPax",L701*Alukset_fx!$B$73,IF(Q701="Container ship",L701*Alukset_fx!$B$70,IF(Q701="Barge",0,L701*Alukset_fx!$B$75))))))))</f>
        <v>0</v>
      </c>
      <c r="S701" s="210">
        <f>IF(L701=0,IF(Q701="Other dry cargo",Alukset_fx!$H$73*(Alukset_Käynnit_Lask!K701^Alukset_fx!$I$73),IF(OR(Q701="Dry Bulk",Q701="Bulk carrier"),Alukset_fx!$H$71*(Alukset_Käynnit_Lask!K701^Alukset_fx!$I$71),IF(Q701="Tugboat",Alukset_fx!$H$78*(Alukset_Käynnit_Lask!K701^Alukset_fx!$I$78),IF(OR(Q701="Tanker",Q701="Gas tanker",Q701="Chemical tanker",Q701="Oil tanker"),Alukset_fx!$H$70*(Alukset_Käynnit_Lask!K701^Alukset_fx!$I$70),IF(Q701="Container ship",Alukset_fx!$H$72*(Alukset_Käynnit_Lask!K701^Alukset_fx!$I$72),IF(Q701="Barge",0,IF(Q701="RoPax",Alukset_fx!$H$75*(Alukset_Käynnit_Lask!K701^Alukset_fx!$I$75),IF(OR(Q701="RoRo",Q701="Vehicle carrier"),Alukset_fx!$H$74*(Alukset_Käynnit_Lask!K701^Alukset_fx!$I$74),Alukset_fx!$H$77*(Alukset_Käynnit_Lask!K701^Alukset_fx!$I$77))))))))),"-")</f>
        <v>0</v>
      </c>
      <c r="T701" s="208">
        <f>IF(R701=0,IF(Q701="Other dry cargo",S701*Alukset_fx!$B$71,IF(OR(Q701="Dry bulk",Q701="Bulk carrier"),S701*Alukset_fx!$B$69,IF(Q701="Tugboat",S701*Alukset_fx!$B$76,IF(OR(Q701="Tanker",Q701="Gas tanker",Q701="Chemical tanker",Q701="Oil tanker"),S701*Alukset_fx!$B$68,IF(OR(Q701="RoRo",Q701="Vehicle carrier"),S701*Alukset_fx!$B$72,IF(Q701="RoPax",S701*Alukset_fx!$B$73,IF(Q701="Container ship",S701*Alukset_fx!$B$70,S701*Alukset_fx!$B$75))))))),"-")</f>
        <v>0</v>
      </c>
      <c r="U701" s="208">
        <f t="shared" si="126"/>
        <v>0</v>
      </c>
      <c r="V701" s="208">
        <f t="shared" si="127"/>
        <v>0</v>
      </c>
      <c r="W701" s="202">
        <f>Alukset_Käynnit!N708</f>
        <v>0</v>
      </c>
      <c r="X701" s="211">
        <f>IF(Q701="Other dry cargo", Alukset_fx!$C$52, IF(OR(Q701="Dry bulk",Q701="Bulk carrier"),Alukset_fx!$C$35,IF(OR(Q701="Tanker",Q701="Gas tanker",Q701="Oil tanker"),Alukset_fx!$C$57,IF(Q701="Chemical tanker",Alukset_fx!$C$56,IF(OR(Q701="Tugboat",Q701="Barge"),0,IF(Q701="Other vessel",Alukset_fx!$C$54,IF(Q701="Container ship",Alukset_fx!$C$37,IF(OR(Q701="RoPax",Q701="RoRo",Q701="Vehicle carrier"),Alukset_fx!$C$55,0))))))))</f>
        <v>0</v>
      </c>
      <c r="Y701" s="211">
        <f>IF(Q701="Other dry cargo", Alukset_fx!$Q$52, IF(OR(Q701="Dry bulk",Q701="Bulk carrier"),Alukset_fx!$Q$35,IF(OR(Q701="Tanker",Q701="Gas tanker",Q701="Oil tanker"),Alukset_fx!$Q$57,IF(Q701="Chemical tanker",Alukset_fx!$Q$56,IF(OR(Q701="Tugboat",Q701="Barge"),0,IF(Q701="Other vessel",Alukset_fx!$Q$54,IF(Q701="Container ship",Alukset_fx!$Q$37,IF(OR(Q701="RoPax",Q701="RoRo",Q701="Vehicle carrier"),Alukset_fx!$Q$55,0))))))))</f>
        <v>0</v>
      </c>
      <c r="Z701" t="str">
        <f t="shared" si="128"/>
        <v>MDO/MGO</v>
      </c>
      <c r="AA701" t="str">
        <f t="shared" si="129"/>
        <v>MSD</v>
      </c>
      <c r="AB701" t="str">
        <f t="shared" si="130"/>
        <v>MDO/MGO</v>
      </c>
      <c r="AC701" t="str">
        <f t="shared" si="131"/>
        <v>MSD</v>
      </c>
      <c r="AD701" t="str">
        <f t="shared" si="132"/>
        <v>MDO/MGO</v>
      </c>
      <c r="AE701" t="str">
        <f t="shared" si="133"/>
        <v>ST</v>
      </c>
      <c r="AG701">
        <f>Alukset_Käynnit!O708</f>
        <v>0</v>
      </c>
      <c r="AH701" s="207">
        <f>IF(AA701="SSD",((U701*Alukset_fx!$B$24)*Alukset_Käynnit_Lask!W701*(Alukset_fx!$K$49)/1000),IF(AA701="MSD",((U701*Alukset_fx!$B$24)*Alukset_Käynnit_Lask!W701*(Alukset_fx!$K$52)/1000),IF(AA701="HSD",((U701*Alukset_fx!$B$24)*Alukset_Käynnit_Lask!W701*(Alukset_fx!$K$55)/1000),0)))</f>
        <v>0</v>
      </c>
      <c r="AI701" s="207">
        <f>IF(AC701="MSD",((V701*Alukset_fx!$B$25)*Alukset_Käynnit_Lask!W701*(Alukset_fx!$L$52)/1000),IF(AC701="HSD",((V701*Alukset_fx!$B$25)*Alukset_Käynnit_Lask!W701*(Alukset_fx!$L$55)/1000),0))</f>
        <v>0</v>
      </c>
      <c r="AJ701" s="207">
        <f>X701*W701*Alukset_fx!$K$61/1000</f>
        <v>0</v>
      </c>
      <c r="AK701">
        <v>0</v>
      </c>
      <c r="AL701" s="207">
        <f>IF(AG701="Käytetty",0,IF(AC701="MSD",((V701*Alukset_fx!$O$25)*Alukset_Käynnit_Lask!O701*(Alukset_fx!$L$52)/1000),IF(AC701="HSD",((V701*Alukset_fx!$O$25)*Alukset_Käynnit_Lask!O701*(Alukset_fx!$L$55)/1000),0)))</f>
        <v>0</v>
      </c>
      <c r="AM701" s="207">
        <f>IF(AG701="Käytetty",0,Y701*O701*Alukset_fx!$K$61/1000)</f>
        <v>0</v>
      </c>
      <c r="AN701" s="213">
        <f t="shared" si="134"/>
        <v>0</v>
      </c>
    </row>
    <row r="702" spans="1:40" x14ac:dyDescent="0.25">
      <c r="D702" s="266"/>
    </row>
    <row r="703" spans="1:40" x14ac:dyDescent="0.25">
      <c r="D703" s="266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D3D3C-0B35-4815-90AC-626DF8CD77F7}">
  <sheetPr>
    <tabColor theme="8"/>
  </sheetPr>
  <dimension ref="A1:V708"/>
  <sheetViews>
    <sheetView showGridLines="0" showRowColHeaders="0" zoomScaleNormal="100" workbookViewId="0">
      <selection activeCell="B20" sqref="B20"/>
    </sheetView>
  </sheetViews>
  <sheetFormatPr defaultRowHeight="15" x14ac:dyDescent="0.25"/>
  <cols>
    <col min="1" max="1" width="20.7109375" customWidth="1"/>
    <col min="2" max="2" width="17.42578125" customWidth="1"/>
    <col min="3" max="3" width="14.7109375" customWidth="1"/>
    <col min="4" max="4" width="14" customWidth="1"/>
    <col min="5" max="5" width="18.140625" customWidth="1"/>
    <col min="6" max="6" width="13.5703125" customWidth="1"/>
    <col min="7" max="7" width="13.85546875" customWidth="1"/>
    <col min="8" max="8" width="23.5703125" customWidth="1"/>
    <col min="9" max="9" width="16.85546875" customWidth="1"/>
    <col min="10" max="10" width="22" customWidth="1"/>
    <col min="11" max="11" width="22.28515625" customWidth="1"/>
    <col min="12" max="12" width="19.42578125" customWidth="1"/>
    <col min="13" max="13" width="21.7109375" customWidth="1"/>
    <col min="14" max="14" width="19.140625" customWidth="1"/>
    <col min="15" max="15" width="16" customWidth="1"/>
    <col min="16" max="16" width="15.28515625" customWidth="1"/>
    <col min="17" max="17" width="17.85546875" customWidth="1"/>
    <col min="18" max="18" width="18.42578125" customWidth="1"/>
    <col min="19" max="21" width="14.28515625" customWidth="1"/>
    <col min="22" max="22" width="15.7109375" customWidth="1"/>
    <col min="23" max="24" width="16.42578125" customWidth="1"/>
    <col min="25" max="25" width="11.140625" customWidth="1"/>
    <col min="27" max="27" width="11.42578125" customWidth="1"/>
    <col min="29" max="29" width="13.28515625" customWidth="1"/>
    <col min="31" max="33" width="11.85546875" customWidth="1"/>
    <col min="34" max="35" width="13.7109375" customWidth="1"/>
    <col min="36" max="36" width="16.140625" customWidth="1"/>
    <col min="37" max="37" width="13.5703125" customWidth="1"/>
  </cols>
  <sheetData>
    <row r="1" spans="1:22" s="148" customFormat="1" ht="129" customHeight="1" x14ac:dyDescent="0.25"/>
    <row r="2" spans="1:22" s="1" customFormat="1" ht="35.25" customHeight="1" x14ac:dyDescent="0.4">
      <c r="A2" s="1" t="s">
        <v>102</v>
      </c>
      <c r="D2" s="199"/>
    </row>
    <row r="3" spans="1:22" s="200" customFormat="1" ht="27" customHeight="1" x14ac:dyDescent="0.3">
      <c r="A3" s="200" t="s">
        <v>84</v>
      </c>
      <c r="D3" s="200">
        <f>YHTEENVETO!D3</f>
        <v>2019</v>
      </c>
    </row>
    <row r="4" spans="1:22" s="209" customFormat="1" ht="18" x14ac:dyDescent="0.25">
      <c r="A4" s="232" t="str">
        <f>YHTEENVETO!A3</f>
        <v>X:n</v>
      </c>
      <c r="B4" s="233" t="s">
        <v>2</v>
      </c>
      <c r="D4" s="233" t="s">
        <v>307</v>
      </c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</row>
    <row r="5" spans="1:22" x14ac:dyDescent="0.25">
      <c r="A5" s="202"/>
      <c r="B5" s="202"/>
      <c r="C5" s="202"/>
      <c r="D5" s="202"/>
      <c r="E5" s="234"/>
      <c r="G5" s="202"/>
      <c r="H5" s="202"/>
      <c r="I5" s="202"/>
      <c r="J5" s="202"/>
      <c r="K5" s="202"/>
      <c r="L5" s="202"/>
      <c r="M5" s="202"/>
      <c r="N5" s="202"/>
      <c r="O5" s="202"/>
      <c r="R5" s="202"/>
    </row>
    <row r="6" spans="1:22" x14ac:dyDescent="0.25">
      <c r="A6" s="268" t="s">
        <v>893</v>
      </c>
      <c r="B6" s="268"/>
      <c r="C6" s="268"/>
      <c r="D6" s="268"/>
      <c r="E6" s="269"/>
      <c r="F6" s="5"/>
      <c r="G6" s="268"/>
      <c r="H6" s="268"/>
      <c r="I6" s="268"/>
      <c r="J6" s="268"/>
      <c r="K6" s="268"/>
      <c r="L6" s="268"/>
      <c r="M6" s="268"/>
      <c r="N6" s="268"/>
      <c r="O6" s="268"/>
      <c r="R6" s="202"/>
    </row>
    <row r="7" spans="1:22" x14ac:dyDescent="0.25">
      <c r="A7" s="268" t="s">
        <v>308</v>
      </c>
      <c r="B7" s="268"/>
      <c r="C7" s="268"/>
      <c r="D7" s="268"/>
      <c r="E7" s="269"/>
      <c r="F7" s="5"/>
      <c r="G7" s="268"/>
      <c r="H7" s="268"/>
      <c r="I7" s="268"/>
      <c r="J7" s="268"/>
      <c r="K7" s="268"/>
      <c r="L7" s="268"/>
      <c r="M7" s="268"/>
      <c r="N7" s="268"/>
      <c r="O7" s="268"/>
      <c r="R7" s="202"/>
    </row>
    <row r="8" spans="1:22" x14ac:dyDescent="0.25">
      <c r="A8" s="268" t="s">
        <v>894</v>
      </c>
      <c r="B8" s="268"/>
      <c r="C8" s="268"/>
      <c r="D8" s="268"/>
      <c r="E8" s="269"/>
      <c r="F8" s="5"/>
      <c r="G8" s="268"/>
      <c r="H8" s="268"/>
      <c r="I8" s="268"/>
      <c r="J8" s="268"/>
      <c r="K8" s="268"/>
      <c r="L8" s="268"/>
      <c r="M8" s="268"/>
      <c r="N8" s="268"/>
      <c r="O8" s="268"/>
      <c r="R8" s="202"/>
    </row>
    <row r="9" spans="1:22" x14ac:dyDescent="0.25">
      <c r="A9" s="268" t="s">
        <v>895</v>
      </c>
      <c r="B9" s="268"/>
      <c r="C9" s="268"/>
      <c r="D9" s="268"/>
      <c r="E9" s="269"/>
      <c r="F9" s="5"/>
      <c r="G9" s="268"/>
      <c r="H9" s="268"/>
      <c r="I9" s="268"/>
      <c r="J9" s="268"/>
      <c r="K9" s="268"/>
      <c r="L9" s="268"/>
      <c r="M9" s="268"/>
      <c r="N9" s="268"/>
      <c r="O9" s="268"/>
      <c r="R9" s="202"/>
    </row>
    <row r="10" spans="1:22" x14ac:dyDescent="0.25">
      <c r="A10" s="268" t="s">
        <v>309</v>
      </c>
      <c r="B10" s="268"/>
      <c r="C10" s="268"/>
      <c r="D10" s="268"/>
      <c r="E10" s="269"/>
      <c r="F10" s="5"/>
      <c r="G10" s="268"/>
      <c r="H10" s="268"/>
      <c r="I10" s="268"/>
      <c r="J10" s="268"/>
      <c r="K10" s="268"/>
      <c r="L10" s="268"/>
      <c r="M10" s="268"/>
      <c r="N10" s="268"/>
      <c r="O10" s="268"/>
      <c r="R10" s="202"/>
    </row>
    <row r="11" spans="1:22" x14ac:dyDescent="0.25">
      <c r="A11" s="268" t="s">
        <v>310</v>
      </c>
      <c r="B11" s="268"/>
      <c r="C11" s="268"/>
      <c r="D11" s="268"/>
      <c r="E11" s="269"/>
      <c r="F11" s="5"/>
      <c r="G11" s="268"/>
      <c r="H11" s="268"/>
      <c r="I11" s="268"/>
      <c r="J11" s="268"/>
      <c r="K11" s="268"/>
      <c r="L11" s="268"/>
      <c r="M11" s="268"/>
      <c r="N11" s="268"/>
      <c r="O11" s="268"/>
      <c r="R11" s="202"/>
    </row>
    <row r="12" spans="1:22" x14ac:dyDescent="0.25">
      <c r="A12" s="268" t="s">
        <v>896</v>
      </c>
      <c r="B12" s="268"/>
      <c r="C12" s="268"/>
      <c r="D12" s="268"/>
      <c r="E12" s="269"/>
      <c r="F12" s="5"/>
      <c r="G12" s="268"/>
      <c r="H12" s="268"/>
      <c r="I12" s="268"/>
      <c r="J12" s="268"/>
      <c r="K12" s="268"/>
      <c r="L12" s="268"/>
      <c r="M12" s="268"/>
      <c r="N12" s="268"/>
      <c r="O12" s="268"/>
      <c r="R12" s="202"/>
    </row>
    <row r="13" spans="1:22" x14ac:dyDescent="0.25">
      <c r="A13" s="268" t="s">
        <v>311</v>
      </c>
      <c r="B13" s="268"/>
      <c r="C13" s="268"/>
      <c r="D13" s="268"/>
      <c r="E13" s="269"/>
      <c r="F13" s="5"/>
      <c r="G13" s="268"/>
      <c r="H13" s="268"/>
      <c r="I13" s="268"/>
      <c r="J13" s="268"/>
      <c r="K13" s="268"/>
      <c r="L13" s="268"/>
      <c r="M13" s="268"/>
      <c r="N13" s="268"/>
      <c r="O13" s="268"/>
      <c r="R13" s="202"/>
    </row>
    <row r="14" spans="1:22" x14ac:dyDescent="0.25">
      <c r="A14" s="202"/>
      <c r="B14" s="202"/>
      <c r="C14" s="202"/>
      <c r="D14" s="202"/>
      <c r="E14" s="234"/>
      <c r="G14" s="202"/>
      <c r="H14" s="202"/>
      <c r="I14" s="202"/>
      <c r="J14" s="202"/>
      <c r="K14" s="202"/>
      <c r="L14" s="202"/>
      <c r="M14" s="202"/>
      <c r="N14" s="202"/>
      <c r="O14" s="202"/>
      <c r="R14" s="202"/>
    </row>
    <row r="15" spans="1:22" x14ac:dyDescent="0.25">
      <c r="A15" s="202"/>
      <c r="B15" s="202"/>
      <c r="C15" s="202"/>
      <c r="D15" s="202"/>
      <c r="E15" s="234"/>
      <c r="G15" s="202"/>
      <c r="H15" s="202"/>
      <c r="I15" s="202"/>
      <c r="J15" s="202"/>
      <c r="K15" s="202"/>
      <c r="L15" s="202"/>
      <c r="M15" s="202"/>
      <c r="N15" s="202"/>
      <c r="O15" s="202"/>
      <c r="R15" s="202"/>
    </row>
    <row r="16" spans="1:22" ht="15.75" x14ac:dyDescent="0.25">
      <c r="A16" s="238" t="s">
        <v>271</v>
      </c>
      <c r="B16" s="216"/>
      <c r="C16" s="216"/>
      <c r="D16" s="216"/>
      <c r="E16" s="270"/>
      <c r="G16" s="202"/>
      <c r="H16" s="202"/>
      <c r="I16" s="202"/>
      <c r="J16" s="202"/>
      <c r="K16" s="202"/>
      <c r="L16" s="202"/>
      <c r="M16" s="202"/>
      <c r="N16" s="202"/>
      <c r="O16" s="202"/>
      <c r="R16" s="202"/>
    </row>
    <row r="17" spans="1:18" x14ac:dyDescent="0.25">
      <c r="A17" s="251" t="s">
        <v>272</v>
      </c>
      <c r="B17" s="236"/>
      <c r="C17" s="236"/>
      <c r="D17" s="236"/>
      <c r="E17" s="202"/>
      <c r="G17" s="202"/>
      <c r="H17" s="202"/>
      <c r="I17" s="202"/>
      <c r="J17" s="202"/>
      <c r="K17" s="202"/>
      <c r="L17" s="202"/>
      <c r="M17" s="202"/>
      <c r="N17" s="202"/>
      <c r="O17" s="202"/>
      <c r="R17" s="202"/>
    </row>
    <row r="18" spans="1:18" ht="15.75" customHeight="1" x14ac:dyDescent="0.25">
      <c r="A18" s="303" t="s">
        <v>312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N18" s="303" t="s">
        <v>313</v>
      </c>
      <c r="O18" s="301"/>
    </row>
    <row r="19" spans="1:18" ht="45" customHeight="1" x14ac:dyDescent="0.25">
      <c r="A19" s="267" t="s">
        <v>273</v>
      </c>
      <c r="B19" s="267" t="s">
        <v>274</v>
      </c>
      <c r="C19" s="263" t="s">
        <v>275</v>
      </c>
      <c r="D19" s="267" t="s">
        <v>276</v>
      </c>
      <c r="E19" s="263" t="s">
        <v>277</v>
      </c>
      <c r="F19" s="263" t="s">
        <v>278</v>
      </c>
      <c r="G19" s="263" t="s">
        <v>279</v>
      </c>
      <c r="H19" s="263" t="s">
        <v>222</v>
      </c>
      <c r="I19" s="264" t="s">
        <v>280</v>
      </c>
      <c r="J19" s="264" t="s">
        <v>314</v>
      </c>
      <c r="K19" s="267" t="s">
        <v>282</v>
      </c>
      <c r="L19" s="267" t="s">
        <v>315</v>
      </c>
      <c r="N19" s="267" t="s">
        <v>897</v>
      </c>
      <c r="O19" s="267" t="s">
        <v>859</v>
      </c>
    </row>
    <row r="20" spans="1:18" x14ac:dyDescent="0.25">
      <c r="A20" s="280"/>
      <c r="B20" s="280"/>
      <c r="C20" s="281"/>
      <c r="D20" s="282"/>
      <c r="E20" s="281"/>
      <c r="F20" s="281"/>
      <c r="G20" s="281"/>
      <c r="H20" s="281"/>
      <c r="I20" s="283"/>
      <c r="J20" s="284"/>
      <c r="K20" s="285"/>
      <c r="L20" s="287"/>
      <c r="N20" s="20"/>
      <c r="O20" s="20"/>
    </row>
    <row r="21" spans="1:18" x14ac:dyDescent="0.25">
      <c r="A21" s="286"/>
      <c r="B21" s="286"/>
      <c r="C21" s="281"/>
      <c r="D21" s="282"/>
      <c r="E21" s="281"/>
      <c r="F21" s="281"/>
      <c r="G21" s="281"/>
      <c r="H21" s="281"/>
      <c r="I21" s="283"/>
      <c r="J21" s="284"/>
      <c r="K21" s="285"/>
      <c r="L21" s="287"/>
      <c r="N21" s="20"/>
      <c r="O21" s="20"/>
    </row>
    <row r="22" spans="1:18" x14ac:dyDescent="0.25">
      <c r="A22" s="286"/>
      <c r="B22" s="286"/>
      <c r="C22" s="281"/>
      <c r="D22" s="282"/>
      <c r="E22" s="281"/>
      <c r="F22" s="281"/>
      <c r="G22" s="281"/>
      <c r="H22" s="281"/>
      <c r="I22" s="283"/>
      <c r="J22" s="284"/>
      <c r="K22" s="285"/>
      <c r="L22" s="287"/>
      <c r="N22" s="20"/>
      <c r="O22" s="20"/>
    </row>
    <row r="23" spans="1:18" x14ac:dyDescent="0.25">
      <c r="A23" s="286"/>
      <c r="B23" s="286"/>
      <c r="C23" s="281"/>
      <c r="D23" s="282"/>
      <c r="E23" s="281"/>
      <c r="F23" s="281"/>
      <c r="G23" s="281"/>
      <c r="H23" s="281"/>
      <c r="I23" s="283"/>
      <c r="J23" s="284"/>
      <c r="K23" s="285"/>
      <c r="L23" s="287"/>
      <c r="N23" s="20"/>
      <c r="O23" s="20"/>
    </row>
    <row r="24" spans="1:18" x14ac:dyDescent="0.25">
      <c r="A24" s="288"/>
      <c r="B24" s="288"/>
      <c r="C24" s="289"/>
      <c r="D24" s="290"/>
      <c r="E24" s="289"/>
      <c r="F24" s="289"/>
      <c r="G24" s="289"/>
      <c r="H24" s="289"/>
      <c r="I24" s="291"/>
      <c r="J24" s="292"/>
      <c r="K24" s="293"/>
      <c r="L24" s="287"/>
      <c r="N24" s="20"/>
      <c r="O24" s="20"/>
    </row>
    <row r="25" spans="1:18" x14ac:dyDescent="0.25">
      <c r="A25" s="286"/>
      <c r="B25" s="286"/>
      <c r="C25" s="281"/>
      <c r="D25" s="282"/>
      <c r="E25" s="281"/>
      <c r="F25" s="281"/>
      <c r="G25" s="281"/>
      <c r="H25" s="281"/>
      <c r="I25" s="283"/>
      <c r="J25" s="284"/>
      <c r="K25" s="285"/>
      <c r="L25" s="287"/>
      <c r="N25" s="20"/>
      <c r="O25" s="20"/>
    </row>
    <row r="26" spans="1:18" x14ac:dyDescent="0.25">
      <c r="A26" s="288"/>
      <c r="B26" s="288"/>
      <c r="C26" s="289"/>
      <c r="D26" s="290"/>
      <c r="E26" s="289"/>
      <c r="F26" s="289"/>
      <c r="G26" s="289"/>
      <c r="H26" s="289"/>
      <c r="I26" s="291"/>
      <c r="J26" s="292"/>
      <c r="K26" s="293"/>
      <c r="L26" s="287"/>
      <c r="N26" s="20"/>
      <c r="O26" s="20"/>
    </row>
    <row r="27" spans="1:18" x14ac:dyDescent="0.25">
      <c r="A27" s="286"/>
      <c r="B27" s="286"/>
      <c r="C27" s="281"/>
      <c r="D27" s="282"/>
      <c r="E27" s="281"/>
      <c r="F27" s="281"/>
      <c r="G27" s="281"/>
      <c r="H27" s="281"/>
      <c r="I27" s="283"/>
      <c r="J27" s="284"/>
      <c r="K27" s="285"/>
      <c r="L27" s="287"/>
      <c r="N27" s="20"/>
      <c r="O27" s="20"/>
    </row>
    <row r="28" spans="1:18" x14ac:dyDescent="0.25">
      <c r="A28" s="286"/>
      <c r="B28" s="286"/>
      <c r="C28" s="281"/>
      <c r="D28" s="282"/>
      <c r="E28" s="281"/>
      <c r="F28" s="281"/>
      <c r="G28" s="281"/>
      <c r="H28" s="281"/>
      <c r="I28" s="283"/>
      <c r="J28" s="284"/>
      <c r="K28" s="285"/>
      <c r="L28" s="287"/>
      <c r="N28" s="20"/>
      <c r="O28" s="20"/>
    </row>
    <row r="29" spans="1:18" x14ac:dyDescent="0.25">
      <c r="A29" s="286"/>
      <c r="B29" s="286"/>
      <c r="C29" s="281"/>
      <c r="D29" s="282"/>
      <c r="E29" s="281"/>
      <c r="F29" s="281"/>
      <c r="G29" s="281"/>
      <c r="H29" s="281"/>
      <c r="I29" s="283"/>
      <c r="J29" s="284"/>
      <c r="K29" s="285"/>
      <c r="L29" s="287"/>
      <c r="N29" s="20"/>
      <c r="O29" s="20"/>
    </row>
    <row r="30" spans="1:18" x14ac:dyDescent="0.25">
      <c r="A30" s="286"/>
      <c r="B30" s="286"/>
      <c r="C30" s="281"/>
      <c r="D30" s="282"/>
      <c r="E30" s="281"/>
      <c r="F30" s="281"/>
      <c r="G30" s="281"/>
      <c r="H30" s="281"/>
      <c r="I30" s="283"/>
      <c r="J30" s="284"/>
      <c r="K30" s="285"/>
      <c r="L30" s="287"/>
      <c r="N30" s="20"/>
      <c r="O30" s="20"/>
    </row>
    <row r="31" spans="1:18" x14ac:dyDescent="0.25">
      <c r="A31" s="288"/>
      <c r="B31" s="288"/>
      <c r="C31" s="289"/>
      <c r="D31" s="290"/>
      <c r="E31" s="289"/>
      <c r="F31" s="289"/>
      <c r="G31" s="289"/>
      <c r="H31" s="289"/>
      <c r="I31" s="291"/>
      <c r="J31" s="292"/>
      <c r="K31" s="293"/>
      <c r="L31" s="287"/>
      <c r="N31" s="20"/>
      <c r="O31" s="20"/>
    </row>
    <row r="32" spans="1:18" x14ac:dyDescent="0.25">
      <c r="A32" s="286"/>
      <c r="B32" s="286"/>
      <c r="C32" s="281"/>
      <c r="D32" s="282"/>
      <c r="E32" s="281"/>
      <c r="F32" s="281"/>
      <c r="G32" s="281"/>
      <c r="H32" s="281"/>
      <c r="I32" s="283"/>
      <c r="J32" s="284"/>
      <c r="K32" s="285"/>
      <c r="L32" s="287"/>
      <c r="N32" s="20"/>
      <c r="O32" s="20"/>
    </row>
    <row r="33" spans="1:15" x14ac:dyDescent="0.25">
      <c r="A33" s="286"/>
      <c r="B33" s="286"/>
      <c r="C33" s="281"/>
      <c r="D33" s="282"/>
      <c r="E33" s="281"/>
      <c r="F33" s="281"/>
      <c r="G33" s="281"/>
      <c r="H33" s="281"/>
      <c r="I33" s="283"/>
      <c r="J33" s="284"/>
      <c r="K33" s="285"/>
      <c r="L33" s="287"/>
      <c r="N33" s="20"/>
      <c r="O33" s="20"/>
    </row>
    <row r="34" spans="1:15" x14ac:dyDescent="0.25">
      <c r="A34" s="288"/>
      <c r="B34" s="288"/>
      <c r="C34" s="289"/>
      <c r="D34" s="290"/>
      <c r="E34" s="289"/>
      <c r="F34" s="289"/>
      <c r="G34" s="289"/>
      <c r="H34" s="289"/>
      <c r="I34" s="291"/>
      <c r="J34" s="292"/>
      <c r="K34" s="293"/>
      <c r="L34" s="287"/>
      <c r="N34" s="20"/>
      <c r="O34" s="20"/>
    </row>
    <row r="35" spans="1:15" x14ac:dyDescent="0.25">
      <c r="A35" s="286"/>
      <c r="B35" s="286"/>
      <c r="C35" s="281"/>
      <c r="D35" s="282"/>
      <c r="E35" s="281"/>
      <c r="F35" s="281"/>
      <c r="G35" s="281"/>
      <c r="H35" s="281"/>
      <c r="I35" s="283"/>
      <c r="J35" s="284"/>
      <c r="K35" s="285"/>
      <c r="L35" s="287"/>
      <c r="N35" s="20"/>
      <c r="O35" s="20"/>
    </row>
    <row r="36" spans="1:15" x14ac:dyDescent="0.25">
      <c r="A36" s="286"/>
      <c r="B36" s="286"/>
      <c r="C36" s="281"/>
      <c r="D36" s="282"/>
      <c r="E36" s="281"/>
      <c r="F36" s="281"/>
      <c r="G36" s="281"/>
      <c r="H36" s="281"/>
      <c r="I36" s="283"/>
      <c r="J36" s="284"/>
      <c r="K36" s="285"/>
      <c r="L36" s="287"/>
      <c r="N36" s="20"/>
      <c r="O36" s="20"/>
    </row>
    <row r="37" spans="1:15" x14ac:dyDescent="0.25">
      <c r="A37" s="288"/>
      <c r="B37" s="288"/>
      <c r="C37" s="289"/>
      <c r="D37" s="290"/>
      <c r="E37" s="289"/>
      <c r="F37" s="289"/>
      <c r="G37" s="289"/>
      <c r="H37" s="289"/>
      <c r="I37" s="291"/>
      <c r="J37" s="292"/>
      <c r="K37" s="293"/>
      <c r="L37" s="287"/>
      <c r="N37" s="20"/>
      <c r="O37" s="20"/>
    </row>
    <row r="38" spans="1:15" x14ac:dyDescent="0.25">
      <c r="A38" s="288"/>
      <c r="B38" s="288"/>
      <c r="C38" s="289"/>
      <c r="D38" s="290"/>
      <c r="E38" s="289"/>
      <c r="F38" s="289"/>
      <c r="G38" s="289"/>
      <c r="H38" s="289"/>
      <c r="I38" s="291"/>
      <c r="J38" s="292"/>
      <c r="K38" s="293"/>
      <c r="L38" s="287"/>
      <c r="N38" s="20"/>
      <c r="O38" s="20"/>
    </row>
    <row r="39" spans="1:15" x14ac:dyDescent="0.25">
      <c r="A39" s="286"/>
      <c r="B39" s="286"/>
      <c r="C39" s="281"/>
      <c r="D39" s="282"/>
      <c r="E39" s="281"/>
      <c r="F39" s="281"/>
      <c r="G39" s="281"/>
      <c r="H39" s="281"/>
      <c r="I39" s="283"/>
      <c r="J39" s="284"/>
      <c r="K39" s="285"/>
      <c r="L39" s="287"/>
      <c r="N39" s="20"/>
      <c r="O39" s="20"/>
    </row>
    <row r="40" spans="1:15" x14ac:dyDescent="0.25">
      <c r="A40" s="288"/>
      <c r="B40" s="288"/>
      <c r="C40" s="289"/>
      <c r="D40" s="290"/>
      <c r="E40" s="289"/>
      <c r="F40" s="289"/>
      <c r="G40" s="289"/>
      <c r="H40" s="289"/>
      <c r="I40" s="291"/>
      <c r="J40" s="292"/>
      <c r="K40" s="293"/>
      <c r="L40" s="287"/>
      <c r="N40" s="20"/>
      <c r="O40" s="20"/>
    </row>
    <row r="41" spans="1:15" x14ac:dyDescent="0.25">
      <c r="A41" s="286"/>
      <c r="B41" s="286"/>
      <c r="C41" s="281"/>
      <c r="D41" s="282"/>
      <c r="E41" s="281"/>
      <c r="F41" s="281"/>
      <c r="G41" s="281"/>
      <c r="H41" s="281"/>
      <c r="I41" s="283"/>
      <c r="J41" s="284"/>
      <c r="K41" s="285"/>
      <c r="L41" s="287"/>
      <c r="N41" s="20"/>
      <c r="O41" s="20"/>
    </row>
    <row r="42" spans="1:15" x14ac:dyDescent="0.25">
      <c r="A42" s="288"/>
      <c r="B42" s="288"/>
      <c r="C42" s="289"/>
      <c r="D42" s="290"/>
      <c r="E42" s="289"/>
      <c r="F42" s="289"/>
      <c r="G42" s="289"/>
      <c r="H42" s="289"/>
      <c r="I42" s="291"/>
      <c r="J42" s="292"/>
      <c r="K42" s="293"/>
      <c r="L42" s="287"/>
      <c r="N42" s="20"/>
      <c r="O42" s="20"/>
    </row>
    <row r="43" spans="1:15" x14ac:dyDescent="0.25">
      <c r="A43" s="286"/>
      <c r="B43" s="286"/>
      <c r="C43" s="281"/>
      <c r="D43" s="282"/>
      <c r="E43" s="281"/>
      <c r="F43" s="281"/>
      <c r="G43" s="281"/>
      <c r="H43" s="281"/>
      <c r="I43" s="283"/>
      <c r="J43" s="284"/>
      <c r="K43" s="285"/>
      <c r="L43" s="287"/>
      <c r="N43" s="20"/>
      <c r="O43" s="20"/>
    </row>
    <row r="44" spans="1:15" x14ac:dyDescent="0.25">
      <c r="A44" s="286"/>
      <c r="B44" s="286"/>
      <c r="C44" s="281"/>
      <c r="D44" s="282"/>
      <c r="E44" s="281"/>
      <c r="F44" s="281"/>
      <c r="G44" s="281"/>
      <c r="H44" s="281"/>
      <c r="I44" s="283"/>
      <c r="J44" s="284"/>
      <c r="K44" s="285"/>
      <c r="L44" s="287"/>
      <c r="N44" s="20"/>
      <c r="O44" s="20"/>
    </row>
    <row r="45" spans="1:15" x14ac:dyDescent="0.25">
      <c r="A45" s="286"/>
      <c r="B45" s="286"/>
      <c r="C45" s="281"/>
      <c r="D45" s="282"/>
      <c r="E45" s="281"/>
      <c r="F45" s="281"/>
      <c r="G45" s="281"/>
      <c r="H45" s="281"/>
      <c r="I45" s="283"/>
      <c r="J45" s="284"/>
      <c r="K45" s="285"/>
      <c r="L45" s="287"/>
      <c r="N45" s="20"/>
      <c r="O45" s="20"/>
    </row>
    <row r="46" spans="1:15" x14ac:dyDescent="0.25">
      <c r="A46" s="286"/>
      <c r="B46" s="286"/>
      <c r="C46" s="281"/>
      <c r="D46" s="282"/>
      <c r="E46" s="281"/>
      <c r="F46" s="281"/>
      <c r="G46" s="281"/>
      <c r="H46" s="281"/>
      <c r="I46" s="283"/>
      <c r="J46" s="284"/>
      <c r="K46" s="285"/>
      <c r="L46" s="287"/>
      <c r="N46" s="20"/>
      <c r="O46" s="20"/>
    </row>
    <row r="47" spans="1:15" x14ac:dyDescent="0.25">
      <c r="A47" s="286"/>
      <c r="B47" s="286"/>
      <c r="C47" s="281"/>
      <c r="D47" s="282"/>
      <c r="E47" s="281"/>
      <c r="F47" s="281"/>
      <c r="G47" s="281"/>
      <c r="H47" s="281"/>
      <c r="I47" s="283"/>
      <c r="J47" s="284"/>
      <c r="K47" s="285"/>
      <c r="L47" s="287"/>
      <c r="N47" s="20"/>
      <c r="O47" s="20"/>
    </row>
    <row r="48" spans="1:15" x14ac:dyDescent="0.25">
      <c r="A48" s="286"/>
      <c r="B48" s="286"/>
      <c r="C48" s="281"/>
      <c r="D48" s="282"/>
      <c r="E48" s="281"/>
      <c r="F48" s="281"/>
      <c r="G48" s="281"/>
      <c r="H48" s="281"/>
      <c r="I48" s="283"/>
      <c r="J48" s="284"/>
      <c r="K48" s="285"/>
      <c r="L48" s="287"/>
      <c r="N48" s="20"/>
      <c r="O48" s="20"/>
    </row>
    <row r="49" spans="1:15" x14ac:dyDescent="0.25">
      <c r="A49" s="286"/>
      <c r="B49" s="286"/>
      <c r="C49" s="281"/>
      <c r="D49" s="282"/>
      <c r="E49" s="281"/>
      <c r="F49" s="281"/>
      <c r="G49" s="281"/>
      <c r="H49" s="281"/>
      <c r="I49" s="283"/>
      <c r="J49" s="284"/>
      <c r="K49" s="285"/>
      <c r="L49" s="287"/>
      <c r="N49" s="20"/>
      <c r="O49" s="20"/>
    </row>
    <row r="50" spans="1:15" x14ac:dyDescent="0.25">
      <c r="A50" s="294"/>
      <c r="B50" s="294"/>
      <c r="C50" s="295"/>
      <c r="D50" s="296"/>
      <c r="E50" s="295"/>
      <c r="F50" s="295"/>
      <c r="G50" s="295"/>
      <c r="H50" s="295"/>
      <c r="I50" s="297"/>
      <c r="J50" s="298"/>
      <c r="K50" s="299"/>
      <c r="L50" s="287"/>
      <c r="N50" s="20"/>
      <c r="O50" s="20"/>
    </row>
    <row r="51" spans="1:15" x14ac:dyDescent="0.25">
      <c r="A51" s="288"/>
      <c r="B51" s="288"/>
      <c r="C51" s="289"/>
      <c r="D51" s="290"/>
      <c r="E51" s="289"/>
      <c r="F51" s="289"/>
      <c r="G51" s="289"/>
      <c r="H51" s="289"/>
      <c r="I51" s="291"/>
      <c r="J51" s="292"/>
      <c r="K51" s="293"/>
      <c r="L51" s="287"/>
      <c r="N51" s="20"/>
      <c r="O51" s="20"/>
    </row>
    <row r="52" spans="1:15" x14ac:dyDescent="0.25">
      <c r="A52" s="294"/>
      <c r="B52" s="294"/>
      <c r="C52" s="295"/>
      <c r="D52" s="296"/>
      <c r="E52" s="295"/>
      <c r="F52" s="295"/>
      <c r="G52" s="295"/>
      <c r="H52" s="295"/>
      <c r="I52" s="297"/>
      <c r="J52" s="298"/>
      <c r="K52" s="299"/>
      <c r="L52" s="287"/>
      <c r="N52" s="20"/>
      <c r="O52" s="20"/>
    </row>
    <row r="53" spans="1:15" x14ac:dyDescent="0.25">
      <c r="A53" s="286"/>
      <c r="B53" s="286"/>
      <c r="C53" s="281"/>
      <c r="D53" s="282"/>
      <c r="E53" s="281"/>
      <c r="F53" s="281"/>
      <c r="G53" s="281"/>
      <c r="H53" s="281"/>
      <c r="I53" s="283"/>
      <c r="J53" s="284"/>
      <c r="K53" s="285"/>
      <c r="L53" s="287"/>
      <c r="N53" s="20"/>
      <c r="O53" s="20"/>
    </row>
    <row r="54" spans="1:15" x14ac:dyDescent="0.25">
      <c r="A54" s="288"/>
      <c r="B54" s="288"/>
      <c r="C54" s="289"/>
      <c r="D54" s="290"/>
      <c r="E54" s="289"/>
      <c r="F54" s="289"/>
      <c r="G54" s="289"/>
      <c r="H54" s="289"/>
      <c r="I54" s="291"/>
      <c r="J54" s="292"/>
      <c r="K54" s="293"/>
      <c r="L54" s="287"/>
      <c r="N54" s="20"/>
      <c r="O54" s="20"/>
    </row>
    <row r="55" spans="1:15" x14ac:dyDescent="0.25">
      <c r="A55" s="286"/>
      <c r="B55" s="286"/>
      <c r="C55" s="281"/>
      <c r="D55" s="282"/>
      <c r="E55" s="281"/>
      <c r="F55" s="281"/>
      <c r="G55" s="281"/>
      <c r="H55" s="281"/>
      <c r="I55" s="283"/>
      <c r="J55" s="284"/>
      <c r="K55" s="285"/>
      <c r="L55" s="287"/>
      <c r="N55" s="20"/>
      <c r="O55" s="20"/>
    </row>
    <row r="56" spans="1:15" x14ac:dyDescent="0.25">
      <c r="A56" s="286"/>
      <c r="B56" s="286"/>
      <c r="C56" s="281"/>
      <c r="D56" s="282"/>
      <c r="E56" s="281"/>
      <c r="F56" s="281"/>
      <c r="G56" s="281"/>
      <c r="H56" s="281"/>
      <c r="I56" s="283"/>
      <c r="J56" s="284"/>
      <c r="K56" s="285"/>
      <c r="L56" s="287"/>
      <c r="N56" s="20"/>
      <c r="O56" s="20"/>
    </row>
    <row r="57" spans="1:15" x14ac:dyDescent="0.25">
      <c r="A57" s="286"/>
      <c r="B57" s="286"/>
      <c r="C57" s="281"/>
      <c r="D57" s="282"/>
      <c r="E57" s="281"/>
      <c r="F57" s="281"/>
      <c r="G57" s="281"/>
      <c r="H57" s="281"/>
      <c r="I57" s="283"/>
      <c r="J57" s="284"/>
      <c r="K57" s="285"/>
      <c r="L57" s="287"/>
      <c r="N57" s="20"/>
      <c r="O57" s="20"/>
    </row>
    <row r="58" spans="1:15" x14ac:dyDescent="0.25">
      <c r="A58" s="288"/>
      <c r="B58" s="288"/>
      <c r="C58" s="289"/>
      <c r="D58" s="290"/>
      <c r="E58" s="289"/>
      <c r="F58" s="289"/>
      <c r="G58" s="289"/>
      <c r="H58" s="289"/>
      <c r="I58" s="291"/>
      <c r="J58" s="292"/>
      <c r="K58" s="293"/>
      <c r="L58" s="287"/>
      <c r="N58" s="20"/>
      <c r="O58" s="20"/>
    </row>
    <row r="59" spans="1:15" x14ac:dyDescent="0.25">
      <c r="A59" s="286"/>
      <c r="B59" s="286"/>
      <c r="C59" s="281"/>
      <c r="D59" s="282"/>
      <c r="E59" s="281"/>
      <c r="F59" s="281"/>
      <c r="G59" s="281"/>
      <c r="H59" s="281"/>
      <c r="I59" s="283"/>
      <c r="J59" s="284"/>
      <c r="K59" s="285"/>
      <c r="L59" s="287"/>
      <c r="N59" s="20"/>
      <c r="O59" s="20"/>
    </row>
    <row r="60" spans="1:15" x14ac:dyDescent="0.25">
      <c r="A60" s="286"/>
      <c r="B60" s="286"/>
      <c r="C60" s="281"/>
      <c r="D60" s="282"/>
      <c r="E60" s="281"/>
      <c r="F60" s="281"/>
      <c r="G60" s="281"/>
      <c r="H60" s="281"/>
      <c r="I60" s="283"/>
      <c r="J60" s="284"/>
      <c r="K60" s="285"/>
      <c r="L60" s="287"/>
      <c r="N60" s="20"/>
      <c r="O60" s="20"/>
    </row>
    <row r="61" spans="1:15" x14ac:dyDescent="0.25">
      <c r="A61" s="286"/>
      <c r="B61" s="286"/>
      <c r="C61" s="281"/>
      <c r="D61" s="282"/>
      <c r="E61" s="281"/>
      <c r="F61" s="281"/>
      <c r="G61" s="281"/>
      <c r="H61" s="281"/>
      <c r="I61" s="283"/>
      <c r="J61" s="284"/>
      <c r="K61" s="285"/>
      <c r="L61" s="287"/>
      <c r="N61" s="20"/>
      <c r="O61" s="20"/>
    </row>
    <row r="62" spans="1:15" x14ac:dyDescent="0.25">
      <c r="A62" s="286"/>
      <c r="B62" s="286"/>
      <c r="C62" s="281"/>
      <c r="D62" s="282"/>
      <c r="E62" s="281"/>
      <c r="F62" s="281"/>
      <c r="G62" s="281"/>
      <c r="H62" s="281"/>
      <c r="I62" s="283"/>
      <c r="J62" s="284"/>
      <c r="K62" s="285"/>
      <c r="L62" s="287"/>
      <c r="N62" s="20"/>
      <c r="O62" s="20"/>
    </row>
    <row r="63" spans="1:15" x14ac:dyDescent="0.25">
      <c r="A63" s="286"/>
      <c r="B63" s="286"/>
      <c r="C63" s="281"/>
      <c r="D63" s="282"/>
      <c r="E63" s="281"/>
      <c r="F63" s="281"/>
      <c r="G63" s="281"/>
      <c r="H63" s="281"/>
      <c r="I63" s="283"/>
      <c r="J63" s="284"/>
      <c r="K63" s="285"/>
      <c r="L63" s="287"/>
      <c r="N63" s="20"/>
      <c r="O63" s="20"/>
    </row>
    <row r="64" spans="1:15" x14ac:dyDescent="0.25">
      <c r="A64" s="286"/>
      <c r="B64" s="286"/>
      <c r="C64" s="281"/>
      <c r="D64" s="282"/>
      <c r="E64" s="281"/>
      <c r="F64" s="281"/>
      <c r="G64" s="281"/>
      <c r="H64" s="281"/>
      <c r="I64" s="283"/>
      <c r="J64" s="284"/>
      <c r="K64" s="285"/>
      <c r="L64" s="287"/>
      <c r="N64" s="20"/>
      <c r="O64" s="20"/>
    </row>
    <row r="65" spans="1:15" x14ac:dyDescent="0.25">
      <c r="A65" s="288"/>
      <c r="B65" s="288"/>
      <c r="C65" s="289"/>
      <c r="D65" s="290"/>
      <c r="E65" s="289"/>
      <c r="F65" s="289"/>
      <c r="G65" s="289"/>
      <c r="H65" s="289"/>
      <c r="I65" s="291"/>
      <c r="J65" s="292"/>
      <c r="K65" s="293"/>
      <c r="L65" s="287"/>
      <c r="N65" s="20"/>
      <c r="O65" s="20"/>
    </row>
    <row r="66" spans="1:15" x14ac:dyDescent="0.25">
      <c r="A66" s="288"/>
      <c r="B66" s="288"/>
      <c r="C66" s="289"/>
      <c r="D66" s="290"/>
      <c r="E66" s="289"/>
      <c r="F66" s="289"/>
      <c r="G66" s="289"/>
      <c r="H66" s="289"/>
      <c r="I66" s="291"/>
      <c r="J66" s="292"/>
      <c r="K66" s="293"/>
      <c r="L66" s="287"/>
      <c r="N66" s="20"/>
      <c r="O66" s="20"/>
    </row>
    <row r="67" spans="1:15" x14ac:dyDescent="0.25">
      <c r="A67" s="288"/>
      <c r="B67" s="288"/>
      <c r="C67" s="289"/>
      <c r="D67" s="290"/>
      <c r="E67" s="289"/>
      <c r="F67" s="289"/>
      <c r="G67" s="289"/>
      <c r="H67" s="289"/>
      <c r="I67" s="291"/>
      <c r="J67" s="292"/>
      <c r="K67" s="293"/>
      <c r="L67" s="287"/>
      <c r="N67" s="20"/>
      <c r="O67" s="20"/>
    </row>
    <row r="68" spans="1:15" x14ac:dyDescent="0.25">
      <c r="A68" s="286"/>
      <c r="B68" s="286"/>
      <c r="C68" s="281"/>
      <c r="D68" s="282"/>
      <c r="E68" s="281"/>
      <c r="F68" s="281"/>
      <c r="G68" s="281"/>
      <c r="H68" s="281"/>
      <c r="I68" s="283"/>
      <c r="J68" s="284"/>
      <c r="K68" s="285"/>
      <c r="L68" s="287"/>
      <c r="N68" s="20"/>
      <c r="O68" s="20"/>
    </row>
    <row r="69" spans="1:15" x14ac:dyDescent="0.25">
      <c r="A69" s="286"/>
      <c r="B69" s="286"/>
      <c r="C69" s="281"/>
      <c r="D69" s="282"/>
      <c r="E69" s="281"/>
      <c r="F69" s="281"/>
      <c r="G69" s="281"/>
      <c r="H69" s="281"/>
      <c r="I69" s="283"/>
      <c r="J69" s="284"/>
      <c r="K69" s="285"/>
      <c r="L69" s="287"/>
      <c r="N69" s="20"/>
      <c r="O69" s="20"/>
    </row>
    <row r="70" spans="1:15" x14ac:dyDescent="0.25">
      <c r="A70" s="286"/>
      <c r="B70" s="286"/>
      <c r="C70" s="281"/>
      <c r="D70" s="282"/>
      <c r="E70" s="281"/>
      <c r="F70" s="281"/>
      <c r="G70" s="281"/>
      <c r="H70" s="281"/>
      <c r="I70" s="283"/>
      <c r="J70" s="284"/>
      <c r="K70" s="285"/>
      <c r="L70" s="287"/>
      <c r="N70" s="20"/>
      <c r="O70" s="20"/>
    </row>
    <row r="71" spans="1:15" x14ac:dyDescent="0.25">
      <c r="A71" s="286"/>
      <c r="B71" s="286"/>
      <c r="C71" s="281"/>
      <c r="D71" s="282"/>
      <c r="E71" s="281"/>
      <c r="F71" s="281"/>
      <c r="G71" s="281"/>
      <c r="H71" s="281"/>
      <c r="I71" s="283"/>
      <c r="J71" s="284"/>
      <c r="K71" s="285"/>
      <c r="L71" s="287"/>
      <c r="N71" s="20"/>
      <c r="O71" s="20"/>
    </row>
    <row r="72" spans="1:15" x14ac:dyDescent="0.25">
      <c r="A72" s="288"/>
      <c r="B72" s="288"/>
      <c r="C72" s="289"/>
      <c r="D72" s="290"/>
      <c r="E72" s="289"/>
      <c r="F72" s="289"/>
      <c r="G72" s="289"/>
      <c r="H72" s="289"/>
      <c r="I72" s="291"/>
      <c r="J72" s="292"/>
      <c r="K72" s="293"/>
      <c r="L72" s="287"/>
      <c r="N72" s="20"/>
      <c r="O72" s="20"/>
    </row>
    <row r="73" spans="1:15" x14ac:dyDescent="0.25">
      <c r="A73" s="286"/>
      <c r="B73" s="286"/>
      <c r="C73" s="281"/>
      <c r="D73" s="282"/>
      <c r="E73" s="281"/>
      <c r="F73" s="281"/>
      <c r="G73" s="281"/>
      <c r="H73" s="281"/>
      <c r="I73" s="283"/>
      <c r="J73" s="284"/>
      <c r="K73" s="285"/>
      <c r="L73" s="287"/>
      <c r="N73" s="20"/>
      <c r="O73" s="20"/>
    </row>
    <row r="74" spans="1:15" x14ac:dyDescent="0.25">
      <c r="A74" s="286"/>
      <c r="B74" s="286"/>
      <c r="C74" s="281"/>
      <c r="D74" s="282"/>
      <c r="E74" s="281"/>
      <c r="F74" s="281"/>
      <c r="G74" s="281"/>
      <c r="H74" s="281"/>
      <c r="I74" s="283"/>
      <c r="J74" s="284"/>
      <c r="K74" s="285"/>
      <c r="L74" s="287"/>
      <c r="N74" s="20"/>
      <c r="O74" s="20"/>
    </row>
    <row r="75" spans="1:15" x14ac:dyDescent="0.25">
      <c r="A75" s="286"/>
      <c r="B75" s="286"/>
      <c r="C75" s="281"/>
      <c r="D75" s="282"/>
      <c r="E75" s="281"/>
      <c r="F75" s="281"/>
      <c r="G75" s="281"/>
      <c r="H75" s="281"/>
      <c r="I75" s="283"/>
      <c r="J75" s="284"/>
      <c r="K75" s="285"/>
      <c r="L75" s="287"/>
      <c r="N75" s="20"/>
      <c r="O75" s="20"/>
    </row>
    <row r="76" spans="1:15" x14ac:dyDescent="0.25">
      <c r="A76" s="286"/>
      <c r="B76" s="286"/>
      <c r="C76" s="281"/>
      <c r="D76" s="282"/>
      <c r="E76" s="281"/>
      <c r="F76" s="281"/>
      <c r="G76" s="281"/>
      <c r="H76" s="281"/>
      <c r="I76" s="283"/>
      <c r="J76" s="284"/>
      <c r="K76" s="285"/>
      <c r="L76" s="287"/>
      <c r="N76" s="20"/>
      <c r="O76" s="20"/>
    </row>
    <row r="77" spans="1:15" x14ac:dyDescent="0.25">
      <c r="A77" s="286"/>
      <c r="B77" s="286"/>
      <c r="C77" s="281"/>
      <c r="D77" s="282"/>
      <c r="E77" s="281"/>
      <c r="F77" s="281"/>
      <c r="G77" s="281"/>
      <c r="H77" s="281"/>
      <c r="I77" s="283"/>
      <c r="J77" s="284"/>
      <c r="K77" s="285"/>
      <c r="L77" s="287"/>
      <c r="N77" s="20"/>
      <c r="O77" s="20"/>
    </row>
    <row r="78" spans="1:15" x14ac:dyDescent="0.25">
      <c r="A78" s="286"/>
      <c r="B78" s="286"/>
      <c r="C78" s="281"/>
      <c r="D78" s="282"/>
      <c r="E78" s="281"/>
      <c r="F78" s="281"/>
      <c r="G78" s="281"/>
      <c r="H78" s="281"/>
      <c r="I78" s="283"/>
      <c r="J78" s="284"/>
      <c r="K78" s="285"/>
      <c r="L78" s="287"/>
      <c r="N78" s="20"/>
      <c r="O78" s="20"/>
    </row>
    <row r="79" spans="1:15" x14ac:dyDescent="0.25">
      <c r="A79" s="286"/>
      <c r="B79" s="286"/>
      <c r="C79" s="281"/>
      <c r="D79" s="282"/>
      <c r="E79" s="281"/>
      <c r="F79" s="281"/>
      <c r="G79" s="281"/>
      <c r="H79" s="281"/>
      <c r="I79" s="283"/>
      <c r="J79" s="284"/>
      <c r="K79" s="285"/>
      <c r="L79" s="287"/>
      <c r="N79" s="20"/>
      <c r="O79" s="20"/>
    </row>
    <row r="80" spans="1:15" x14ac:dyDescent="0.25">
      <c r="A80" s="288"/>
      <c r="B80" s="288"/>
      <c r="C80" s="289"/>
      <c r="D80" s="290"/>
      <c r="E80" s="289"/>
      <c r="F80" s="289"/>
      <c r="G80" s="289"/>
      <c r="H80" s="289"/>
      <c r="I80" s="291"/>
      <c r="J80" s="292"/>
      <c r="K80" s="293"/>
      <c r="L80" s="287"/>
      <c r="N80" s="20"/>
      <c r="O80" s="20"/>
    </row>
    <row r="81" spans="1:15" x14ac:dyDescent="0.25">
      <c r="A81" s="288"/>
      <c r="B81" s="288"/>
      <c r="C81" s="289"/>
      <c r="D81" s="290"/>
      <c r="E81" s="289"/>
      <c r="F81" s="289"/>
      <c r="G81" s="289"/>
      <c r="H81" s="289"/>
      <c r="I81" s="291"/>
      <c r="J81" s="292"/>
      <c r="K81" s="293"/>
      <c r="L81" s="287"/>
      <c r="N81" s="20"/>
      <c r="O81" s="20"/>
    </row>
    <row r="82" spans="1:15" x14ac:dyDescent="0.25">
      <c r="A82" s="288"/>
      <c r="B82" s="288"/>
      <c r="C82" s="289"/>
      <c r="D82" s="290"/>
      <c r="E82" s="289"/>
      <c r="F82" s="289"/>
      <c r="G82" s="289"/>
      <c r="H82" s="289"/>
      <c r="I82" s="291"/>
      <c r="J82" s="292"/>
      <c r="K82" s="293"/>
      <c r="L82" s="287"/>
      <c r="N82" s="20"/>
      <c r="O82" s="20"/>
    </row>
    <row r="83" spans="1:15" x14ac:dyDescent="0.25">
      <c r="A83" s="286"/>
      <c r="B83" s="286"/>
      <c r="C83" s="281"/>
      <c r="D83" s="282"/>
      <c r="E83" s="281"/>
      <c r="F83" s="281"/>
      <c r="G83" s="281"/>
      <c r="H83" s="281"/>
      <c r="I83" s="283"/>
      <c r="J83" s="284"/>
      <c r="K83" s="285"/>
      <c r="L83" s="287"/>
      <c r="N83" s="20"/>
      <c r="O83" s="20"/>
    </row>
    <row r="84" spans="1:15" x14ac:dyDescent="0.25">
      <c r="A84" s="288"/>
      <c r="B84" s="288"/>
      <c r="C84" s="289"/>
      <c r="D84" s="290"/>
      <c r="E84" s="289"/>
      <c r="F84" s="289"/>
      <c r="G84" s="289"/>
      <c r="H84" s="289"/>
      <c r="I84" s="291"/>
      <c r="J84" s="292"/>
      <c r="K84" s="293"/>
      <c r="L84" s="287"/>
      <c r="N84" s="20"/>
      <c r="O84" s="20"/>
    </row>
    <row r="85" spans="1:15" x14ac:dyDescent="0.25">
      <c r="A85" s="286"/>
      <c r="B85" s="286"/>
      <c r="C85" s="281"/>
      <c r="D85" s="282"/>
      <c r="E85" s="281"/>
      <c r="F85" s="281"/>
      <c r="G85" s="281"/>
      <c r="H85" s="281"/>
      <c r="I85" s="283"/>
      <c r="J85" s="284"/>
      <c r="K85" s="285"/>
      <c r="L85" s="287"/>
      <c r="N85" s="20"/>
      <c r="O85" s="20"/>
    </row>
    <row r="86" spans="1:15" x14ac:dyDescent="0.25">
      <c r="A86" s="288"/>
      <c r="B86" s="288"/>
      <c r="C86" s="289"/>
      <c r="D86" s="290"/>
      <c r="E86" s="289"/>
      <c r="F86" s="289"/>
      <c r="G86" s="289"/>
      <c r="H86" s="289"/>
      <c r="I86" s="291"/>
      <c r="J86" s="292"/>
      <c r="K86" s="293"/>
      <c r="L86" s="287"/>
      <c r="N86" s="20"/>
      <c r="O86" s="20"/>
    </row>
    <row r="87" spans="1:15" x14ac:dyDescent="0.25">
      <c r="A87" s="288"/>
      <c r="B87" s="288"/>
      <c r="C87" s="289"/>
      <c r="D87" s="290"/>
      <c r="E87" s="289"/>
      <c r="F87" s="289"/>
      <c r="G87" s="289"/>
      <c r="H87" s="289"/>
      <c r="I87" s="291"/>
      <c r="J87" s="292"/>
      <c r="K87" s="293"/>
      <c r="L87" s="287"/>
      <c r="N87" s="20"/>
      <c r="O87" s="20"/>
    </row>
    <row r="88" spans="1:15" x14ac:dyDescent="0.25">
      <c r="A88" s="288"/>
      <c r="B88" s="288"/>
      <c r="C88" s="289"/>
      <c r="D88" s="290"/>
      <c r="E88" s="289"/>
      <c r="F88" s="289"/>
      <c r="G88" s="289"/>
      <c r="H88" s="289"/>
      <c r="I88" s="291"/>
      <c r="J88" s="292"/>
      <c r="K88" s="293"/>
      <c r="L88" s="287"/>
      <c r="N88" s="20"/>
      <c r="O88" s="20"/>
    </row>
    <row r="89" spans="1:15" x14ac:dyDescent="0.25">
      <c r="A89" s="288"/>
      <c r="B89" s="288"/>
      <c r="C89" s="289"/>
      <c r="D89" s="290"/>
      <c r="E89" s="289"/>
      <c r="F89" s="289"/>
      <c r="G89" s="289"/>
      <c r="H89" s="289"/>
      <c r="I89" s="291"/>
      <c r="J89" s="292"/>
      <c r="K89" s="293"/>
      <c r="L89" s="287"/>
      <c r="N89" s="20"/>
      <c r="O89" s="20"/>
    </row>
    <row r="90" spans="1:15" x14ac:dyDescent="0.25">
      <c r="A90" s="288"/>
      <c r="B90" s="288"/>
      <c r="C90" s="289"/>
      <c r="D90" s="290"/>
      <c r="E90" s="289"/>
      <c r="F90" s="289"/>
      <c r="G90" s="289"/>
      <c r="H90" s="289"/>
      <c r="I90" s="291"/>
      <c r="J90" s="292"/>
      <c r="K90" s="293"/>
      <c r="L90" s="287"/>
      <c r="N90" s="20"/>
      <c r="O90" s="20"/>
    </row>
    <row r="91" spans="1:15" x14ac:dyDescent="0.25">
      <c r="A91" s="286"/>
      <c r="B91" s="286"/>
      <c r="C91" s="281"/>
      <c r="D91" s="282"/>
      <c r="E91" s="281"/>
      <c r="F91" s="281"/>
      <c r="G91" s="281"/>
      <c r="H91" s="281"/>
      <c r="I91" s="283"/>
      <c r="J91" s="284"/>
      <c r="K91" s="285"/>
      <c r="L91" s="287"/>
      <c r="N91" s="20"/>
      <c r="O91" s="20"/>
    </row>
    <row r="92" spans="1:15" x14ac:dyDescent="0.25">
      <c r="A92" s="286"/>
      <c r="B92" s="286"/>
      <c r="C92" s="281"/>
      <c r="D92" s="282"/>
      <c r="E92" s="281"/>
      <c r="F92" s="281"/>
      <c r="G92" s="281"/>
      <c r="H92" s="281"/>
      <c r="I92" s="283"/>
      <c r="J92" s="284"/>
      <c r="K92" s="285"/>
      <c r="L92" s="287"/>
      <c r="N92" s="20"/>
      <c r="O92" s="20"/>
    </row>
    <row r="93" spans="1:15" x14ac:dyDescent="0.25">
      <c r="A93" s="288"/>
      <c r="B93" s="288"/>
      <c r="C93" s="289"/>
      <c r="D93" s="290"/>
      <c r="E93" s="289"/>
      <c r="F93" s="289"/>
      <c r="G93" s="289"/>
      <c r="H93" s="289"/>
      <c r="I93" s="291"/>
      <c r="J93" s="292"/>
      <c r="K93" s="293"/>
      <c r="L93" s="287"/>
      <c r="N93" s="20"/>
      <c r="O93" s="20"/>
    </row>
    <row r="94" spans="1:15" x14ac:dyDescent="0.25">
      <c r="A94" s="286"/>
      <c r="B94" s="286"/>
      <c r="C94" s="281"/>
      <c r="D94" s="282"/>
      <c r="E94" s="281"/>
      <c r="F94" s="281"/>
      <c r="G94" s="281"/>
      <c r="H94" s="281"/>
      <c r="I94" s="283"/>
      <c r="J94" s="284"/>
      <c r="K94" s="285"/>
      <c r="L94" s="287"/>
      <c r="N94" s="20"/>
      <c r="O94" s="20"/>
    </row>
    <row r="95" spans="1:15" x14ac:dyDescent="0.25">
      <c r="A95" s="286"/>
      <c r="B95" s="286"/>
      <c r="C95" s="281"/>
      <c r="D95" s="282"/>
      <c r="E95" s="281"/>
      <c r="F95" s="281"/>
      <c r="G95" s="281"/>
      <c r="H95" s="281"/>
      <c r="I95" s="283"/>
      <c r="J95" s="284"/>
      <c r="K95" s="285"/>
      <c r="L95" s="287"/>
      <c r="N95" s="20"/>
      <c r="O95" s="20"/>
    </row>
    <row r="96" spans="1:15" x14ac:dyDescent="0.25">
      <c r="A96" s="286"/>
      <c r="B96" s="286"/>
      <c r="C96" s="281"/>
      <c r="D96" s="282"/>
      <c r="E96" s="281"/>
      <c r="F96" s="281"/>
      <c r="G96" s="281"/>
      <c r="H96" s="281"/>
      <c r="I96" s="283"/>
      <c r="J96" s="284"/>
      <c r="K96" s="285"/>
      <c r="L96" s="287"/>
      <c r="N96" s="20"/>
      <c r="O96" s="20"/>
    </row>
    <row r="97" spans="1:15" x14ac:dyDescent="0.25">
      <c r="A97" s="286"/>
      <c r="B97" s="286"/>
      <c r="C97" s="281"/>
      <c r="D97" s="282"/>
      <c r="E97" s="281"/>
      <c r="F97" s="281"/>
      <c r="G97" s="281"/>
      <c r="H97" s="281"/>
      <c r="I97" s="283"/>
      <c r="J97" s="284"/>
      <c r="K97" s="285"/>
      <c r="L97" s="287"/>
      <c r="N97" s="20"/>
      <c r="O97" s="20"/>
    </row>
    <row r="98" spans="1:15" x14ac:dyDescent="0.25">
      <c r="A98" s="286"/>
      <c r="B98" s="286"/>
      <c r="C98" s="281"/>
      <c r="D98" s="282"/>
      <c r="E98" s="281"/>
      <c r="F98" s="281"/>
      <c r="G98" s="281"/>
      <c r="H98" s="281"/>
      <c r="I98" s="283"/>
      <c r="J98" s="284"/>
      <c r="K98" s="285"/>
      <c r="L98" s="287"/>
      <c r="N98" s="20"/>
      <c r="O98" s="20"/>
    </row>
    <row r="99" spans="1:15" x14ac:dyDescent="0.25">
      <c r="A99" s="288"/>
      <c r="B99" s="288"/>
      <c r="C99" s="289"/>
      <c r="D99" s="290"/>
      <c r="E99" s="289"/>
      <c r="F99" s="289"/>
      <c r="G99" s="289"/>
      <c r="H99" s="289"/>
      <c r="I99" s="291"/>
      <c r="J99" s="292"/>
      <c r="K99" s="293"/>
      <c r="L99" s="287"/>
      <c r="N99" s="20"/>
      <c r="O99" s="20"/>
    </row>
    <row r="100" spans="1:15" x14ac:dyDescent="0.25">
      <c r="A100" s="288"/>
      <c r="B100" s="288"/>
      <c r="C100" s="289"/>
      <c r="D100" s="290"/>
      <c r="E100" s="289"/>
      <c r="F100" s="289"/>
      <c r="G100" s="289"/>
      <c r="H100" s="289"/>
      <c r="I100" s="291"/>
      <c r="J100" s="292"/>
      <c r="K100" s="293"/>
      <c r="L100" s="287"/>
      <c r="N100" s="20"/>
      <c r="O100" s="20"/>
    </row>
    <row r="101" spans="1:15" x14ac:dyDescent="0.25">
      <c r="A101" s="288"/>
      <c r="B101" s="288"/>
      <c r="C101" s="289"/>
      <c r="D101" s="290"/>
      <c r="E101" s="289"/>
      <c r="F101" s="289"/>
      <c r="G101" s="289"/>
      <c r="H101" s="289"/>
      <c r="I101" s="291"/>
      <c r="J101" s="292"/>
      <c r="K101" s="293"/>
      <c r="L101" s="287"/>
      <c r="N101" s="20"/>
      <c r="O101" s="20"/>
    </row>
    <row r="102" spans="1:15" x14ac:dyDescent="0.25">
      <c r="A102" s="286"/>
      <c r="B102" s="286"/>
      <c r="C102" s="281"/>
      <c r="D102" s="282"/>
      <c r="E102" s="281"/>
      <c r="F102" s="281"/>
      <c r="G102" s="281"/>
      <c r="H102" s="281"/>
      <c r="I102" s="283"/>
      <c r="J102" s="284"/>
      <c r="K102" s="285"/>
      <c r="L102" s="287"/>
      <c r="N102" s="20"/>
      <c r="O102" s="20"/>
    </row>
    <row r="103" spans="1:15" x14ac:dyDescent="0.25">
      <c r="A103" s="286"/>
      <c r="B103" s="286"/>
      <c r="C103" s="281"/>
      <c r="D103" s="282"/>
      <c r="E103" s="281"/>
      <c r="F103" s="281"/>
      <c r="G103" s="281"/>
      <c r="H103" s="281"/>
      <c r="I103" s="283"/>
      <c r="J103" s="284"/>
      <c r="K103" s="285"/>
      <c r="L103" s="287"/>
      <c r="N103" s="20"/>
      <c r="O103" s="20"/>
    </row>
    <row r="104" spans="1:15" x14ac:dyDescent="0.25">
      <c r="A104" s="288"/>
      <c r="B104" s="288"/>
      <c r="C104" s="289"/>
      <c r="D104" s="290"/>
      <c r="E104" s="289"/>
      <c r="F104" s="289"/>
      <c r="G104" s="289"/>
      <c r="H104" s="289"/>
      <c r="I104" s="291"/>
      <c r="J104" s="292"/>
      <c r="K104" s="293"/>
      <c r="L104" s="287"/>
      <c r="N104" s="20"/>
      <c r="O104" s="20"/>
    </row>
    <row r="105" spans="1:15" x14ac:dyDescent="0.25">
      <c r="A105" s="286"/>
      <c r="B105" s="286"/>
      <c r="C105" s="281"/>
      <c r="D105" s="282"/>
      <c r="E105" s="281"/>
      <c r="F105" s="281"/>
      <c r="G105" s="281"/>
      <c r="H105" s="281"/>
      <c r="I105" s="283"/>
      <c r="J105" s="284"/>
      <c r="K105" s="285"/>
      <c r="L105" s="287"/>
      <c r="N105" s="20"/>
      <c r="O105" s="20"/>
    </row>
    <row r="106" spans="1:15" x14ac:dyDescent="0.25">
      <c r="A106" s="288"/>
      <c r="B106" s="288"/>
      <c r="C106" s="289"/>
      <c r="D106" s="290"/>
      <c r="E106" s="289"/>
      <c r="F106" s="289"/>
      <c r="G106" s="289"/>
      <c r="H106" s="289"/>
      <c r="I106" s="291"/>
      <c r="J106" s="292"/>
      <c r="K106" s="293"/>
      <c r="L106" s="287"/>
      <c r="N106" s="20"/>
      <c r="O106" s="20"/>
    </row>
    <row r="107" spans="1:15" x14ac:dyDescent="0.25">
      <c r="A107" s="288"/>
      <c r="B107" s="288"/>
      <c r="C107" s="289"/>
      <c r="D107" s="290"/>
      <c r="E107" s="289"/>
      <c r="F107" s="289"/>
      <c r="G107" s="289"/>
      <c r="H107" s="289"/>
      <c r="I107" s="291"/>
      <c r="J107" s="292"/>
      <c r="K107" s="293"/>
      <c r="L107" s="287"/>
      <c r="N107" s="20"/>
      <c r="O107" s="20"/>
    </row>
    <row r="108" spans="1:15" x14ac:dyDescent="0.25">
      <c r="A108" s="286"/>
      <c r="B108" s="286"/>
      <c r="C108" s="281"/>
      <c r="D108" s="282"/>
      <c r="E108" s="281"/>
      <c r="F108" s="281"/>
      <c r="G108" s="281"/>
      <c r="H108" s="281"/>
      <c r="I108" s="283"/>
      <c r="J108" s="284"/>
      <c r="K108" s="285"/>
      <c r="L108" s="287"/>
      <c r="N108" s="20"/>
      <c r="O108" s="20"/>
    </row>
    <row r="109" spans="1:15" x14ac:dyDescent="0.25">
      <c r="A109" s="288"/>
      <c r="B109" s="288"/>
      <c r="C109" s="289"/>
      <c r="D109" s="290"/>
      <c r="E109" s="289"/>
      <c r="F109" s="289"/>
      <c r="G109" s="289"/>
      <c r="H109" s="289"/>
      <c r="I109" s="291"/>
      <c r="J109" s="292"/>
      <c r="K109" s="293"/>
      <c r="L109" s="287"/>
      <c r="N109" s="20"/>
      <c r="O109" s="20"/>
    </row>
    <row r="110" spans="1:15" x14ac:dyDescent="0.25">
      <c r="A110" s="286"/>
      <c r="B110" s="286"/>
      <c r="C110" s="281"/>
      <c r="D110" s="282"/>
      <c r="E110" s="281"/>
      <c r="F110" s="281"/>
      <c r="G110" s="281"/>
      <c r="H110" s="281"/>
      <c r="I110" s="283"/>
      <c r="J110" s="284"/>
      <c r="K110" s="285"/>
      <c r="L110" s="287"/>
      <c r="N110" s="20"/>
      <c r="O110" s="20"/>
    </row>
    <row r="111" spans="1:15" x14ac:dyDescent="0.25">
      <c r="A111" s="286"/>
      <c r="B111" s="286"/>
      <c r="C111" s="281"/>
      <c r="D111" s="282"/>
      <c r="E111" s="281"/>
      <c r="F111" s="281"/>
      <c r="G111" s="281"/>
      <c r="H111" s="281"/>
      <c r="I111" s="283"/>
      <c r="J111" s="284"/>
      <c r="K111" s="285"/>
      <c r="L111" s="287"/>
      <c r="N111" s="20"/>
      <c r="O111" s="20"/>
    </row>
    <row r="112" spans="1:15" x14ac:dyDescent="0.25">
      <c r="A112" s="286"/>
      <c r="B112" s="286"/>
      <c r="C112" s="281"/>
      <c r="D112" s="282"/>
      <c r="E112" s="281"/>
      <c r="F112" s="281"/>
      <c r="G112" s="281"/>
      <c r="H112" s="281"/>
      <c r="I112" s="283"/>
      <c r="J112" s="284"/>
      <c r="K112" s="285"/>
      <c r="L112" s="287"/>
      <c r="N112" s="20"/>
      <c r="O112" s="20"/>
    </row>
    <row r="113" spans="1:15" x14ac:dyDescent="0.25">
      <c r="A113" s="288"/>
      <c r="B113" s="288"/>
      <c r="C113" s="289"/>
      <c r="D113" s="290"/>
      <c r="E113" s="289"/>
      <c r="F113" s="289"/>
      <c r="G113" s="289"/>
      <c r="H113" s="289"/>
      <c r="I113" s="291"/>
      <c r="J113" s="292"/>
      <c r="K113" s="293"/>
      <c r="L113" s="287"/>
      <c r="N113" s="20"/>
      <c r="O113" s="20"/>
    </row>
    <row r="114" spans="1:15" x14ac:dyDescent="0.25">
      <c r="A114" s="286"/>
      <c r="B114" s="286"/>
      <c r="C114" s="281"/>
      <c r="D114" s="282"/>
      <c r="E114" s="281"/>
      <c r="F114" s="281"/>
      <c r="G114" s="281"/>
      <c r="H114" s="281"/>
      <c r="I114" s="283"/>
      <c r="J114" s="284"/>
      <c r="K114" s="285"/>
      <c r="L114" s="287"/>
      <c r="N114" s="20"/>
      <c r="O114" s="20"/>
    </row>
    <row r="115" spans="1:15" x14ac:dyDescent="0.25">
      <c r="A115" s="286"/>
      <c r="B115" s="286"/>
      <c r="C115" s="281"/>
      <c r="D115" s="282"/>
      <c r="E115" s="281"/>
      <c r="F115" s="281"/>
      <c r="G115" s="281"/>
      <c r="H115" s="281"/>
      <c r="I115" s="283"/>
      <c r="J115" s="284"/>
      <c r="K115" s="285"/>
      <c r="L115" s="287"/>
      <c r="N115" s="20"/>
      <c r="O115" s="20"/>
    </row>
    <row r="116" spans="1:15" x14ac:dyDescent="0.25">
      <c r="A116" s="286"/>
      <c r="B116" s="286"/>
      <c r="C116" s="281"/>
      <c r="D116" s="282"/>
      <c r="E116" s="281"/>
      <c r="F116" s="281"/>
      <c r="G116" s="281"/>
      <c r="H116" s="281"/>
      <c r="I116" s="283"/>
      <c r="J116" s="284"/>
      <c r="K116" s="285"/>
      <c r="L116" s="287"/>
      <c r="N116" s="20"/>
      <c r="O116" s="20"/>
    </row>
    <row r="117" spans="1:15" x14ac:dyDescent="0.25">
      <c r="A117" s="286"/>
      <c r="B117" s="286"/>
      <c r="C117" s="281"/>
      <c r="D117" s="282"/>
      <c r="E117" s="281"/>
      <c r="F117" s="281"/>
      <c r="G117" s="281"/>
      <c r="H117" s="281"/>
      <c r="I117" s="283"/>
      <c r="J117" s="284"/>
      <c r="K117" s="285"/>
      <c r="L117" s="287"/>
      <c r="N117" s="20"/>
      <c r="O117" s="20"/>
    </row>
    <row r="118" spans="1:15" x14ac:dyDescent="0.25">
      <c r="A118" s="286"/>
      <c r="B118" s="286"/>
      <c r="C118" s="281"/>
      <c r="D118" s="282"/>
      <c r="E118" s="281"/>
      <c r="F118" s="281"/>
      <c r="G118" s="281"/>
      <c r="H118" s="281"/>
      <c r="I118" s="283"/>
      <c r="J118" s="284"/>
      <c r="K118" s="285"/>
      <c r="L118" s="287"/>
      <c r="N118" s="20"/>
      <c r="O118" s="20"/>
    </row>
    <row r="119" spans="1:15" x14ac:dyDescent="0.25">
      <c r="A119" s="286"/>
      <c r="B119" s="286"/>
      <c r="C119" s="281"/>
      <c r="D119" s="282"/>
      <c r="E119" s="281"/>
      <c r="F119" s="281"/>
      <c r="G119" s="281"/>
      <c r="H119" s="281"/>
      <c r="I119" s="283"/>
      <c r="J119" s="284"/>
      <c r="K119" s="285"/>
      <c r="L119" s="287"/>
      <c r="N119" s="20"/>
      <c r="O119" s="20"/>
    </row>
    <row r="120" spans="1:15" x14ac:dyDescent="0.25">
      <c r="A120" s="288"/>
      <c r="B120" s="288"/>
      <c r="C120" s="289"/>
      <c r="D120" s="290"/>
      <c r="E120" s="289"/>
      <c r="F120" s="289"/>
      <c r="G120" s="289"/>
      <c r="H120" s="289"/>
      <c r="I120" s="291"/>
      <c r="J120" s="292"/>
      <c r="K120" s="293"/>
      <c r="L120" s="287"/>
      <c r="N120" s="20"/>
      <c r="O120" s="20"/>
    </row>
    <row r="121" spans="1:15" x14ac:dyDescent="0.25">
      <c r="A121" s="286"/>
      <c r="B121" s="286"/>
      <c r="C121" s="281"/>
      <c r="D121" s="282"/>
      <c r="E121" s="281"/>
      <c r="F121" s="281"/>
      <c r="G121" s="281"/>
      <c r="H121" s="281"/>
      <c r="I121" s="283"/>
      <c r="J121" s="284"/>
      <c r="K121" s="285"/>
      <c r="L121" s="287"/>
      <c r="N121" s="20"/>
      <c r="O121" s="20"/>
    </row>
    <row r="122" spans="1:15" x14ac:dyDescent="0.25">
      <c r="A122" s="288"/>
      <c r="B122" s="288"/>
      <c r="C122" s="289"/>
      <c r="D122" s="290"/>
      <c r="E122" s="289"/>
      <c r="F122" s="289"/>
      <c r="G122" s="289"/>
      <c r="H122" s="289"/>
      <c r="I122" s="291"/>
      <c r="J122" s="292"/>
      <c r="K122" s="293"/>
      <c r="L122" s="287"/>
      <c r="N122" s="20"/>
      <c r="O122" s="20"/>
    </row>
    <row r="123" spans="1:15" x14ac:dyDescent="0.25">
      <c r="A123" s="288"/>
      <c r="B123" s="288"/>
      <c r="C123" s="289"/>
      <c r="D123" s="290"/>
      <c r="E123" s="289"/>
      <c r="F123" s="289"/>
      <c r="G123" s="289"/>
      <c r="H123" s="289"/>
      <c r="I123" s="291"/>
      <c r="J123" s="292"/>
      <c r="K123" s="293"/>
      <c r="L123" s="287"/>
      <c r="N123" s="20"/>
      <c r="O123" s="20"/>
    </row>
    <row r="124" spans="1:15" x14ac:dyDescent="0.25">
      <c r="A124" s="288"/>
      <c r="B124" s="288"/>
      <c r="C124" s="289"/>
      <c r="D124" s="290"/>
      <c r="E124" s="289"/>
      <c r="F124" s="289"/>
      <c r="G124" s="289"/>
      <c r="H124" s="289"/>
      <c r="I124" s="291"/>
      <c r="J124" s="292"/>
      <c r="K124" s="293"/>
      <c r="L124" s="287"/>
      <c r="N124" s="20"/>
      <c r="O124" s="20"/>
    </row>
    <row r="125" spans="1:15" x14ac:dyDescent="0.25">
      <c r="A125" s="288"/>
      <c r="B125" s="288"/>
      <c r="C125" s="289"/>
      <c r="D125" s="290"/>
      <c r="E125" s="289"/>
      <c r="F125" s="289"/>
      <c r="G125" s="289"/>
      <c r="H125" s="289"/>
      <c r="I125" s="291"/>
      <c r="J125" s="292"/>
      <c r="K125" s="293"/>
      <c r="L125" s="287"/>
      <c r="N125" s="20"/>
      <c r="O125" s="20"/>
    </row>
    <row r="126" spans="1:15" x14ac:dyDescent="0.25">
      <c r="A126" s="286"/>
      <c r="B126" s="286"/>
      <c r="C126" s="281"/>
      <c r="D126" s="282"/>
      <c r="E126" s="281"/>
      <c r="F126" s="281"/>
      <c r="G126" s="281"/>
      <c r="H126" s="281"/>
      <c r="I126" s="283"/>
      <c r="J126" s="284"/>
      <c r="K126" s="285"/>
      <c r="L126" s="287"/>
      <c r="N126" s="20"/>
      <c r="O126" s="20"/>
    </row>
    <row r="127" spans="1:15" x14ac:dyDescent="0.25">
      <c r="A127" s="288"/>
      <c r="B127" s="288"/>
      <c r="C127" s="289"/>
      <c r="D127" s="290"/>
      <c r="E127" s="289"/>
      <c r="F127" s="289"/>
      <c r="G127" s="289"/>
      <c r="H127" s="289"/>
      <c r="I127" s="291"/>
      <c r="J127" s="292"/>
      <c r="K127" s="293"/>
      <c r="L127" s="287"/>
      <c r="N127" s="20"/>
      <c r="O127" s="20"/>
    </row>
    <row r="128" spans="1:15" x14ac:dyDescent="0.25">
      <c r="A128" s="286"/>
      <c r="B128" s="286"/>
      <c r="C128" s="281"/>
      <c r="D128" s="282"/>
      <c r="E128" s="281"/>
      <c r="F128" s="281"/>
      <c r="G128" s="281"/>
      <c r="H128" s="281"/>
      <c r="I128" s="283"/>
      <c r="J128" s="284"/>
      <c r="K128" s="285"/>
      <c r="L128" s="287"/>
      <c r="N128" s="20"/>
      <c r="O128" s="20"/>
    </row>
    <row r="129" spans="1:15" x14ac:dyDescent="0.25">
      <c r="A129" s="286"/>
      <c r="B129" s="286"/>
      <c r="C129" s="281"/>
      <c r="D129" s="282"/>
      <c r="E129" s="281"/>
      <c r="F129" s="281"/>
      <c r="G129" s="281"/>
      <c r="H129" s="281"/>
      <c r="I129" s="283"/>
      <c r="J129" s="284"/>
      <c r="K129" s="285"/>
      <c r="L129" s="287"/>
      <c r="N129" s="20"/>
      <c r="O129" s="20"/>
    </row>
    <row r="130" spans="1:15" x14ac:dyDescent="0.25">
      <c r="A130" s="286"/>
      <c r="B130" s="286"/>
      <c r="C130" s="281"/>
      <c r="D130" s="282"/>
      <c r="E130" s="281"/>
      <c r="F130" s="281"/>
      <c r="G130" s="281"/>
      <c r="H130" s="281"/>
      <c r="I130" s="283"/>
      <c r="J130" s="284"/>
      <c r="K130" s="285"/>
      <c r="L130" s="287"/>
      <c r="N130" s="20"/>
      <c r="O130" s="20"/>
    </row>
    <row r="131" spans="1:15" x14ac:dyDescent="0.25">
      <c r="A131" s="286"/>
      <c r="B131" s="286"/>
      <c r="C131" s="281"/>
      <c r="D131" s="282"/>
      <c r="E131" s="281"/>
      <c r="F131" s="281"/>
      <c r="G131" s="281"/>
      <c r="H131" s="281"/>
      <c r="I131" s="283"/>
      <c r="J131" s="284"/>
      <c r="K131" s="285"/>
      <c r="L131" s="287"/>
      <c r="N131" s="20"/>
      <c r="O131" s="20"/>
    </row>
    <row r="132" spans="1:15" x14ac:dyDescent="0.25">
      <c r="A132" s="286"/>
      <c r="B132" s="286"/>
      <c r="C132" s="281"/>
      <c r="D132" s="282"/>
      <c r="E132" s="281"/>
      <c r="F132" s="281"/>
      <c r="G132" s="281"/>
      <c r="H132" s="281"/>
      <c r="I132" s="283"/>
      <c r="J132" s="284"/>
      <c r="K132" s="285"/>
      <c r="L132" s="287"/>
      <c r="N132" s="20"/>
      <c r="O132" s="20"/>
    </row>
    <row r="133" spans="1:15" x14ac:dyDescent="0.25">
      <c r="A133" s="288"/>
      <c r="B133" s="288"/>
      <c r="C133" s="289"/>
      <c r="D133" s="290"/>
      <c r="E133" s="289"/>
      <c r="F133" s="289"/>
      <c r="G133" s="289"/>
      <c r="H133" s="289"/>
      <c r="I133" s="291"/>
      <c r="J133" s="292"/>
      <c r="K133" s="293"/>
      <c r="L133" s="287"/>
      <c r="N133" s="20"/>
      <c r="O133" s="20"/>
    </row>
    <row r="134" spans="1:15" x14ac:dyDescent="0.25">
      <c r="A134" s="288"/>
      <c r="B134" s="288"/>
      <c r="C134" s="289"/>
      <c r="D134" s="290"/>
      <c r="E134" s="289"/>
      <c r="F134" s="289"/>
      <c r="G134" s="289"/>
      <c r="H134" s="289"/>
      <c r="I134" s="291"/>
      <c r="J134" s="292"/>
      <c r="K134" s="293"/>
      <c r="L134" s="287"/>
      <c r="N134" s="20"/>
      <c r="O134" s="20"/>
    </row>
    <row r="135" spans="1:15" x14ac:dyDescent="0.25">
      <c r="A135" s="288"/>
      <c r="B135" s="288"/>
      <c r="C135" s="289"/>
      <c r="D135" s="290"/>
      <c r="E135" s="289"/>
      <c r="F135" s="289"/>
      <c r="G135" s="289"/>
      <c r="H135" s="289"/>
      <c r="I135" s="291"/>
      <c r="J135" s="292"/>
      <c r="K135" s="293"/>
      <c r="L135" s="287"/>
      <c r="N135" s="20"/>
      <c r="O135" s="20"/>
    </row>
    <row r="136" spans="1:15" x14ac:dyDescent="0.25">
      <c r="A136" s="286"/>
      <c r="B136" s="286"/>
      <c r="C136" s="281"/>
      <c r="D136" s="282"/>
      <c r="E136" s="281"/>
      <c r="F136" s="281"/>
      <c r="G136" s="281"/>
      <c r="H136" s="281"/>
      <c r="I136" s="283"/>
      <c r="J136" s="284"/>
      <c r="K136" s="285"/>
      <c r="L136" s="287"/>
      <c r="N136" s="20"/>
      <c r="O136" s="20"/>
    </row>
    <row r="137" spans="1:15" x14ac:dyDescent="0.25">
      <c r="A137" s="288"/>
      <c r="B137" s="288"/>
      <c r="C137" s="289"/>
      <c r="D137" s="290"/>
      <c r="E137" s="289"/>
      <c r="F137" s="289"/>
      <c r="G137" s="289"/>
      <c r="H137" s="289"/>
      <c r="I137" s="291"/>
      <c r="J137" s="292"/>
      <c r="K137" s="293"/>
      <c r="L137" s="287"/>
      <c r="N137" s="20"/>
      <c r="O137" s="20"/>
    </row>
    <row r="138" spans="1:15" x14ac:dyDescent="0.25">
      <c r="A138" s="286"/>
      <c r="B138" s="286"/>
      <c r="C138" s="281"/>
      <c r="D138" s="282"/>
      <c r="E138" s="281"/>
      <c r="F138" s="281"/>
      <c r="G138" s="281"/>
      <c r="H138" s="281"/>
      <c r="I138" s="283"/>
      <c r="J138" s="284"/>
      <c r="K138" s="285"/>
      <c r="L138" s="287"/>
      <c r="N138" s="20"/>
      <c r="O138" s="20"/>
    </row>
    <row r="139" spans="1:15" x14ac:dyDescent="0.25">
      <c r="A139" s="286"/>
      <c r="B139" s="286"/>
      <c r="C139" s="281"/>
      <c r="D139" s="282"/>
      <c r="E139" s="281"/>
      <c r="F139" s="281"/>
      <c r="G139" s="281"/>
      <c r="H139" s="281"/>
      <c r="I139" s="283"/>
      <c r="J139" s="284"/>
      <c r="K139" s="285"/>
      <c r="L139" s="287"/>
      <c r="N139" s="20"/>
      <c r="O139" s="20"/>
    </row>
    <row r="140" spans="1:15" x14ac:dyDescent="0.25">
      <c r="A140" s="286"/>
      <c r="B140" s="286"/>
      <c r="C140" s="281"/>
      <c r="D140" s="282"/>
      <c r="E140" s="281"/>
      <c r="F140" s="281"/>
      <c r="G140" s="281"/>
      <c r="H140" s="281"/>
      <c r="I140" s="283"/>
      <c r="J140" s="284"/>
      <c r="K140" s="285"/>
      <c r="L140" s="287"/>
      <c r="N140" s="20"/>
      <c r="O140" s="20"/>
    </row>
    <row r="141" spans="1:15" x14ac:dyDescent="0.25">
      <c r="A141" s="286"/>
      <c r="B141" s="286"/>
      <c r="C141" s="281"/>
      <c r="D141" s="282"/>
      <c r="E141" s="281"/>
      <c r="F141" s="281"/>
      <c r="G141" s="281"/>
      <c r="H141" s="281"/>
      <c r="I141" s="283"/>
      <c r="J141" s="284"/>
      <c r="K141" s="285"/>
      <c r="L141" s="287"/>
      <c r="N141" s="20"/>
      <c r="O141" s="20"/>
    </row>
    <row r="142" spans="1:15" x14ac:dyDescent="0.25">
      <c r="A142" s="286"/>
      <c r="B142" s="286"/>
      <c r="C142" s="281"/>
      <c r="D142" s="282"/>
      <c r="E142" s="281"/>
      <c r="F142" s="281"/>
      <c r="G142" s="281"/>
      <c r="H142" s="281"/>
      <c r="I142" s="283"/>
      <c r="J142" s="284"/>
      <c r="K142" s="285"/>
      <c r="L142" s="287"/>
      <c r="N142" s="20"/>
      <c r="O142" s="20"/>
    </row>
    <row r="143" spans="1:15" x14ac:dyDescent="0.25">
      <c r="A143" s="286"/>
      <c r="B143" s="286"/>
      <c r="C143" s="281"/>
      <c r="D143" s="282"/>
      <c r="E143" s="281"/>
      <c r="F143" s="281"/>
      <c r="G143" s="281"/>
      <c r="H143" s="281"/>
      <c r="I143" s="283"/>
      <c r="J143" s="284"/>
      <c r="K143" s="285"/>
      <c r="L143" s="287"/>
      <c r="N143" s="20"/>
      <c r="O143" s="20"/>
    </row>
    <row r="144" spans="1:15" x14ac:dyDescent="0.25">
      <c r="A144" s="286"/>
      <c r="B144" s="286"/>
      <c r="C144" s="281"/>
      <c r="D144" s="282"/>
      <c r="E144" s="281"/>
      <c r="F144" s="281"/>
      <c r="G144" s="281"/>
      <c r="H144" s="281"/>
      <c r="I144" s="283"/>
      <c r="J144" s="284"/>
      <c r="K144" s="285"/>
      <c r="L144" s="287"/>
      <c r="N144" s="20"/>
      <c r="O144" s="20"/>
    </row>
    <row r="145" spans="1:15" x14ac:dyDescent="0.25">
      <c r="A145" s="286"/>
      <c r="B145" s="286"/>
      <c r="C145" s="281"/>
      <c r="D145" s="282"/>
      <c r="E145" s="281"/>
      <c r="F145" s="281"/>
      <c r="G145" s="281"/>
      <c r="H145" s="281"/>
      <c r="I145" s="283"/>
      <c r="J145" s="284"/>
      <c r="K145" s="285"/>
      <c r="L145" s="287"/>
      <c r="N145" s="20"/>
      <c r="O145" s="20"/>
    </row>
    <row r="146" spans="1:15" x14ac:dyDescent="0.25">
      <c r="A146" s="288"/>
      <c r="B146" s="288"/>
      <c r="C146" s="289"/>
      <c r="D146" s="290"/>
      <c r="E146" s="289"/>
      <c r="F146" s="289"/>
      <c r="G146" s="289"/>
      <c r="H146" s="289"/>
      <c r="I146" s="291"/>
      <c r="J146" s="292"/>
      <c r="K146" s="293"/>
      <c r="L146" s="287"/>
      <c r="N146" s="20"/>
      <c r="O146" s="20"/>
    </row>
    <row r="147" spans="1:15" x14ac:dyDescent="0.25">
      <c r="A147" s="288"/>
      <c r="B147" s="288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N147" s="20"/>
      <c r="O147" s="20"/>
    </row>
    <row r="148" spans="1:15" x14ac:dyDescent="0.25">
      <c r="A148" s="288"/>
      <c r="B148" s="288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N148" s="20"/>
      <c r="O148" s="20"/>
    </row>
    <row r="149" spans="1:15" x14ac:dyDescent="0.25">
      <c r="A149" s="288"/>
      <c r="B149" s="288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N149" s="20"/>
      <c r="O149" s="20"/>
    </row>
    <row r="150" spans="1:15" x14ac:dyDescent="0.25">
      <c r="A150" s="288"/>
      <c r="B150" s="288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N150" s="20"/>
      <c r="O150" s="20"/>
    </row>
    <row r="151" spans="1:15" x14ac:dyDescent="0.25">
      <c r="A151" s="288"/>
      <c r="B151" s="288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N151" s="20"/>
      <c r="O151" s="20"/>
    </row>
    <row r="152" spans="1:15" x14ac:dyDescent="0.25">
      <c r="A152" s="288"/>
      <c r="B152" s="288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N152" s="20"/>
      <c r="O152" s="20"/>
    </row>
    <row r="153" spans="1:15" x14ac:dyDescent="0.25">
      <c r="A153" s="288"/>
      <c r="B153" s="288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N153" s="20"/>
      <c r="O153" s="20"/>
    </row>
    <row r="154" spans="1:15" x14ac:dyDescent="0.25">
      <c r="A154" s="288"/>
      <c r="B154" s="288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N154" s="20"/>
      <c r="O154" s="20"/>
    </row>
    <row r="155" spans="1:15" x14ac:dyDescent="0.25">
      <c r="A155" s="288"/>
      <c r="B155" s="288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N155" s="20"/>
      <c r="O155" s="20"/>
    </row>
    <row r="156" spans="1:15" x14ac:dyDescent="0.25">
      <c r="A156" s="288"/>
      <c r="B156" s="288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N156" s="20"/>
      <c r="O156" s="20"/>
    </row>
    <row r="157" spans="1:15" x14ac:dyDescent="0.25">
      <c r="A157" s="288"/>
      <c r="B157" s="288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N157" s="20"/>
      <c r="O157" s="20"/>
    </row>
    <row r="158" spans="1:15" x14ac:dyDescent="0.25">
      <c r="A158" s="288"/>
      <c r="B158" s="288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N158" s="20"/>
      <c r="O158" s="20"/>
    </row>
    <row r="159" spans="1:15" x14ac:dyDescent="0.25">
      <c r="A159" s="288"/>
      <c r="B159" s="288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N159" s="20"/>
      <c r="O159" s="20"/>
    </row>
    <row r="160" spans="1:15" x14ac:dyDescent="0.25">
      <c r="A160" s="288"/>
      <c r="B160" s="288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N160" s="20"/>
      <c r="O160" s="20"/>
    </row>
    <row r="161" spans="1:15" x14ac:dyDescent="0.25">
      <c r="A161" s="288"/>
      <c r="B161" s="288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N161" s="20"/>
      <c r="O161" s="20"/>
    </row>
    <row r="162" spans="1:15" x14ac:dyDescent="0.25">
      <c r="A162" s="288"/>
      <c r="B162" s="288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N162" s="20"/>
      <c r="O162" s="20"/>
    </row>
    <row r="163" spans="1:15" x14ac:dyDescent="0.25">
      <c r="A163" s="288"/>
      <c r="B163" s="288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N163" s="20"/>
      <c r="O163" s="20"/>
    </row>
    <row r="164" spans="1:15" x14ac:dyDescent="0.25">
      <c r="A164" s="288"/>
      <c r="B164" s="288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N164" s="20"/>
      <c r="O164" s="20"/>
    </row>
    <row r="165" spans="1:15" x14ac:dyDescent="0.25">
      <c r="A165" s="288"/>
      <c r="B165" s="288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N165" s="20"/>
      <c r="O165" s="20"/>
    </row>
    <row r="166" spans="1:15" x14ac:dyDescent="0.25">
      <c r="A166" s="288"/>
      <c r="B166" s="288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N166" s="20"/>
      <c r="O166" s="20"/>
    </row>
    <row r="167" spans="1:15" x14ac:dyDescent="0.25">
      <c r="A167" s="288"/>
      <c r="B167" s="288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N167" s="20"/>
      <c r="O167" s="20"/>
    </row>
    <row r="168" spans="1:15" x14ac:dyDescent="0.25">
      <c r="A168" s="288"/>
      <c r="B168" s="288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N168" s="20"/>
      <c r="O168" s="20"/>
    </row>
    <row r="169" spans="1:15" x14ac:dyDescent="0.25">
      <c r="A169" s="288"/>
      <c r="B169" s="288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N169" s="20"/>
      <c r="O169" s="20"/>
    </row>
    <row r="170" spans="1:15" x14ac:dyDescent="0.25">
      <c r="A170" s="288"/>
      <c r="B170" s="288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N170" s="20"/>
      <c r="O170" s="20"/>
    </row>
    <row r="171" spans="1:15" x14ac:dyDescent="0.25">
      <c r="A171" s="288"/>
      <c r="B171" s="288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N171" s="20"/>
      <c r="O171" s="20"/>
    </row>
    <row r="172" spans="1:15" x14ac:dyDescent="0.25">
      <c r="A172" s="288"/>
      <c r="B172" s="288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N172" s="20"/>
      <c r="O172" s="20"/>
    </row>
    <row r="173" spans="1:15" x14ac:dyDescent="0.25">
      <c r="A173" s="288"/>
      <c r="B173" s="288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N173" s="20"/>
      <c r="O173" s="20"/>
    </row>
    <row r="174" spans="1:15" x14ac:dyDescent="0.25">
      <c r="A174" s="288"/>
      <c r="B174" s="288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N174" s="20"/>
      <c r="O174" s="20"/>
    </row>
    <row r="175" spans="1:15" x14ac:dyDescent="0.25">
      <c r="A175" s="288"/>
      <c r="B175" s="288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N175" s="20"/>
      <c r="O175" s="20"/>
    </row>
    <row r="176" spans="1:15" x14ac:dyDescent="0.25">
      <c r="A176" s="288"/>
      <c r="B176" s="288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N176" s="20"/>
      <c r="O176" s="20"/>
    </row>
    <row r="177" spans="1:15" x14ac:dyDescent="0.25">
      <c r="A177" s="288"/>
      <c r="B177" s="288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N177" s="20"/>
      <c r="O177" s="20"/>
    </row>
    <row r="178" spans="1:15" x14ac:dyDescent="0.25">
      <c r="A178" s="288"/>
      <c r="B178" s="288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N178" s="20"/>
      <c r="O178" s="20"/>
    </row>
    <row r="179" spans="1:15" x14ac:dyDescent="0.25">
      <c r="A179" s="288"/>
      <c r="B179" s="288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N179" s="20"/>
      <c r="O179" s="20"/>
    </row>
    <row r="180" spans="1:15" x14ac:dyDescent="0.25">
      <c r="A180" s="288"/>
      <c r="B180" s="288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N180" s="20"/>
      <c r="O180" s="20"/>
    </row>
    <row r="181" spans="1:15" x14ac:dyDescent="0.25">
      <c r="A181" s="288"/>
      <c r="B181" s="288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N181" s="20"/>
      <c r="O181" s="20"/>
    </row>
    <row r="182" spans="1:15" x14ac:dyDescent="0.25">
      <c r="A182" s="288"/>
      <c r="B182" s="288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N182" s="20"/>
      <c r="O182" s="20"/>
    </row>
    <row r="183" spans="1:15" x14ac:dyDescent="0.25">
      <c r="A183" s="288"/>
      <c r="B183" s="288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N183" s="20"/>
      <c r="O183" s="20"/>
    </row>
    <row r="184" spans="1:15" x14ac:dyDescent="0.25">
      <c r="A184" s="288"/>
      <c r="B184" s="288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N184" s="20"/>
      <c r="O184" s="20"/>
    </row>
    <row r="185" spans="1:15" x14ac:dyDescent="0.25">
      <c r="A185" s="288"/>
      <c r="B185" s="288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N185" s="20"/>
      <c r="O185" s="20"/>
    </row>
    <row r="186" spans="1:15" x14ac:dyDescent="0.25">
      <c r="A186" s="288"/>
      <c r="B186" s="288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N186" s="20"/>
      <c r="O186" s="20"/>
    </row>
    <row r="187" spans="1:15" x14ac:dyDescent="0.25">
      <c r="A187" s="288"/>
      <c r="B187" s="288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N187" s="20"/>
      <c r="O187" s="20"/>
    </row>
    <row r="188" spans="1:15" x14ac:dyDescent="0.25">
      <c r="A188" s="288"/>
      <c r="B188" s="288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N188" s="20"/>
      <c r="O188" s="20"/>
    </row>
    <row r="189" spans="1:15" x14ac:dyDescent="0.25">
      <c r="A189" s="288"/>
      <c r="B189" s="288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N189" s="20"/>
      <c r="O189" s="20"/>
    </row>
    <row r="190" spans="1:15" x14ac:dyDescent="0.25">
      <c r="A190" s="288"/>
      <c r="B190" s="288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N190" s="20"/>
      <c r="O190" s="20"/>
    </row>
    <row r="191" spans="1:15" x14ac:dyDescent="0.25">
      <c r="A191" s="288"/>
      <c r="B191" s="288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N191" s="20"/>
      <c r="O191" s="20"/>
    </row>
    <row r="192" spans="1:15" x14ac:dyDescent="0.25">
      <c r="A192" s="288"/>
      <c r="B192" s="288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N192" s="20"/>
      <c r="O192" s="20"/>
    </row>
    <row r="193" spans="1:15" x14ac:dyDescent="0.25">
      <c r="A193" s="288"/>
      <c r="B193" s="288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N193" s="20"/>
      <c r="O193" s="20"/>
    </row>
    <row r="194" spans="1:15" x14ac:dyDescent="0.25">
      <c r="A194" s="288"/>
      <c r="B194" s="288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N194" s="20"/>
      <c r="O194" s="20"/>
    </row>
    <row r="195" spans="1:15" x14ac:dyDescent="0.25">
      <c r="A195" s="288"/>
      <c r="B195" s="288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N195" s="20"/>
      <c r="O195" s="20"/>
    </row>
    <row r="196" spans="1:15" x14ac:dyDescent="0.25">
      <c r="A196" s="288"/>
      <c r="B196" s="288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N196" s="20"/>
      <c r="O196" s="20"/>
    </row>
    <row r="197" spans="1:15" x14ac:dyDescent="0.25">
      <c r="A197" s="288"/>
      <c r="B197" s="288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N197" s="20"/>
      <c r="O197" s="20"/>
    </row>
    <row r="198" spans="1:15" x14ac:dyDescent="0.25">
      <c r="A198" s="288"/>
      <c r="B198" s="288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N198" s="20"/>
      <c r="O198" s="20"/>
    </row>
    <row r="199" spans="1:15" x14ac:dyDescent="0.25">
      <c r="A199" s="288"/>
      <c r="B199" s="288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N199" s="20"/>
      <c r="O199" s="20"/>
    </row>
    <row r="200" spans="1:15" x14ac:dyDescent="0.25">
      <c r="A200" s="288"/>
      <c r="B200" s="288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N200" s="20"/>
      <c r="O200" s="20"/>
    </row>
    <row r="201" spans="1:15" x14ac:dyDescent="0.25">
      <c r="A201" s="288"/>
      <c r="B201" s="288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N201" s="20"/>
      <c r="O201" s="20"/>
    </row>
    <row r="202" spans="1:15" x14ac:dyDescent="0.25">
      <c r="A202" s="288"/>
      <c r="B202" s="288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N202" s="20"/>
      <c r="O202" s="20"/>
    </row>
    <row r="203" spans="1:15" x14ac:dyDescent="0.25">
      <c r="A203" s="288"/>
      <c r="B203" s="288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N203" s="20"/>
      <c r="O203" s="20"/>
    </row>
    <row r="204" spans="1:15" x14ac:dyDescent="0.25">
      <c r="A204" s="288"/>
      <c r="B204" s="288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N204" s="20"/>
      <c r="O204" s="20"/>
    </row>
    <row r="205" spans="1:15" x14ac:dyDescent="0.25">
      <c r="A205" s="288"/>
      <c r="B205" s="288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N205" s="20"/>
      <c r="O205" s="20"/>
    </row>
    <row r="206" spans="1:15" x14ac:dyDescent="0.25">
      <c r="A206" s="288"/>
      <c r="B206" s="288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N206" s="20"/>
      <c r="O206" s="20"/>
    </row>
    <row r="207" spans="1:15" x14ac:dyDescent="0.25">
      <c r="A207" s="288"/>
      <c r="B207" s="288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N207" s="20"/>
      <c r="O207" s="20"/>
    </row>
    <row r="208" spans="1:15" x14ac:dyDescent="0.25">
      <c r="A208" s="288"/>
      <c r="B208" s="288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N208" s="20"/>
      <c r="O208" s="20"/>
    </row>
    <row r="209" spans="1:15" x14ac:dyDescent="0.25">
      <c r="A209" s="288"/>
      <c r="B209" s="288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N209" s="20"/>
      <c r="O209" s="20"/>
    </row>
    <row r="210" spans="1:15" x14ac:dyDescent="0.25">
      <c r="A210" s="288"/>
      <c r="B210" s="288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N210" s="20"/>
      <c r="O210" s="20"/>
    </row>
    <row r="211" spans="1:15" x14ac:dyDescent="0.25">
      <c r="A211" s="288"/>
      <c r="B211" s="288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N211" s="20"/>
      <c r="O211" s="20"/>
    </row>
    <row r="212" spans="1:15" x14ac:dyDescent="0.25">
      <c r="A212" s="288"/>
      <c r="B212" s="288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N212" s="20"/>
      <c r="O212" s="20"/>
    </row>
    <row r="213" spans="1:15" x14ac:dyDescent="0.25">
      <c r="A213" s="288"/>
      <c r="B213" s="288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N213" s="20"/>
      <c r="O213" s="20"/>
    </row>
    <row r="214" spans="1:15" x14ac:dyDescent="0.25">
      <c r="A214" s="288"/>
      <c r="B214" s="288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N214" s="20"/>
      <c r="O214" s="20"/>
    </row>
    <row r="215" spans="1:15" x14ac:dyDescent="0.25">
      <c r="A215" s="288"/>
      <c r="B215" s="288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N215" s="20"/>
      <c r="O215" s="20"/>
    </row>
    <row r="216" spans="1:15" x14ac:dyDescent="0.25">
      <c r="A216" s="288"/>
      <c r="B216" s="288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N216" s="20"/>
      <c r="O216" s="20"/>
    </row>
    <row r="217" spans="1:15" x14ac:dyDescent="0.25">
      <c r="A217" s="288"/>
      <c r="B217" s="288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N217" s="20"/>
      <c r="O217" s="20"/>
    </row>
    <row r="218" spans="1:15" x14ac:dyDescent="0.25">
      <c r="A218" s="288"/>
      <c r="B218" s="288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N218" s="20"/>
      <c r="O218" s="20"/>
    </row>
    <row r="219" spans="1:15" x14ac:dyDescent="0.25">
      <c r="A219" s="288"/>
      <c r="B219" s="288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N219" s="20"/>
      <c r="O219" s="20"/>
    </row>
    <row r="220" spans="1:15" x14ac:dyDescent="0.25">
      <c r="A220" s="288"/>
      <c r="B220" s="288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N220" s="20"/>
      <c r="O220" s="20"/>
    </row>
    <row r="221" spans="1:15" x14ac:dyDescent="0.25">
      <c r="A221" s="288"/>
      <c r="B221" s="288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N221" s="20"/>
      <c r="O221" s="20"/>
    </row>
    <row r="222" spans="1:15" x14ac:dyDescent="0.25">
      <c r="A222" s="288"/>
      <c r="B222" s="288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N222" s="20"/>
      <c r="O222" s="20"/>
    </row>
    <row r="223" spans="1:15" x14ac:dyDescent="0.25">
      <c r="A223" s="288"/>
      <c r="B223" s="288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N223" s="20"/>
      <c r="O223" s="20"/>
    </row>
    <row r="224" spans="1:15" x14ac:dyDescent="0.25">
      <c r="A224" s="288"/>
      <c r="B224" s="288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N224" s="20"/>
      <c r="O224" s="20"/>
    </row>
    <row r="225" spans="1:15" x14ac:dyDescent="0.25">
      <c r="A225" s="288"/>
      <c r="B225" s="288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N225" s="20"/>
      <c r="O225" s="20"/>
    </row>
    <row r="226" spans="1:15" x14ac:dyDescent="0.25">
      <c r="A226" s="288"/>
      <c r="B226" s="288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N226" s="20"/>
      <c r="O226" s="20"/>
    </row>
    <row r="227" spans="1:15" x14ac:dyDescent="0.25">
      <c r="A227" s="288"/>
      <c r="B227" s="288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N227" s="20"/>
      <c r="O227" s="20"/>
    </row>
    <row r="228" spans="1:15" x14ac:dyDescent="0.25">
      <c r="A228" s="288"/>
      <c r="B228" s="288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N228" s="20"/>
      <c r="O228" s="20"/>
    </row>
    <row r="229" spans="1:15" x14ac:dyDescent="0.25">
      <c r="A229" s="288"/>
      <c r="B229" s="288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N229" s="20"/>
      <c r="O229" s="20"/>
    </row>
    <row r="230" spans="1:15" x14ac:dyDescent="0.25">
      <c r="A230" s="288"/>
      <c r="B230" s="288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N230" s="20"/>
      <c r="O230" s="20"/>
    </row>
    <row r="231" spans="1:15" x14ac:dyDescent="0.25">
      <c r="A231" s="288"/>
      <c r="B231" s="288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N231" s="20"/>
      <c r="O231" s="20"/>
    </row>
    <row r="232" spans="1:15" x14ac:dyDescent="0.25">
      <c r="A232" s="288"/>
      <c r="B232" s="288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N232" s="20"/>
      <c r="O232" s="20"/>
    </row>
    <row r="233" spans="1:15" x14ac:dyDescent="0.25">
      <c r="A233" s="288"/>
      <c r="B233" s="288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N233" s="20"/>
      <c r="O233" s="20"/>
    </row>
    <row r="234" spans="1:15" x14ac:dyDescent="0.25">
      <c r="A234" s="288"/>
      <c r="B234" s="288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N234" s="20"/>
      <c r="O234" s="20"/>
    </row>
    <row r="235" spans="1:15" x14ac:dyDescent="0.25">
      <c r="A235" s="288"/>
      <c r="B235" s="288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N235" s="20"/>
      <c r="O235" s="20"/>
    </row>
    <row r="236" spans="1:15" x14ac:dyDescent="0.25">
      <c r="A236" s="288"/>
      <c r="B236" s="288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N236" s="20"/>
      <c r="O236" s="20"/>
    </row>
    <row r="237" spans="1:15" x14ac:dyDescent="0.25">
      <c r="A237" s="288"/>
      <c r="B237" s="288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N237" s="20"/>
      <c r="O237" s="20"/>
    </row>
    <row r="238" spans="1:15" x14ac:dyDescent="0.25">
      <c r="A238" s="288"/>
      <c r="B238" s="288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N238" s="20"/>
      <c r="O238" s="20"/>
    </row>
    <row r="239" spans="1:15" x14ac:dyDescent="0.25">
      <c r="A239" s="288"/>
      <c r="B239" s="288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N239" s="20"/>
      <c r="O239" s="20"/>
    </row>
    <row r="240" spans="1:15" x14ac:dyDescent="0.25">
      <c r="A240" s="288"/>
      <c r="B240" s="288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N240" s="20"/>
      <c r="O240" s="20"/>
    </row>
    <row r="241" spans="1:15" x14ac:dyDescent="0.25">
      <c r="A241" s="288"/>
      <c r="B241" s="288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N241" s="20"/>
      <c r="O241" s="20"/>
    </row>
    <row r="242" spans="1:15" x14ac:dyDescent="0.25">
      <c r="A242" s="288"/>
      <c r="B242" s="288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N242" s="20"/>
      <c r="O242" s="20"/>
    </row>
    <row r="243" spans="1:15" x14ac:dyDescent="0.25">
      <c r="A243" s="288"/>
      <c r="B243" s="288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N243" s="20"/>
      <c r="O243" s="20"/>
    </row>
    <row r="244" spans="1:15" x14ac:dyDescent="0.25">
      <c r="A244" s="288"/>
      <c r="B244" s="288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N244" s="20"/>
      <c r="O244" s="20"/>
    </row>
    <row r="245" spans="1:15" x14ac:dyDescent="0.25">
      <c r="A245" s="288"/>
      <c r="B245" s="288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N245" s="20"/>
      <c r="O245" s="20"/>
    </row>
    <row r="246" spans="1:15" x14ac:dyDescent="0.25">
      <c r="A246" s="288"/>
      <c r="B246" s="288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N246" s="20"/>
      <c r="O246" s="20"/>
    </row>
    <row r="247" spans="1:15" x14ac:dyDescent="0.25">
      <c r="A247" s="288"/>
      <c r="B247" s="288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N247" s="20"/>
      <c r="O247" s="20"/>
    </row>
    <row r="248" spans="1:15" x14ac:dyDescent="0.25">
      <c r="A248" s="288"/>
      <c r="B248" s="288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N248" s="20"/>
      <c r="O248" s="20"/>
    </row>
    <row r="249" spans="1:15" x14ac:dyDescent="0.25">
      <c r="A249" s="288"/>
      <c r="B249" s="288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N249" s="20"/>
      <c r="O249" s="20"/>
    </row>
    <row r="250" spans="1:15" x14ac:dyDescent="0.25">
      <c r="A250" s="288"/>
      <c r="B250" s="288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N250" s="20"/>
      <c r="O250" s="20"/>
    </row>
    <row r="251" spans="1:15" x14ac:dyDescent="0.25">
      <c r="A251" s="288"/>
      <c r="B251" s="288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N251" s="20"/>
      <c r="O251" s="20"/>
    </row>
    <row r="252" spans="1:15" x14ac:dyDescent="0.25">
      <c r="A252" s="288"/>
      <c r="B252" s="288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N252" s="20"/>
      <c r="O252" s="20"/>
    </row>
    <row r="253" spans="1:15" x14ac:dyDescent="0.25">
      <c r="A253" s="288"/>
      <c r="B253" s="288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N253" s="20"/>
      <c r="O253" s="20"/>
    </row>
    <row r="254" spans="1:15" x14ac:dyDescent="0.25">
      <c r="A254" s="288"/>
      <c r="B254" s="288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N254" s="20"/>
      <c r="O254" s="20"/>
    </row>
    <row r="255" spans="1:15" x14ac:dyDescent="0.25">
      <c r="A255" s="288"/>
      <c r="B255" s="288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N255" s="20"/>
      <c r="O255" s="20"/>
    </row>
    <row r="256" spans="1:15" x14ac:dyDescent="0.25">
      <c r="A256" s="288"/>
      <c r="B256" s="288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N256" s="20"/>
      <c r="O256" s="20"/>
    </row>
    <row r="257" spans="1:15" x14ac:dyDescent="0.25">
      <c r="A257" s="288"/>
      <c r="B257" s="288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N257" s="20"/>
      <c r="O257" s="20"/>
    </row>
    <row r="258" spans="1:15" x14ac:dyDescent="0.25">
      <c r="A258" s="288"/>
      <c r="B258" s="288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N258" s="20"/>
      <c r="O258" s="20"/>
    </row>
    <row r="259" spans="1:15" x14ac:dyDescent="0.25">
      <c r="A259" s="288"/>
      <c r="B259" s="288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N259" s="20"/>
      <c r="O259" s="20"/>
    </row>
    <row r="260" spans="1:15" x14ac:dyDescent="0.25">
      <c r="A260" s="288"/>
      <c r="B260" s="288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N260" s="20"/>
      <c r="O260" s="20"/>
    </row>
    <row r="261" spans="1:15" x14ac:dyDescent="0.25">
      <c r="A261" s="288"/>
      <c r="B261" s="288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N261" s="20"/>
      <c r="O261" s="20"/>
    </row>
    <row r="262" spans="1:15" x14ac:dyDescent="0.25">
      <c r="A262" s="288"/>
      <c r="B262" s="288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N262" s="20"/>
      <c r="O262" s="20"/>
    </row>
    <row r="263" spans="1:15" x14ac:dyDescent="0.25">
      <c r="A263" s="288"/>
      <c r="B263" s="288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N263" s="20"/>
      <c r="O263" s="20"/>
    </row>
    <row r="264" spans="1:15" x14ac:dyDescent="0.25">
      <c r="A264" s="288"/>
      <c r="B264" s="288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N264" s="20"/>
      <c r="O264" s="20"/>
    </row>
    <row r="265" spans="1:15" x14ac:dyDescent="0.25">
      <c r="A265" s="288"/>
      <c r="B265" s="288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N265" s="20"/>
      <c r="O265" s="20"/>
    </row>
    <row r="266" spans="1:15" x14ac:dyDescent="0.25">
      <c r="A266" s="288"/>
      <c r="B266" s="288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N266" s="20"/>
      <c r="O266" s="20"/>
    </row>
    <row r="267" spans="1:15" x14ac:dyDescent="0.25">
      <c r="A267" s="288"/>
      <c r="B267" s="288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N267" s="20"/>
      <c r="O267" s="20"/>
    </row>
    <row r="268" spans="1:15" x14ac:dyDescent="0.25">
      <c r="A268" s="288"/>
      <c r="B268" s="288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N268" s="20"/>
      <c r="O268" s="20"/>
    </row>
    <row r="269" spans="1:15" x14ac:dyDescent="0.25">
      <c r="A269" s="288"/>
      <c r="B269" s="288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N269" s="20"/>
      <c r="O269" s="20"/>
    </row>
    <row r="270" spans="1:15" x14ac:dyDescent="0.25">
      <c r="A270" s="288"/>
      <c r="B270" s="288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N270" s="20"/>
      <c r="O270" s="20"/>
    </row>
    <row r="271" spans="1:15" x14ac:dyDescent="0.25">
      <c r="A271" s="288"/>
      <c r="B271" s="288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N271" s="20"/>
      <c r="O271" s="20"/>
    </row>
    <row r="272" spans="1:15" x14ac:dyDescent="0.25">
      <c r="A272" s="288"/>
      <c r="B272" s="288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N272" s="20"/>
      <c r="O272" s="20"/>
    </row>
    <row r="273" spans="1:15" x14ac:dyDescent="0.25">
      <c r="A273" s="288"/>
      <c r="B273" s="288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N273" s="20"/>
      <c r="O273" s="20"/>
    </row>
    <row r="274" spans="1:15" x14ac:dyDescent="0.25">
      <c r="A274" s="288"/>
      <c r="B274" s="288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N274" s="20"/>
      <c r="O274" s="20"/>
    </row>
    <row r="275" spans="1:15" x14ac:dyDescent="0.25">
      <c r="A275" s="288"/>
      <c r="B275" s="288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N275" s="20"/>
      <c r="O275" s="20"/>
    </row>
    <row r="276" spans="1:15" x14ac:dyDescent="0.25">
      <c r="A276" s="288"/>
      <c r="B276" s="288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N276" s="20"/>
      <c r="O276" s="20"/>
    </row>
    <row r="277" spans="1:15" x14ac:dyDescent="0.25">
      <c r="A277" s="288"/>
      <c r="B277" s="288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N277" s="20"/>
      <c r="O277" s="20"/>
    </row>
    <row r="278" spans="1:15" x14ac:dyDescent="0.25">
      <c r="A278" s="288"/>
      <c r="B278" s="288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N278" s="20"/>
      <c r="O278" s="20"/>
    </row>
    <row r="279" spans="1:15" x14ac:dyDescent="0.25">
      <c r="A279" s="288"/>
      <c r="B279" s="288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N279" s="20"/>
      <c r="O279" s="20"/>
    </row>
    <row r="280" spans="1:15" x14ac:dyDescent="0.25">
      <c r="A280" s="288"/>
      <c r="B280" s="288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N280" s="20"/>
      <c r="O280" s="20"/>
    </row>
    <row r="281" spans="1:15" x14ac:dyDescent="0.25">
      <c r="A281" s="288"/>
      <c r="B281" s="288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N281" s="20"/>
      <c r="O281" s="20"/>
    </row>
    <row r="282" spans="1:15" x14ac:dyDescent="0.25">
      <c r="A282" s="288"/>
      <c r="B282" s="288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N282" s="20"/>
      <c r="O282" s="20"/>
    </row>
    <row r="283" spans="1:15" x14ac:dyDescent="0.25">
      <c r="A283" s="288"/>
      <c r="B283" s="288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N283" s="20"/>
      <c r="O283" s="20"/>
    </row>
    <row r="284" spans="1:15" x14ac:dyDescent="0.25">
      <c r="A284" s="288"/>
      <c r="B284" s="288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N284" s="20"/>
      <c r="O284" s="20"/>
    </row>
    <row r="285" spans="1:15" x14ac:dyDescent="0.25">
      <c r="A285" s="288"/>
      <c r="B285" s="288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N285" s="20"/>
      <c r="O285" s="20"/>
    </row>
    <row r="286" spans="1:15" x14ac:dyDescent="0.25">
      <c r="A286" s="288"/>
      <c r="B286" s="288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N286" s="20"/>
      <c r="O286" s="20"/>
    </row>
    <row r="287" spans="1:15" x14ac:dyDescent="0.25">
      <c r="A287" s="288"/>
      <c r="B287" s="288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N287" s="20"/>
      <c r="O287" s="20"/>
    </row>
    <row r="288" spans="1:15" x14ac:dyDescent="0.25">
      <c r="A288" s="288"/>
      <c r="B288" s="288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N288" s="20"/>
      <c r="O288" s="20"/>
    </row>
    <row r="289" spans="1:15" x14ac:dyDescent="0.25">
      <c r="A289" s="288"/>
      <c r="B289" s="288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N289" s="20"/>
      <c r="O289" s="20"/>
    </row>
    <row r="290" spans="1:15" x14ac:dyDescent="0.25">
      <c r="A290" s="288"/>
      <c r="B290" s="288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N290" s="20"/>
      <c r="O290" s="20"/>
    </row>
    <row r="291" spans="1:15" x14ac:dyDescent="0.25">
      <c r="A291" s="288"/>
      <c r="B291" s="288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N291" s="20"/>
      <c r="O291" s="20"/>
    </row>
    <row r="292" spans="1:15" x14ac:dyDescent="0.25">
      <c r="A292" s="288"/>
      <c r="B292" s="288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N292" s="20"/>
      <c r="O292" s="20"/>
    </row>
    <row r="293" spans="1:15" x14ac:dyDescent="0.25">
      <c r="A293" s="288"/>
      <c r="B293" s="288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N293" s="20"/>
      <c r="O293" s="20"/>
    </row>
    <row r="294" spans="1:15" x14ac:dyDescent="0.25">
      <c r="A294" s="288"/>
      <c r="B294" s="288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N294" s="20"/>
      <c r="O294" s="20"/>
    </row>
    <row r="295" spans="1:15" x14ac:dyDescent="0.25">
      <c r="A295" s="288"/>
      <c r="B295" s="288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N295" s="20"/>
      <c r="O295" s="20"/>
    </row>
    <row r="296" spans="1:15" x14ac:dyDescent="0.25">
      <c r="A296" s="288"/>
      <c r="B296" s="288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N296" s="20"/>
      <c r="O296" s="20"/>
    </row>
    <row r="297" spans="1:15" x14ac:dyDescent="0.25">
      <c r="A297" s="288"/>
      <c r="B297" s="288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N297" s="20"/>
      <c r="O297" s="20"/>
    </row>
    <row r="298" spans="1:15" x14ac:dyDescent="0.25">
      <c r="A298" s="288"/>
      <c r="B298" s="288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N298" s="20"/>
      <c r="O298" s="20"/>
    </row>
    <row r="299" spans="1:15" x14ac:dyDescent="0.25">
      <c r="A299" s="288"/>
      <c r="B299" s="288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N299" s="20"/>
      <c r="O299" s="20"/>
    </row>
    <row r="300" spans="1:15" x14ac:dyDescent="0.25">
      <c r="A300" s="288"/>
      <c r="B300" s="288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N300" s="20"/>
      <c r="O300" s="20"/>
    </row>
    <row r="301" spans="1:15" x14ac:dyDescent="0.25">
      <c r="A301" s="288"/>
      <c r="B301" s="288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N301" s="20"/>
      <c r="O301" s="20"/>
    </row>
    <row r="302" spans="1:15" x14ac:dyDescent="0.25">
      <c r="A302" s="288"/>
      <c r="B302" s="288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N302" s="20"/>
      <c r="O302" s="20"/>
    </row>
    <row r="303" spans="1:15" x14ac:dyDescent="0.25">
      <c r="A303" s="288"/>
      <c r="B303" s="288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N303" s="20"/>
      <c r="O303" s="20"/>
    </row>
    <row r="304" spans="1:15" x14ac:dyDescent="0.25">
      <c r="A304" s="288"/>
      <c r="B304" s="288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N304" s="20"/>
      <c r="O304" s="20"/>
    </row>
    <row r="305" spans="1:15" x14ac:dyDescent="0.25">
      <c r="A305" s="288"/>
      <c r="B305" s="288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N305" s="20"/>
      <c r="O305" s="20"/>
    </row>
    <row r="306" spans="1:15" x14ac:dyDescent="0.25">
      <c r="A306" s="288"/>
      <c r="B306" s="288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N306" s="20"/>
      <c r="O306" s="20"/>
    </row>
    <row r="307" spans="1:15" x14ac:dyDescent="0.25">
      <c r="A307" s="288"/>
      <c r="B307" s="288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N307" s="20"/>
      <c r="O307" s="20"/>
    </row>
    <row r="308" spans="1:15" x14ac:dyDescent="0.25">
      <c r="A308" s="288"/>
      <c r="B308" s="288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N308" s="20"/>
      <c r="O308" s="20"/>
    </row>
    <row r="309" spans="1:15" x14ac:dyDescent="0.25">
      <c r="A309" s="288"/>
      <c r="B309" s="288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N309" s="20"/>
      <c r="O309" s="20"/>
    </row>
    <row r="310" spans="1:15" x14ac:dyDescent="0.25">
      <c r="A310" s="288"/>
      <c r="B310" s="288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N310" s="20"/>
      <c r="O310" s="20"/>
    </row>
    <row r="311" spans="1:15" x14ac:dyDescent="0.25">
      <c r="A311" s="288"/>
      <c r="B311" s="288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N311" s="20"/>
      <c r="O311" s="20"/>
    </row>
    <row r="312" spans="1:15" x14ac:dyDescent="0.25">
      <c r="A312" s="288"/>
      <c r="B312" s="288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N312" s="20"/>
      <c r="O312" s="20"/>
    </row>
    <row r="313" spans="1:15" x14ac:dyDescent="0.25">
      <c r="A313" s="288"/>
      <c r="B313" s="288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N313" s="20"/>
      <c r="O313" s="20"/>
    </row>
    <row r="314" spans="1:15" x14ac:dyDescent="0.25">
      <c r="A314" s="288"/>
      <c r="B314" s="288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N314" s="20"/>
      <c r="O314" s="20"/>
    </row>
    <row r="315" spans="1:15" x14ac:dyDescent="0.25">
      <c r="A315" s="288"/>
      <c r="B315" s="288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N315" s="20"/>
      <c r="O315" s="20"/>
    </row>
    <row r="316" spans="1:15" x14ac:dyDescent="0.25">
      <c r="A316" s="288"/>
      <c r="B316" s="288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N316" s="20"/>
      <c r="O316" s="20"/>
    </row>
    <row r="317" spans="1:15" x14ac:dyDescent="0.25">
      <c r="A317" s="288"/>
      <c r="B317" s="288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N317" s="20"/>
      <c r="O317" s="20"/>
    </row>
    <row r="318" spans="1:15" x14ac:dyDescent="0.25">
      <c r="A318" s="288"/>
      <c r="B318" s="288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N318" s="20"/>
      <c r="O318" s="20"/>
    </row>
    <row r="319" spans="1:15" x14ac:dyDescent="0.25">
      <c r="A319" s="288"/>
      <c r="B319" s="288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N319" s="20"/>
      <c r="O319" s="20"/>
    </row>
    <row r="320" spans="1:15" x14ac:dyDescent="0.25">
      <c r="A320" s="288"/>
      <c r="B320" s="288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N320" s="20"/>
      <c r="O320" s="20"/>
    </row>
    <row r="321" spans="1:15" x14ac:dyDescent="0.25">
      <c r="A321" s="288"/>
      <c r="B321" s="288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N321" s="20"/>
      <c r="O321" s="20"/>
    </row>
    <row r="322" spans="1:15" x14ac:dyDescent="0.25">
      <c r="A322" s="288"/>
      <c r="B322" s="288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N322" s="20"/>
      <c r="O322" s="20"/>
    </row>
    <row r="323" spans="1:15" x14ac:dyDescent="0.25">
      <c r="A323" s="288"/>
      <c r="B323" s="288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N323" s="20"/>
      <c r="O323" s="20"/>
    </row>
    <row r="324" spans="1:15" x14ac:dyDescent="0.25">
      <c r="A324" s="288"/>
      <c r="B324" s="288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N324" s="20"/>
      <c r="O324" s="20"/>
    </row>
    <row r="325" spans="1:15" x14ac:dyDescent="0.25">
      <c r="A325" s="288"/>
      <c r="B325" s="288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N325" s="20"/>
      <c r="O325" s="20"/>
    </row>
    <row r="326" spans="1:15" x14ac:dyDescent="0.25">
      <c r="A326" s="288"/>
      <c r="B326" s="288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N326" s="20"/>
      <c r="O326" s="20"/>
    </row>
    <row r="327" spans="1:15" x14ac:dyDescent="0.25">
      <c r="A327" s="288"/>
      <c r="B327" s="288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N327" s="20"/>
      <c r="O327" s="20"/>
    </row>
    <row r="328" spans="1:15" x14ac:dyDescent="0.25">
      <c r="A328" s="288"/>
      <c r="B328" s="288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N328" s="20"/>
      <c r="O328" s="20"/>
    </row>
    <row r="329" spans="1:15" x14ac:dyDescent="0.25">
      <c r="A329" s="288"/>
      <c r="B329" s="288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N329" s="20"/>
      <c r="O329" s="20"/>
    </row>
    <row r="330" spans="1:15" x14ac:dyDescent="0.25">
      <c r="A330" s="288"/>
      <c r="B330" s="288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N330" s="20"/>
      <c r="O330" s="20"/>
    </row>
    <row r="331" spans="1:15" x14ac:dyDescent="0.25">
      <c r="A331" s="288"/>
      <c r="B331" s="288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N331" s="20"/>
      <c r="O331" s="20"/>
    </row>
    <row r="332" spans="1:15" x14ac:dyDescent="0.25">
      <c r="A332" s="288"/>
      <c r="B332" s="288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N332" s="20"/>
      <c r="O332" s="20"/>
    </row>
    <row r="333" spans="1:15" x14ac:dyDescent="0.25">
      <c r="A333" s="288"/>
      <c r="B333" s="288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N333" s="20"/>
      <c r="O333" s="20"/>
    </row>
    <row r="334" spans="1:15" x14ac:dyDescent="0.25">
      <c r="A334" s="288"/>
      <c r="B334" s="288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N334" s="20"/>
      <c r="O334" s="20"/>
    </row>
    <row r="335" spans="1:15" x14ac:dyDescent="0.25">
      <c r="A335" s="288"/>
      <c r="B335" s="288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N335" s="20"/>
      <c r="O335" s="20"/>
    </row>
    <row r="336" spans="1:15" x14ac:dyDescent="0.25">
      <c r="A336" s="288"/>
      <c r="B336" s="288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N336" s="20"/>
      <c r="O336" s="20"/>
    </row>
    <row r="337" spans="1:15" x14ac:dyDescent="0.25">
      <c r="A337" s="288"/>
      <c r="B337" s="288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N337" s="20"/>
      <c r="O337" s="20"/>
    </row>
    <row r="338" spans="1:15" x14ac:dyDescent="0.25">
      <c r="A338" s="288"/>
      <c r="B338" s="288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N338" s="20"/>
      <c r="O338" s="20"/>
    </row>
    <row r="339" spans="1:15" x14ac:dyDescent="0.25">
      <c r="A339" s="288"/>
      <c r="B339" s="288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N339" s="20"/>
      <c r="O339" s="20"/>
    </row>
    <row r="340" spans="1:15" x14ac:dyDescent="0.25">
      <c r="A340" s="288"/>
      <c r="B340" s="288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N340" s="20"/>
      <c r="O340" s="20"/>
    </row>
    <row r="341" spans="1:15" x14ac:dyDescent="0.25">
      <c r="A341" s="288"/>
      <c r="B341" s="288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N341" s="20"/>
      <c r="O341" s="20"/>
    </row>
    <row r="342" spans="1:15" x14ac:dyDescent="0.25">
      <c r="A342" s="288"/>
      <c r="B342" s="288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N342" s="20"/>
      <c r="O342" s="20"/>
    </row>
    <row r="343" spans="1:15" x14ac:dyDescent="0.25">
      <c r="A343" s="288"/>
      <c r="B343" s="288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N343" s="20"/>
      <c r="O343" s="20"/>
    </row>
    <row r="344" spans="1:15" x14ac:dyDescent="0.25">
      <c r="A344" s="288"/>
      <c r="B344" s="288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N344" s="20"/>
      <c r="O344" s="20"/>
    </row>
    <row r="345" spans="1:15" x14ac:dyDescent="0.25">
      <c r="A345" s="288"/>
      <c r="B345" s="288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N345" s="20"/>
      <c r="O345" s="20"/>
    </row>
    <row r="346" spans="1:15" x14ac:dyDescent="0.25">
      <c r="A346" s="288"/>
      <c r="B346" s="288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N346" s="20"/>
      <c r="O346" s="20"/>
    </row>
    <row r="347" spans="1:15" x14ac:dyDescent="0.25">
      <c r="A347" s="288"/>
      <c r="B347" s="288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N347" s="20"/>
      <c r="O347" s="20"/>
    </row>
    <row r="348" spans="1:15" x14ac:dyDescent="0.25">
      <c r="A348" s="288"/>
      <c r="B348" s="288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N348" s="20"/>
      <c r="O348" s="20"/>
    </row>
    <row r="349" spans="1:15" x14ac:dyDescent="0.25">
      <c r="A349" s="288"/>
      <c r="B349" s="288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N349" s="20"/>
      <c r="O349" s="20"/>
    </row>
    <row r="350" spans="1:15" x14ac:dyDescent="0.25">
      <c r="A350" s="288"/>
      <c r="B350" s="288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N350" s="20"/>
      <c r="O350" s="20"/>
    </row>
    <row r="351" spans="1:15" x14ac:dyDescent="0.25">
      <c r="A351" s="288"/>
      <c r="B351" s="288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N351" s="20"/>
      <c r="O351" s="20"/>
    </row>
    <row r="352" spans="1:15" x14ac:dyDescent="0.25">
      <c r="A352" s="288"/>
      <c r="B352" s="288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N352" s="20"/>
      <c r="O352" s="20"/>
    </row>
    <row r="353" spans="1:15" x14ac:dyDescent="0.25">
      <c r="A353" s="288"/>
      <c r="B353" s="288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N353" s="20"/>
      <c r="O353" s="20"/>
    </row>
    <row r="354" spans="1:15" x14ac:dyDescent="0.25">
      <c r="A354" s="288"/>
      <c r="B354" s="288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N354" s="20"/>
      <c r="O354" s="20"/>
    </row>
    <row r="355" spans="1:15" x14ac:dyDescent="0.25">
      <c r="A355" s="288"/>
      <c r="B355" s="288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N355" s="20"/>
      <c r="O355" s="20"/>
    </row>
    <row r="356" spans="1:15" x14ac:dyDescent="0.25">
      <c r="A356" s="288"/>
      <c r="B356" s="288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N356" s="20"/>
      <c r="O356" s="20"/>
    </row>
    <row r="357" spans="1:15" x14ac:dyDescent="0.25">
      <c r="A357" s="288"/>
      <c r="B357" s="288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N357" s="20"/>
      <c r="O357" s="20"/>
    </row>
    <row r="358" spans="1:15" x14ac:dyDescent="0.25">
      <c r="A358" s="288"/>
      <c r="B358" s="288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N358" s="20"/>
      <c r="O358" s="20"/>
    </row>
    <row r="359" spans="1:15" x14ac:dyDescent="0.25">
      <c r="A359" s="288"/>
      <c r="B359" s="288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N359" s="20"/>
      <c r="O359" s="20"/>
    </row>
    <row r="360" spans="1:15" x14ac:dyDescent="0.25">
      <c r="A360" s="288"/>
      <c r="B360" s="288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N360" s="20"/>
      <c r="O360" s="20"/>
    </row>
    <row r="361" spans="1:15" x14ac:dyDescent="0.25">
      <c r="A361" s="288"/>
      <c r="B361" s="288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N361" s="20"/>
      <c r="O361" s="20"/>
    </row>
    <row r="362" spans="1:15" x14ac:dyDescent="0.25">
      <c r="A362" s="288"/>
      <c r="B362" s="288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N362" s="20"/>
      <c r="O362" s="20"/>
    </row>
    <row r="363" spans="1:15" x14ac:dyDescent="0.25">
      <c r="A363" s="288"/>
      <c r="B363" s="288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N363" s="20"/>
      <c r="O363" s="20"/>
    </row>
    <row r="364" spans="1:15" x14ac:dyDescent="0.25">
      <c r="A364" s="288"/>
      <c r="B364" s="288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N364" s="20"/>
      <c r="O364" s="20"/>
    </row>
    <row r="365" spans="1:15" x14ac:dyDescent="0.25">
      <c r="A365" s="288"/>
      <c r="B365" s="288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N365" s="20"/>
      <c r="O365" s="20"/>
    </row>
    <row r="366" spans="1:15" x14ac:dyDescent="0.25">
      <c r="A366" s="288"/>
      <c r="B366" s="288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N366" s="20"/>
      <c r="O366" s="20"/>
    </row>
    <row r="367" spans="1:15" x14ac:dyDescent="0.25">
      <c r="A367" s="288"/>
      <c r="B367" s="288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N367" s="20"/>
      <c r="O367" s="20"/>
    </row>
    <row r="368" spans="1:15" x14ac:dyDescent="0.25">
      <c r="A368" s="288"/>
      <c r="B368" s="288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N368" s="20"/>
      <c r="O368" s="20"/>
    </row>
    <row r="369" spans="1:15" x14ac:dyDescent="0.25">
      <c r="A369" s="288"/>
      <c r="B369" s="288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N369" s="20"/>
      <c r="O369" s="20"/>
    </row>
    <row r="370" spans="1:15" x14ac:dyDescent="0.25">
      <c r="A370" s="288"/>
      <c r="B370" s="288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N370" s="20"/>
      <c r="O370" s="20"/>
    </row>
    <row r="371" spans="1:15" x14ac:dyDescent="0.25">
      <c r="A371" s="288"/>
      <c r="B371" s="288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N371" s="20"/>
      <c r="O371" s="20"/>
    </row>
    <row r="372" spans="1:15" x14ac:dyDescent="0.25">
      <c r="A372" s="288"/>
      <c r="B372" s="288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N372" s="20"/>
      <c r="O372" s="20"/>
    </row>
    <row r="373" spans="1:15" x14ac:dyDescent="0.25">
      <c r="A373" s="288"/>
      <c r="B373" s="288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N373" s="20"/>
      <c r="O373" s="20"/>
    </row>
    <row r="374" spans="1:15" x14ac:dyDescent="0.25">
      <c r="A374" s="288"/>
      <c r="B374" s="288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N374" s="20"/>
      <c r="O374" s="20"/>
    </row>
    <row r="375" spans="1:15" x14ac:dyDescent="0.25">
      <c r="A375" s="288"/>
      <c r="B375" s="288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N375" s="20"/>
      <c r="O375" s="20"/>
    </row>
    <row r="376" spans="1:15" x14ac:dyDescent="0.25">
      <c r="A376" s="288"/>
      <c r="B376" s="288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N376" s="20"/>
      <c r="O376" s="20"/>
    </row>
    <row r="377" spans="1:15" x14ac:dyDescent="0.25">
      <c r="A377" s="288"/>
      <c r="B377" s="288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N377" s="20"/>
      <c r="O377" s="20"/>
    </row>
    <row r="378" spans="1:15" x14ac:dyDescent="0.25">
      <c r="A378" s="288"/>
      <c r="B378" s="288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N378" s="20"/>
      <c r="O378" s="20"/>
    </row>
    <row r="379" spans="1:15" x14ac:dyDescent="0.25">
      <c r="A379" s="288"/>
      <c r="B379" s="288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N379" s="20"/>
      <c r="O379" s="20"/>
    </row>
    <row r="380" spans="1:15" x14ac:dyDescent="0.25">
      <c r="A380" s="288"/>
      <c r="B380" s="288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N380" s="20"/>
      <c r="O380" s="20"/>
    </row>
    <row r="381" spans="1:15" x14ac:dyDescent="0.25">
      <c r="A381" s="288"/>
      <c r="B381" s="288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N381" s="20"/>
      <c r="O381" s="20"/>
    </row>
    <row r="382" spans="1:15" x14ac:dyDescent="0.25">
      <c r="A382" s="288"/>
      <c r="B382" s="288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N382" s="20"/>
      <c r="O382" s="20"/>
    </row>
    <row r="383" spans="1:15" x14ac:dyDescent="0.25">
      <c r="A383" s="288"/>
      <c r="B383" s="288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N383" s="20"/>
      <c r="O383" s="20"/>
    </row>
    <row r="384" spans="1:15" x14ac:dyDescent="0.25">
      <c r="A384" s="288"/>
      <c r="B384" s="288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N384" s="20"/>
      <c r="O384" s="20"/>
    </row>
    <row r="385" spans="1:15" x14ac:dyDescent="0.25">
      <c r="A385" s="288"/>
      <c r="B385" s="288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N385" s="20"/>
      <c r="O385" s="20"/>
    </row>
    <row r="386" spans="1:15" x14ac:dyDescent="0.25">
      <c r="A386" s="288"/>
      <c r="B386" s="288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N386" s="20"/>
      <c r="O386" s="20"/>
    </row>
    <row r="387" spans="1:15" x14ac:dyDescent="0.25">
      <c r="A387" s="288"/>
      <c r="B387" s="288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N387" s="20"/>
      <c r="O387" s="20"/>
    </row>
    <row r="388" spans="1:15" x14ac:dyDescent="0.25">
      <c r="A388" s="288"/>
      <c r="B388" s="288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N388" s="20"/>
      <c r="O388" s="20"/>
    </row>
    <row r="389" spans="1:15" x14ac:dyDescent="0.25">
      <c r="A389" s="288"/>
      <c r="B389" s="288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N389" s="20"/>
      <c r="O389" s="20"/>
    </row>
    <row r="390" spans="1:15" x14ac:dyDescent="0.25">
      <c r="A390" s="288"/>
      <c r="B390" s="288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N390" s="20"/>
      <c r="O390" s="20"/>
    </row>
    <row r="391" spans="1:15" x14ac:dyDescent="0.25">
      <c r="A391" s="288"/>
      <c r="B391" s="288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N391" s="20"/>
      <c r="O391" s="20"/>
    </row>
    <row r="392" spans="1:15" x14ac:dyDescent="0.25">
      <c r="A392" s="288"/>
      <c r="B392" s="288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N392" s="20"/>
      <c r="O392" s="20"/>
    </row>
    <row r="393" spans="1:15" x14ac:dyDescent="0.25">
      <c r="A393" s="288"/>
      <c r="B393" s="288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N393" s="20"/>
      <c r="O393" s="20"/>
    </row>
    <row r="394" spans="1:15" x14ac:dyDescent="0.25">
      <c r="A394" s="288"/>
      <c r="B394" s="288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N394" s="20"/>
      <c r="O394" s="20"/>
    </row>
    <row r="395" spans="1:15" x14ac:dyDescent="0.25">
      <c r="A395" s="288"/>
      <c r="B395" s="288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N395" s="20"/>
      <c r="O395" s="20"/>
    </row>
    <row r="396" spans="1:15" x14ac:dyDescent="0.25">
      <c r="A396" s="288"/>
      <c r="B396" s="288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N396" s="20"/>
      <c r="O396" s="20"/>
    </row>
    <row r="397" spans="1:15" x14ac:dyDescent="0.25">
      <c r="A397" s="288"/>
      <c r="B397" s="288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N397" s="20"/>
      <c r="O397" s="20"/>
    </row>
    <row r="398" spans="1:15" x14ac:dyDescent="0.25">
      <c r="A398" s="288"/>
      <c r="B398" s="288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N398" s="20"/>
      <c r="O398" s="20"/>
    </row>
    <row r="399" spans="1:15" x14ac:dyDescent="0.25">
      <c r="A399" s="288"/>
      <c r="B399" s="288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N399" s="20"/>
      <c r="O399" s="20"/>
    </row>
    <row r="400" spans="1:15" x14ac:dyDescent="0.25">
      <c r="A400" s="288"/>
      <c r="B400" s="288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N400" s="20"/>
      <c r="O400" s="20"/>
    </row>
    <row r="401" spans="1:15" x14ac:dyDescent="0.25">
      <c r="A401" s="288"/>
      <c r="B401" s="288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N401" s="20"/>
      <c r="O401" s="20"/>
    </row>
    <row r="402" spans="1:15" x14ac:dyDescent="0.25">
      <c r="A402" s="288"/>
      <c r="B402" s="288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N402" s="20"/>
      <c r="O402" s="20"/>
    </row>
    <row r="403" spans="1:15" x14ac:dyDescent="0.25">
      <c r="A403" s="288"/>
      <c r="B403" s="288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N403" s="20"/>
      <c r="O403" s="20"/>
    </row>
    <row r="404" spans="1:15" x14ac:dyDescent="0.25">
      <c r="A404" s="288"/>
      <c r="B404" s="288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N404" s="20"/>
      <c r="O404" s="20"/>
    </row>
    <row r="405" spans="1:15" x14ac:dyDescent="0.25">
      <c r="A405" s="288"/>
      <c r="B405" s="288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N405" s="20"/>
      <c r="O405" s="20"/>
    </row>
    <row r="406" spans="1:15" x14ac:dyDescent="0.25">
      <c r="A406" s="288"/>
      <c r="B406" s="288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N406" s="20"/>
      <c r="O406" s="20"/>
    </row>
    <row r="407" spans="1:15" x14ac:dyDescent="0.25">
      <c r="A407" s="288"/>
      <c r="B407" s="288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N407" s="20"/>
      <c r="O407" s="20"/>
    </row>
    <row r="408" spans="1:15" x14ac:dyDescent="0.25">
      <c r="A408" s="288"/>
      <c r="B408" s="288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N408" s="20"/>
      <c r="O408" s="20"/>
    </row>
    <row r="409" spans="1:15" x14ac:dyDescent="0.25">
      <c r="A409" s="288"/>
      <c r="B409" s="288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N409" s="20"/>
      <c r="O409" s="20"/>
    </row>
    <row r="410" spans="1:15" x14ac:dyDescent="0.25">
      <c r="A410" s="288"/>
      <c r="B410" s="288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N410" s="20"/>
      <c r="O410" s="20"/>
    </row>
    <row r="411" spans="1:15" x14ac:dyDescent="0.25">
      <c r="A411" s="288"/>
      <c r="B411" s="288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N411" s="20"/>
      <c r="O411" s="20"/>
    </row>
    <row r="412" spans="1:15" x14ac:dyDescent="0.25">
      <c r="A412" s="288"/>
      <c r="B412" s="288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N412" s="20"/>
      <c r="O412" s="20"/>
    </row>
    <row r="413" spans="1:15" x14ac:dyDescent="0.25">
      <c r="A413" s="288"/>
      <c r="B413" s="288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N413" s="20"/>
      <c r="O413" s="20"/>
    </row>
    <row r="414" spans="1:15" x14ac:dyDescent="0.25">
      <c r="A414" s="288"/>
      <c r="B414" s="288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N414" s="20"/>
      <c r="O414" s="20"/>
    </row>
    <row r="415" spans="1:15" x14ac:dyDescent="0.25">
      <c r="A415" s="288"/>
      <c r="B415" s="288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N415" s="20"/>
      <c r="O415" s="20"/>
    </row>
    <row r="416" spans="1:15" x14ac:dyDescent="0.25">
      <c r="A416" s="288"/>
      <c r="B416" s="288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N416" s="20"/>
      <c r="O416" s="20"/>
    </row>
    <row r="417" spans="1:15" x14ac:dyDescent="0.25">
      <c r="A417" s="288"/>
      <c r="B417" s="288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N417" s="20"/>
      <c r="O417" s="20"/>
    </row>
    <row r="418" spans="1:15" x14ac:dyDescent="0.25">
      <c r="A418" s="288"/>
      <c r="B418" s="288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N418" s="20"/>
      <c r="O418" s="20"/>
    </row>
    <row r="419" spans="1:15" x14ac:dyDescent="0.25">
      <c r="A419" s="288"/>
      <c r="B419" s="288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N419" s="20"/>
      <c r="O419" s="20"/>
    </row>
    <row r="420" spans="1:15" x14ac:dyDescent="0.25">
      <c r="A420" s="288"/>
      <c r="B420" s="288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N420" s="20"/>
      <c r="O420" s="20"/>
    </row>
    <row r="421" spans="1:15" x14ac:dyDescent="0.25">
      <c r="A421" s="288"/>
      <c r="B421" s="288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N421" s="20"/>
      <c r="O421" s="20"/>
    </row>
    <row r="422" spans="1:15" x14ac:dyDescent="0.25">
      <c r="A422" s="288"/>
      <c r="B422" s="288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N422" s="20"/>
      <c r="O422" s="20"/>
    </row>
    <row r="423" spans="1:15" x14ac:dyDescent="0.25">
      <c r="A423" s="288"/>
      <c r="B423" s="288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N423" s="20"/>
      <c r="O423" s="20"/>
    </row>
    <row r="424" spans="1:15" x14ac:dyDescent="0.25">
      <c r="A424" s="288"/>
      <c r="B424" s="288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N424" s="20"/>
      <c r="O424" s="20"/>
    </row>
    <row r="425" spans="1:15" x14ac:dyDescent="0.25">
      <c r="A425" s="288"/>
      <c r="B425" s="288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N425" s="20"/>
      <c r="O425" s="20"/>
    </row>
    <row r="426" spans="1:15" x14ac:dyDescent="0.25">
      <c r="A426" s="288"/>
      <c r="B426" s="288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N426" s="20"/>
      <c r="O426" s="20"/>
    </row>
    <row r="427" spans="1:15" x14ac:dyDescent="0.25">
      <c r="A427" s="288"/>
      <c r="B427" s="288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N427" s="20"/>
      <c r="O427" s="20"/>
    </row>
    <row r="428" spans="1:15" x14ac:dyDescent="0.25">
      <c r="A428" s="288"/>
      <c r="B428" s="288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N428" s="20"/>
      <c r="O428" s="20"/>
    </row>
    <row r="429" spans="1:15" x14ac:dyDescent="0.25">
      <c r="A429" s="288"/>
      <c r="B429" s="288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N429" s="20"/>
      <c r="O429" s="20"/>
    </row>
    <row r="430" spans="1:15" x14ac:dyDescent="0.25">
      <c r="A430" s="288"/>
      <c r="B430" s="288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N430" s="20"/>
      <c r="O430" s="20"/>
    </row>
    <row r="431" spans="1:15" x14ac:dyDescent="0.25">
      <c r="A431" s="288"/>
      <c r="B431" s="288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N431" s="20"/>
      <c r="O431" s="20"/>
    </row>
    <row r="432" spans="1:15" x14ac:dyDescent="0.25">
      <c r="A432" s="288"/>
      <c r="B432" s="288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N432" s="20"/>
      <c r="O432" s="20"/>
    </row>
    <row r="433" spans="1:15" x14ac:dyDescent="0.25">
      <c r="A433" s="288"/>
      <c r="B433" s="288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N433" s="20"/>
      <c r="O433" s="20"/>
    </row>
    <row r="434" spans="1:15" x14ac:dyDescent="0.25">
      <c r="A434" s="288"/>
      <c r="B434" s="288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N434" s="20"/>
      <c r="O434" s="20"/>
    </row>
    <row r="435" spans="1:15" x14ac:dyDescent="0.25">
      <c r="A435" s="288"/>
      <c r="B435" s="288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N435" s="20"/>
      <c r="O435" s="20"/>
    </row>
    <row r="436" spans="1:15" x14ac:dyDescent="0.25">
      <c r="A436" s="288"/>
      <c r="B436" s="288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N436" s="20"/>
      <c r="O436" s="20"/>
    </row>
    <row r="437" spans="1:15" x14ac:dyDescent="0.25">
      <c r="A437" s="288"/>
      <c r="B437" s="288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N437" s="20"/>
      <c r="O437" s="20"/>
    </row>
    <row r="438" spans="1:15" x14ac:dyDescent="0.25">
      <c r="A438" s="288"/>
      <c r="B438" s="288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N438" s="20"/>
      <c r="O438" s="20"/>
    </row>
    <row r="439" spans="1:15" x14ac:dyDescent="0.25">
      <c r="A439" s="288"/>
      <c r="B439" s="288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N439" s="20"/>
      <c r="O439" s="20"/>
    </row>
    <row r="440" spans="1:15" x14ac:dyDescent="0.25">
      <c r="A440" s="288"/>
      <c r="B440" s="288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N440" s="20"/>
      <c r="O440" s="20"/>
    </row>
    <row r="441" spans="1:15" x14ac:dyDescent="0.25">
      <c r="A441" s="288"/>
      <c r="B441" s="288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N441" s="20"/>
      <c r="O441" s="20"/>
    </row>
    <row r="442" spans="1:15" x14ac:dyDescent="0.25">
      <c r="A442" s="288"/>
      <c r="B442" s="288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N442" s="20"/>
      <c r="O442" s="20"/>
    </row>
    <row r="443" spans="1:15" x14ac:dyDescent="0.25">
      <c r="A443" s="288"/>
      <c r="B443" s="288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N443" s="20"/>
      <c r="O443" s="20"/>
    </row>
    <row r="444" spans="1:15" x14ac:dyDescent="0.25">
      <c r="A444" s="288"/>
      <c r="B444" s="288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N444" s="20"/>
      <c r="O444" s="20"/>
    </row>
    <row r="445" spans="1:15" x14ac:dyDescent="0.25">
      <c r="A445" s="288"/>
      <c r="B445" s="288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N445" s="20"/>
      <c r="O445" s="20"/>
    </row>
    <row r="446" spans="1:15" x14ac:dyDescent="0.25">
      <c r="A446" s="288"/>
      <c r="B446" s="288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N446" s="20"/>
      <c r="O446" s="20"/>
    </row>
    <row r="447" spans="1:15" x14ac:dyDescent="0.25">
      <c r="A447" s="288"/>
      <c r="B447" s="288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N447" s="20"/>
      <c r="O447" s="20"/>
    </row>
    <row r="448" spans="1:15" x14ac:dyDescent="0.25">
      <c r="A448" s="288"/>
      <c r="B448" s="288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N448" s="20"/>
      <c r="O448" s="20"/>
    </row>
    <row r="449" spans="1:15" x14ac:dyDescent="0.25">
      <c r="A449" s="288"/>
      <c r="B449" s="288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N449" s="20"/>
      <c r="O449" s="20"/>
    </row>
    <row r="450" spans="1:15" x14ac:dyDescent="0.25">
      <c r="A450" s="288"/>
      <c r="B450" s="288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N450" s="20"/>
      <c r="O450" s="20"/>
    </row>
    <row r="451" spans="1:15" x14ac:dyDescent="0.25">
      <c r="A451" s="288"/>
      <c r="B451" s="288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N451" s="20"/>
      <c r="O451" s="20"/>
    </row>
    <row r="452" spans="1:15" x14ac:dyDescent="0.25">
      <c r="A452" s="288"/>
      <c r="B452" s="288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N452" s="20"/>
      <c r="O452" s="20"/>
    </row>
    <row r="453" spans="1:15" x14ac:dyDescent="0.25">
      <c r="A453" s="288"/>
      <c r="B453" s="288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N453" s="20"/>
      <c r="O453" s="20"/>
    </row>
    <row r="454" spans="1:15" x14ac:dyDescent="0.25">
      <c r="A454" s="288"/>
      <c r="B454" s="288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N454" s="20"/>
      <c r="O454" s="20"/>
    </row>
    <row r="455" spans="1:15" x14ac:dyDescent="0.25">
      <c r="A455" s="288"/>
      <c r="B455" s="288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N455" s="20"/>
      <c r="O455" s="20"/>
    </row>
    <row r="456" spans="1:15" x14ac:dyDescent="0.25">
      <c r="A456" s="288"/>
      <c r="B456" s="288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N456" s="20"/>
      <c r="O456" s="20"/>
    </row>
    <row r="457" spans="1:15" x14ac:dyDescent="0.25">
      <c r="A457" s="288"/>
      <c r="B457" s="288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N457" s="20"/>
      <c r="O457" s="20"/>
    </row>
    <row r="458" spans="1:15" x14ac:dyDescent="0.25">
      <c r="A458" s="288"/>
      <c r="B458" s="288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N458" s="20"/>
      <c r="O458" s="20"/>
    </row>
    <row r="459" spans="1:15" x14ac:dyDescent="0.25">
      <c r="A459" s="288"/>
      <c r="B459" s="288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N459" s="20"/>
      <c r="O459" s="20"/>
    </row>
    <row r="460" spans="1:15" x14ac:dyDescent="0.25">
      <c r="A460" s="288"/>
      <c r="B460" s="288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N460" s="20"/>
      <c r="O460" s="20"/>
    </row>
    <row r="461" spans="1:15" x14ac:dyDescent="0.25">
      <c r="A461" s="288"/>
      <c r="B461" s="288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N461" s="20"/>
      <c r="O461" s="20"/>
    </row>
    <row r="462" spans="1:15" x14ac:dyDescent="0.25">
      <c r="A462" s="288"/>
      <c r="B462" s="288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N462" s="20"/>
      <c r="O462" s="20"/>
    </row>
    <row r="463" spans="1:15" x14ac:dyDescent="0.25">
      <c r="A463" s="288"/>
      <c r="B463" s="288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N463" s="20"/>
      <c r="O463" s="20"/>
    </row>
    <row r="464" spans="1:15" x14ac:dyDescent="0.25">
      <c r="A464" s="288"/>
      <c r="B464" s="288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N464" s="20"/>
      <c r="O464" s="20"/>
    </row>
    <row r="465" spans="1:15" x14ac:dyDescent="0.25">
      <c r="A465" s="288"/>
      <c r="B465" s="288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N465" s="20"/>
      <c r="O465" s="20"/>
    </row>
    <row r="466" spans="1:15" x14ac:dyDescent="0.25">
      <c r="A466" s="288"/>
      <c r="B466" s="288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N466" s="20"/>
      <c r="O466" s="20"/>
    </row>
    <row r="467" spans="1:15" x14ac:dyDescent="0.25">
      <c r="A467" s="288"/>
      <c r="B467" s="288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N467" s="20"/>
      <c r="O467" s="20"/>
    </row>
    <row r="468" spans="1:15" x14ac:dyDescent="0.25">
      <c r="A468" s="288"/>
      <c r="B468" s="288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N468" s="20"/>
      <c r="O468" s="20"/>
    </row>
    <row r="469" spans="1:15" x14ac:dyDescent="0.25">
      <c r="A469" s="288"/>
      <c r="B469" s="288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N469" s="20"/>
      <c r="O469" s="20"/>
    </row>
    <row r="470" spans="1:15" x14ac:dyDescent="0.25">
      <c r="A470" s="288"/>
      <c r="B470" s="288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N470" s="20"/>
      <c r="O470" s="20"/>
    </row>
    <row r="471" spans="1:15" x14ac:dyDescent="0.25">
      <c r="A471" s="288"/>
      <c r="B471" s="288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N471" s="20"/>
      <c r="O471" s="20"/>
    </row>
    <row r="472" spans="1:15" x14ac:dyDescent="0.25">
      <c r="A472" s="288"/>
      <c r="B472" s="288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N472" s="20"/>
      <c r="O472" s="20"/>
    </row>
    <row r="473" spans="1:15" x14ac:dyDescent="0.25">
      <c r="A473" s="288"/>
      <c r="B473" s="288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N473" s="20"/>
      <c r="O473" s="20"/>
    </row>
    <row r="474" spans="1:15" x14ac:dyDescent="0.25">
      <c r="A474" s="288"/>
      <c r="B474" s="288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N474" s="20"/>
      <c r="O474" s="20"/>
    </row>
    <row r="475" spans="1:15" x14ac:dyDescent="0.25">
      <c r="A475" s="288"/>
      <c r="B475" s="288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N475" s="20"/>
      <c r="O475" s="20"/>
    </row>
    <row r="476" spans="1:15" x14ac:dyDescent="0.25">
      <c r="A476" s="288"/>
      <c r="B476" s="288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N476" s="20"/>
      <c r="O476" s="20"/>
    </row>
    <row r="477" spans="1:15" x14ac:dyDescent="0.25">
      <c r="A477" s="288"/>
      <c r="B477" s="288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N477" s="20"/>
      <c r="O477" s="20"/>
    </row>
    <row r="478" spans="1:15" x14ac:dyDescent="0.25">
      <c r="A478" s="288"/>
      <c r="B478" s="288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N478" s="20"/>
      <c r="O478" s="20"/>
    </row>
    <row r="479" spans="1:15" x14ac:dyDescent="0.25">
      <c r="A479" s="288"/>
      <c r="B479" s="288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N479" s="20"/>
      <c r="O479" s="20"/>
    </row>
    <row r="480" spans="1:15" x14ac:dyDescent="0.25">
      <c r="A480" s="288"/>
      <c r="B480" s="288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N480" s="20"/>
      <c r="O480" s="20"/>
    </row>
    <row r="481" spans="1:15" x14ac:dyDescent="0.25">
      <c r="A481" s="288"/>
      <c r="B481" s="288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N481" s="20"/>
      <c r="O481" s="20"/>
    </row>
    <row r="482" spans="1:15" x14ac:dyDescent="0.25">
      <c r="A482" s="288"/>
      <c r="B482" s="288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N482" s="20"/>
      <c r="O482" s="20"/>
    </row>
    <row r="483" spans="1:15" x14ac:dyDescent="0.25">
      <c r="A483" s="288"/>
      <c r="B483" s="288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N483" s="20"/>
      <c r="O483" s="20"/>
    </row>
    <row r="484" spans="1:15" x14ac:dyDescent="0.25">
      <c r="A484" s="288"/>
      <c r="B484" s="288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N484" s="20"/>
      <c r="O484" s="20"/>
    </row>
    <row r="485" spans="1:15" x14ac:dyDescent="0.25">
      <c r="A485" s="288"/>
      <c r="B485" s="288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N485" s="20"/>
      <c r="O485" s="20"/>
    </row>
    <row r="486" spans="1:15" x14ac:dyDescent="0.25">
      <c r="A486" s="288"/>
      <c r="B486" s="288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N486" s="20"/>
      <c r="O486" s="20"/>
    </row>
    <row r="487" spans="1:15" x14ac:dyDescent="0.25">
      <c r="A487" s="288"/>
      <c r="B487" s="288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N487" s="20"/>
      <c r="O487" s="20"/>
    </row>
    <row r="488" spans="1:15" x14ac:dyDescent="0.25">
      <c r="A488" s="288"/>
      <c r="B488" s="288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N488" s="20"/>
      <c r="O488" s="20"/>
    </row>
    <row r="489" spans="1:15" x14ac:dyDescent="0.25">
      <c r="A489" s="288"/>
      <c r="B489" s="288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N489" s="20"/>
      <c r="O489" s="20"/>
    </row>
    <row r="490" spans="1:15" x14ac:dyDescent="0.25">
      <c r="A490" s="288"/>
      <c r="B490" s="288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N490" s="20"/>
      <c r="O490" s="20"/>
    </row>
    <row r="491" spans="1:15" x14ac:dyDescent="0.25">
      <c r="A491" s="288"/>
      <c r="B491" s="288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N491" s="20"/>
      <c r="O491" s="20"/>
    </row>
    <row r="492" spans="1:15" x14ac:dyDescent="0.25">
      <c r="A492" s="288"/>
      <c r="B492" s="288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N492" s="20"/>
      <c r="O492" s="20"/>
    </row>
    <row r="493" spans="1:15" x14ac:dyDescent="0.25">
      <c r="A493" s="288"/>
      <c r="B493" s="288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N493" s="20"/>
      <c r="O493" s="20"/>
    </row>
    <row r="494" spans="1:15" x14ac:dyDescent="0.25">
      <c r="A494" s="288"/>
      <c r="B494" s="288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N494" s="20"/>
      <c r="O494" s="20"/>
    </row>
    <row r="495" spans="1:15" x14ac:dyDescent="0.25">
      <c r="A495" s="288"/>
      <c r="B495" s="288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N495" s="20"/>
      <c r="O495" s="20"/>
    </row>
    <row r="496" spans="1:15" x14ac:dyDescent="0.25">
      <c r="A496" s="288"/>
      <c r="B496" s="288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N496" s="20"/>
      <c r="O496" s="20"/>
    </row>
    <row r="497" spans="1:15" x14ac:dyDescent="0.25">
      <c r="A497" s="288"/>
      <c r="B497" s="288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N497" s="20"/>
      <c r="O497" s="20"/>
    </row>
    <row r="498" spans="1:15" x14ac:dyDescent="0.25">
      <c r="A498" s="288"/>
      <c r="B498" s="288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N498" s="20"/>
      <c r="O498" s="20"/>
    </row>
    <row r="499" spans="1:15" x14ac:dyDescent="0.25">
      <c r="A499" s="288"/>
      <c r="B499" s="288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N499" s="20"/>
      <c r="O499" s="20"/>
    </row>
    <row r="500" spans="1:15" x14ac:dyDescent="0.25">
      <c r="A500" s="288"/>
      <c r="B500" s="288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N500" s="20"/>
      <c r="O500" s="20"/>
    </row>
    <row r="501" spans="1:15" x14ac:dyDescent="0.25">
      <c r="A501" s="288"/>
      <c r="B501" s="288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N501" s="20"/>
      <c r="O501" s="20"/>
    </row>
    <row r="502" spans="1:15" x14ac:dyDescent="0.25">
      <c r="A502" s="288"/>
      <c r="B502" s="288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N502" s="20"/>
      <c r="O502" s="20"/>
    </row>
    <row r="503" spans="1:15" x14ac:dyDescent="0.25">
      <c r="A503" s="288"/>
      <c r="B503" s="288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N503" s="20"/>
      <c r="O503" s="20"/>
    </row>
    <row r="504" spans="1:15" x14ac:dyDescent="0.25">
      <c r="A504" s="288"/>
      <c r="B504" s="288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N504" s="20"/>
      <c r="O504" s="20"/>
    </row>
    <row r="505" spans="1:15" x14ac:dyDescent="0.25">
      <c r="A505" s="288"/>
      <c r="B505" s="288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N505" s="20"/>
      <c r="O505" s="20"/>
    </row>
    <row r="506" spans="1:15" x14ac:dyDescent="0.25">
      <c r="A506" s="288"/>
      <c r="B506" s="288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N506" s="20"/>
      <c r="O506" s="20"/>
    </row>
    <row r="507" spans="1:15" x14ac:dyDescent="0.25">
      <c r="A507" s="288"/>
      <c r="B507" s="288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N507" s="20"/>
      <c r="O507" s="20"/>
    </row>
    <row r="508" spans="1:15" x14ac:dyDescent="0.25">
      <c r="A508" s="288"/>
      <c r="B508" s="288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N508" s="20"/>
      <c r="O508" s="20"/>
    </row>
    <row r="509" spans="1:15" x14ac:dyDescent="0.25">
      <c r="A509" s="288"/>
      <c r="B509" s="288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N509" s="20"/>
      <c r="O509" s="20"/>
    </row>
    <row r="510" spans="1:15" x14ac:dyDescent="0.25">
      <c r="A510" s="288"/>
      <c r="B510" s="288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N510" s="20"/>
      <c r="O510" s="20"/>
    </row>
    <row r="511" spans="1:15" x14ac:dyDescent="0.25">
      <c r="A511" s="288"/>
      <c r="B511" s="288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N511" s="20"/>
      <c r="O511" s="20"/>
    </row>
    <row r="512" spans="1:15" x14ac:dyDescent="0.25">
      <c r="A512" s="288"/>
      <c r="B512" s="288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N512" s="20"/>
      <c r="O512" s="20"/>
    </row>
    <row r="513" spans="1:15" x14ac:dyDescent="0.25">
      <c r="A513" s="288"/>
      <c r="B513" s="288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N513" s="20"/>
      <c r="O513" s="20"/>
    </row>
    <row r="514" spans="1:15" x14ac:dyDescent="0.25">
      <c r="A514" s="288"/>
      <c r="B514" s="288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N514" s="20"/>
      <c r="O514" s="20"/>
    </row>
    <row r="515" spans="1:15" x14ac:dyDescent="0.25">
      <c r="A515" s="288"/>
      <c r="B515" s="288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N515" s="20"/>
      <c r="O515" s="20"/>
    </row>
    <row r="516" spans="1:15" x14ac:dyDescent="0.25">
      <c r="A516" s="288"/>
      <c r="B516" s="288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N516" s="20"/>
      <c r="O516" s="20"/>
    </row>
    <row r="517" spans="1:15" x14ac:dyDescent="0.25">
      <c r="A517" s="288"/>
      <c r="B517" s="288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N517" s="20"/>
      <c r="O517" s="20"/>
    </row>
    <row r="518" spans="1:15" x14ac:dyDescent="0.25">
      <c r="A518" s="288"/>
      <c r="B518" s="288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N518" s="20"/>
      <c r="O518" s="20"/>
    </row>
    <row r="519" spans="1:15" x14ac:dyDescent="0.25">
      <c r="A519" s="288"/>
      <c r="B519" s="288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N519" s="20"/>
      <c r="O519" s="20"/>
    </row>
    <row r="520" spans="1:15" x14ac:dyDescent="0.25">
      <c r="A520" s="288"/>
      <c r="B520" s="288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N520" s="20"/>
      <c r="O520" s="20"/>
    </row>
    <row r="521" spans="1:15" x14ac:dyDescent="0.25">
      <c r="A521" s="288"/>
      <c r="B521" s="288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N521" s="20"/>
      <c r="O521" s="20"/>
    </row>
    <row r="522" spans="1:15" x14ac:dyDescent="0.25">
      <c r="A522" s="288"/>
      <c r="B522" s="288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N522" s="20"/>
      <c r="O522" s="20"/>
    </row>
    <row r="523" spans="1:15" x14ac:dyDescent="0.25">
      <c r="A523" s="288"/>
      <c r="B523" s="288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N523" s="20"/>
      <c r="O523" s="20"/>
    </row>
    <row r="524" spans="1:15" x14ac:dyDescent="0.25">
      <c r="A524" s="288"/>
      <c r="B524" s="288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N524" s="20"/>
      <c r="O524" s="20"/>
    </row>
    <row r="525" spans="1:15" x14ac:dyDescent="0.25">
      <c r="A525" s="288"/>
      <c r="B525" s="288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N525" s="20"/>
      <c r="O525" s="20"/>
    </row>
    <row r="526" spans="1:15" x14ac:dyDescent="0.25">
      <c r="A526" s="288"/>
      <c r="B526" s="288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N526" s="20"/>
      <c r="O526" s="20"/>
    </row>
    <row r="527" spans="1:15" x14ac:dyDescent="0.25">
      <c r="A527" s="288"/>
      <c r="B527" s="288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N527" s="20"/>
      <c r="O527" s="20"/>
    </row>
    <row r="528" spans="1:15" x14ac:dyDescent="0.25">
      <c r="A528" s="288"/>
      <c r="B528" s="288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N528" s="20"/>
      <c r="O528" s="20"/>
    </row>
    <row r="529" spans="1:15" x14ac:dyDescent="0.25">
      <c r="A529" s="288"/>
      <c r="B529" s="288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N529" s="20"/>
      <c r="O529" s="20"/>
    </row>
    <row r="530" spans="1:15" x14ac:dyDescent="0.25">
      <c r="A530" s="288"/>
      <c r="B530" s="288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N530" s="20"/>
      <c r="O530" s="20"/>
    </row>
    <row r="531" spans="1:15" x14ac:dyDescent="0.25">
      <c r="A531" s="288"/>
      <c r="B531" s="288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N531" s="20"/>
      <c r="O531" s="20"/>
    </row>
    <row r="532" spans="1:15" x14ac:dyDescent="0.25">
      <c r="A532" s="288"/>
      <c r="B532" s="288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N532" s="20"/>
      <c r="O532" s="20"/>
    </row>
    <row r="533" spans="1:15" x14ac:dyDescent="0.25">
      <c r="A533" s="288"/>
      <c r="B533" s="288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N533" s="20"/>
      <c r="O533" s="20"/>
    </row>
    <row r="534" spans="1:15" x14ac:dyDescent="0.25">
      <c r="A534" s="288"/>
      <c r="B534" s="288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N534" s="20"/>
      <c r="O534" s="20"/>
    </row>
    <row r="535" spans="1:15" x14ac:dyDescent="0.25">
      <c r="A535" s="288"/>
      <c r="B535" s="288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N535" s="20"/>
      <c r="O535" s="20"/>
    </row>
    <row r="536" spans="1:15" x14ac:dyDescent="0.25">
      <c r="A536" s="288"/>
      <c r="B536" s="288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N536" s="20"/>
      <c r="O536" s="20"/>
    </row>
    <row r="537" spans="1:15" x14ac:dyDescent="0.25">
      <c r="A537" s="288"/>
      <c r="B537" s="288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N537" s="20"/>
      <c r="O537" s="20"/>
    </row>
    <row r="538" spans="1:15" x14ac:dyDescent="0.25">
      <c r="A538" s="288"/>
      <c r="B538" s="288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N538" s="20"/>
      <c r="O538" s="20"/>
    </row>
    <row r="539" spans="1:15" x14ac:dyDescent="0.25">
      <c r="A539" s="288"/>
      <c r="B539" s="288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N539" s="20"/>
      <c r="O539" s="20"/>
    </row>
    <row r="540" spans="1:15" x14ac:dyDescent="0.25">
      <c r="A540" s="288"/>
      <c r="B540" s="288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N540" s="20"/>
      <c r="O540" s="20"/>
    </row>
    <row r="541" spans="1:15" x14ac:dyDescent="0.25">
      <c r="A541" s="288"/>
      <c r="B541" s="288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N541" s="20"/>
      <c r="O541" s="20"/>
    </row>
    <row r="542" spans="1:15" x14ac:dyDescent="0.25">
      <c r="A542" s="288"/>
      <c r="B542" s="288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N542" s="20"/>
      <c r="O542" s="20"/>
    </row>
    <row r="543" spans="1:15" x14ac:dyDescent="0.25">
      <c r="A543" s="288"/>
      <c r="B543" s="288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N543" s="20"/>
      <c r="O543" s="20"/>
    </row>
    <row r="544" spans="1:15" x14ac:dyDescent="0.25">
      <c r="A544" s="288"/>
      <c r="B544" s="288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N544" s="20"/>
      <c r="O544" s="20"/>
    </row>
    <row r="545" spans="1:15" x14ac:dyDescent="0.25">
      <c r="A545" s="288"/>
      <c r="B545" s="288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N545" s="20"/>
      <c r="O545" s="20"/>
    </row>
    <row r="546" spans="1:15" x14ac:dyDescent="0.25">
      <c r="A546" s="288"/>
      <c r="B546" s="288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N546" s="20"/>
      <c r="O546" s="20"/>
    </row>
    <row r="547" spans="1:15" x14ac:dyDescent="0.25">
      <c r="A547" s="288"/>
      <c r="B547" s="288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N547" s="20"/>
      <c r="O547" s="20"/>
    </row>
    <row r="548" spans="1:15" x14ac:dyDescent="0.25">
      <c r="A548" s="288"/>
      <c r="B548" s="288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N548" s="20"/>
      <c r="O548" s="20"/>
    </row>
    <row r="549" spans="1:15" x14ac:dyDescent="0.25">
      <c r="A549" s="288"/>
      <c r="B549" s="288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N549" s="20"/>
      <c r="O549" s="20"/>
    </row>
    <row r="550" spans="1:15" x14ac:dyDescent="0.25">
      <c r="A550" s="288"/>
      <c r="B550" s="288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N550" s="20"/>
      <c r="O550" s="20"/>
    </row>
    <row r="551" spans="1:15" x14ac:dyDescent="0.25">
      <c r="A551" s="288"/>
      <c r="B551" s="288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N551" s="20"/>
      <c r="O551" s="20"/>
    </row>
    <row r="552" spans="1:15" x14ac:dyDescent="0.25">
      <c r="A552" s="288"/>
      <c r="B552" s="288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N552" s="20"/>
      <c r="O552" s="20"/>
    </row>
    <row r="553" spans="1:15" x14ac:dyDescent="0.25">
      <c r="A553" s="288"/>
      <c r="B553" s="288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N553" s="20"/>
      <c r="O553" s="20"/>
    </row>
    <row r="554" spans="1:15" x14ac:dyDescent="0.25">
      <c r="A554" s="288"/>
      <c r="B554" s="288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N554" s="20"/>
      <c r="O554" s="20"/>
    </row>
    <row r="555" spans="1:15" x14ac:dyDescent="0.25">
      <c r="A555" s="288"/>
      <c r="B555" s="288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N555" s="20"/>
      <c r="O555" s="20"/>
    </row>
    <row r="556" spans="1:15" x14ac:dyDescent="0.25">
      <c r="A556" s="288"/>
      <c r="B556" s="288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N556" s="20"/>
      <c r="O556" s="20"/>
    </row>
    <row r="557" spans="1:15" x14ac:dyDescent="0.25">
      <c r="A557" s="288"/>
      <c r="B557" s="288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N557" s="20"/>
      <c r="O557" s="20"/>
    </row>
    <row r="558" spans="1:15" x14ac:dyDescent="0.25">
      <c r="A558" s="288"/>
      <c r="B558" s="288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N558" s="20"/>
      <c r="O558" s="20"/>
    </row>
    <row r="559" spans="1:15" x14ac:dyDescent="0.25">
      <c r="A559" s="288"/>
      <c r="B559" s="288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N559" s="20"/>
      <c r="O559" s="20"/>
    </row>
    <row r="560" spans="1:15" x14ac:dyDescent="0.25">
      <c r="A560" s="288"/>
      <c r="B560" s="288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N560" s="20"/>
      <c r="O560" s="20"/>
    </row>
    <row r="561" spans="1:15" x14ac:dyDescent="0.25">
      <c r="A561" s="288"/>
      <c r="B561" s="288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N561" s="20"/>
      <c r="O561" s="20"/>
    </row>
    <row r="562" spans="1:15" x14ac:dyDescent="0.25">
      <c r="A562" s="288"/>
      <c r="B562" s="288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N562" s="20"/>
      <c r="O562" s="20"/>
    </row>
    <row r="563" spans="1:15" x14ac:dyDescent="0.25">
      <c r="A563" s="288"/>
      <c r="B563" s="288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N563" s="20"/>
      <c r="O563" s="20"/>
    </row>
    <row r="564" spans="1:15" x14ac:dyDescent="0.25">
      <c r="A564" s="288"/>
      <c r="B564" s="288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N564" s="20"/>
      <c r="O564" s="20"/>
    </row>
    <row r="565" spans="1:15" x14ac:dyDescent="0.25">
      <c r="A565" s="288"/>
      <c r="B565" s="288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N565" s="20"/>
      <c r="O565" s="20"/>
    </row>
    <row r="566" spans="1:15" x14ac:dyDescent="0.25">
      <c r="A566" s="288"/>
      <c r="B566" s="288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N566" s="20"/>
      <c r="O566" s="20"/>
    </row>
    <row r="567" spans="1:15" x14ac:dyDescent="0.25">
      <c r="A567" s="288"/>
      <c r="B567" s="288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N567" s="20"/>
      <c r="O567" s="20"/>
    </row>
    <row r="568" spans="1:15" x14ac:dyDescent="0.25">
      <c r="A568" s="288"/>
      <c r="B568" s="288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N568" s="20"/>
      <c r="O568" s="20"/>
    </row>
    <row r="569" spans="1:15" x14ac:dyDescent="0.25">
      <c r="A569" s="288"/>
      <c r="B569" s="288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N569" s="20"/>
      <c r="O569" s="20"/>
    </row>
    <row r="570" spans="1:15" x14ac:dyDescent="0.25">
      <c r="A570" s="288"/>
      <c r="B570" s="288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N570" s="20"/>
      <c r="O570" s="20"/>
    </row>
    <row r="571" spans="1:15" x14ac:dyDescent="0.25">
      <c r="A571" s="288"/>
      <c r="B571" s="288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N571" s="20"/>
      <c r="O571" s="20"/>
    </row>
    <row r="572" spans="1:15" x14ac:dyDescent="0.25">
      <c r="A572" s="288"/>
      <c r="B572" s="288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N572" s="20"/>
      <c r="O572" s="20"/>
    </row>
    <row r="573" spans="1:15" x14ac:dyDescent="0.25">
      <c r="A573" s="288"/>
      <c r="B573" s="288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N573" s="20"/>
      <c r="O573" s="20"/>
    </row>
    <row r="574" spans="1:15" x14ac:dyDescent="0.25">
      <c r="A574" s="288"/>
      <c r="B574" s="288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N574" s="20"/>
      <c r="O574" s="20"/>
    </row>
    <row r="575" spans="1:15" x14ac:dyDescent="0.25">
      <c r="A575" s="288"/>
      <c r="B575" s="288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N575" s="20"/>
      <c r="O575" s="20"/>
    </row>
    <row r="576" spans="1:15" x14ac:dyDescent="0.25">
      <c r="A576" s="288"/>
      <c r="B576" s="288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N576" s="20"/>
      <c r="O576" s="20"/>
    </row>
    <row r="577" spans="1:15" x14ac:dyDescent="0.25">
      <c r="A577" s="288"/>
      <c r="B577" s="288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N577" s="20"/>
      <c r="O577" s="20"/>
    </row>
    <row r="578" spans="1:15" x14ac:dyDescent="0.25">
      <c r="A578" s="288"/>
      <c r="B578" s="288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N578" s="20"/>
      <c r="O578" s="20"/>
    </row>
    <row r="579" spans="1:15" x14ac:dyDescent="0.25">
      <c r="A579" s="288"/>
      <c r="B579" s="288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N579" s="20"/>
      <c r="O579" s="20"/>
    </row>
    <row r="580" spans="1:15" x14ac:dyDescent="0.25">
      <c r="A580" s="288"/>
      <c r="B580" s="288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N580" s="20"/>
      <c r="O580" s="20"/>
    </row>
    <row r="581" spans="1:15" x14ac:dyDescent="0.25">
      <c r="A581" s="288"/>
      <c r="B581" s="288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N581" s="20"/>
      <c r="O581" s="20"/>
    </row>
    <row r="582" spans="1:15" x14ac:dyDescent="0.25">
      <c r="A582" s="288"/>
      <c r="B582" s="288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N582" s="20"/>
      <c r="O582" s="20"/>
    </row>
    <row r="583" spans="1:15" x14ac:dyDescent="0.25">
      <c r="A583" s="288"/>
      <c r="B583" s="288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N583" s="20"/>
      <c r="O583" s="20"/>
    </row>
    <row r="584" spans="1:15" x14ac:dyDescent="0.25">
      <c r="A584" s="288"/>
      <c r="B584" s="288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N584" s="20"/>
      <c r="O584" s="20"/>
    </row>
    <row r="585" spans="1:15" x14ac:dyDescent="0.25">
      <c r="A585" s="288"/>
      <c r="B585" s="288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N585" s="20"/>
      <c r="O585" s="20"/>
    </row>
    <row r="586" spans="1:15" x14ac:dyDescent="0.25">
      <c r="A586" s="288"/>
      <c r="B586" s="288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N586" s="20"/>
      <c r="O586" s="20"/>
    </row>
    <row r="587" spans="1:15" x14ac:dyDescent="0.25">
      <c r="A587" s="288"/>
      <c r="B587" s="288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N587" s="20"/>
      <c r="O587" s="20"/>
    </row>
    <row r="588" spans="1:15" x14ac:dyDescent="0.25">
      <c r="A588" s="288"/>
      <c r="B588" s="288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N588" s="20"/>
      <c r="O588" s="20"/>
    </row>
    <row r="589" spans="1:15" x14ac:dyDescent="0.25">
      <c r="A589" s="288"/>
      <c r="B589" s="288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N589" s="20"/>
      <c r="O589" s="20"/>
    </row>
    <row r="590" spans="1:15" x14ac:dyDescent="0.25">
      <c r="A590" s="288"/>
      <c r="B590" s="288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N590" s="20"/>
      <c r="O590" s="20"/>
    </row>
    <row r="591" spans="1:15" x14ac:dyDescent="0.25">
      <c r="A591" s="288"/>
      <c r="B591" s="288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N591" s="20"/>
      <c r="O591" s="20"/>
    </row>
    <row r="592" spans="1:15" x14ac:dyDescent="0.25">
      <c r="A592" s="288"/>
      <c r="B592" s="288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N592" s="20"/>
      <c r="O592" s="20"/>
    </row>
    <row r="593" spans="1:15" x14ac:dyDescent="0.25">
      <c r="A593" s="288"/>
      <c r="B593" s="288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N593" s="20"/>
      <c r="O593" s="20"/>
    </row>
    <row r="594" spans="1:15" x14ac:dyDescent="0.25">
      <c r="A594" s="288"/>
      <c r="B594" s="288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N594" s="20"/>
      <c r="O594" s="20"/>
    </row>
    <row r="595" spans="1:15" x14ac:dyDescent="0.25">
      <c r="A595" s="288"/>
      <c r="B595" s="288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N595" s="20"/>
      <c r="O595" s="20"/>
    </row>
    <row r="596" spans="1:15" x14ac:dyDescent="0.25">
      <c r="A596" s="288"/>
      <c r="B596" s="288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N596" s="20"/>
      <c r="O596" s="20"/>
    </row>
    <row r="597" spans="1:15" x14ac:dyDescent="0.25">
      <c r="A597" s="288"/>
      <c r="B597" s="288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N597" s="20"/>
      <c r="O597" s="20"/>
    </row>
    <row r="598" spans="1:15" x14ac:dyDescent="0.25">
      <c r="A598" s="288"/>
      <c r="B598" s="288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N598" s="20"/>
      <c r="O598" s="20"/>
    </row>
    <row r="599" spans="1:15" x14ac:dyDescent="0.25">
      <c r="A599" s="288"/>
      <c r="B599" s="288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N599" s="20"/>
      <c r="O599" s="20"/>
    </row>
    <row r="600" spans="1:15" x14ac:dyDescent="0.25">
      <c r="A600" s="288"/>
      <c r="B600" s="288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N600" s="20"/>
      <c r="O600" s="20"/>
    </row>
    <row r="601" spans="1:15" x14ac:dyDescent="0.25">
      <c r="A601" s="288"/>
      <c r="B601" s="288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N601" s="20"/>
      <c r="O601" s="20"/>
    </row>
    <row r="602" spans="1:15" x14ac:dyDescent="0.25">
      <c r="A602" s="288"/>
      <c r="B602" s="288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N602" s="20"/>
      <c r="O602" s="20"/>
    </row>
    <row r="603" spans="1:15" x14ac:dyDescent="0.25">
      <c r="A603" s="288"/>
      <c r="B603" s="288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N603" s="20"/>
      <c r="O603" s="20"/>
    </row>
    <row r="604" spans="1:15" x14ac:dyDescent="0.25">
      <c r="A604" s="288"/>
      <c r="B604" s="288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N604" s="20"/>
      <c r="O604" s="20"/>
    </row>
    <row r="605" spans="1:15" x14ac:dyDescent="0.25">
      <c r="A605" s="288"/>
      <c r="B605" s="288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N605" s="20"/>
      <c r="O605" s="20"/>
    </row>
    <row r="606" spans="1:15" x14ac:dyDescent="0.25">
      <c r="A606" s="288"/>
      <c r="B606" s="288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N606" s="20"/>
      <c r="O606" s="20"/>
    </row>
    <row r="607" spans="1:15" x14ac:dyDescent="0.25">
      <c r="A607" s="288"/>
      <c r="B607" s="288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N607" s="20"/>
      <c r="O607" s="20"/>
    </row>
    <row r="608" spans="1:15" x14ac:dyDescent="0.25">
      <c r="A608" s="288"/>
      <c r="B608" s="288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N608" s="20"/>
      <c r="O608" s="20"/>
    </row>
    <row r="609" spans="1:15" x14ac:dyDescent="0.25">
      <c r="A609" s="288"/>
      <c r="B609" s="288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N609" s="20"/>
      <c r="O609" s="20"/>
    </row>
    <row r="610" spans="1:15" x14ac:dyDescent="0.25">
      <c r="A610" s="288"/>
      <c r="B610" s="288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N610" s="20"/>
      <c r="O610" s="20"/>
    </row>
    <row r="611" spans="1:15" x14ac:dyDescent="0.25">
      <c r="A611" s="288"/>
      <c r="B611" s="288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N611" s="20"/>
      <c r="O611" s="20"/>
    </row>
    <row r="612" spans="1:15" x14ac:dyDescent="0.25">
      <c r="A612" s="288"/>
      <c r="B612" s="288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N612" s="20"/>
      <c r="O612" s="20"/>
    </row>
    <row r="613" spans="1:15" x14ac:dyDescent="0.25">
      <c r="A613" s="288"/>
      <c r="B613" s="288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N613" s="20"/>
      <c r="O613" s="20"/>
    </row>
    <row r="614" spans="1:15" x14ac:dyDescent="0.25">
      <c r="A614" s="288"/>
      <c r="B614" s="288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N614" s="20"/>
      <c r="O614" s="20"/>
    </row>
    <row r="615" spans="1:15" x14ac:dyDescent="0.25">
      <c r="A615" s="288"/>
      <c r="B615" s="288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N615" s="20"/>
      <c r="O615" s="20"/>
    </row>
    <row r="616" spans="1:15" x14ac:dyDescent="0.25">
      <c r="A616" s="288"/>
      <c r="B616" s="288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N616" s="20"/>
      <c r="O616" s="20"/>
    </row>
    <row r="617" spans="1:15" x14ac:dyDescent="0.25">
      <c r="A617" s="288"/>
      <c r="B617" s="288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N617" s="20"/>
      <c r="O617" s="20"/>
    </row>
    <row r="618" spans="1:15" x14ac:dyDescent="0.25">
      <c r="A618" s="288"/>
      <c r="B618" s="288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N618" s="20"/>
      <c r="O618" s="20"/>
    </row>
    <row r="619" spans="1:15" x14ac:dyDescent="0.25">
      <c r="A619" s="288"/>
      <c r="B619" s="288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N619" s="20"/>
      <c r="O619" s="20"/>
    </row>
    <row r="620" spans="1:15" x14ac:dyDescent="0.25">
      <c r="A620" s="288"/>
      <c r="B620" s="288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N620" s="20"/>
      <c r="O620" s="20"/>
    </row>
    <row r="621" spans="1:15" x14ac:dyDescent="0.25">
      <c r="A621" s="288"/>
      <c r="B621" s="288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N621" s="20"/>
      <c r="O621" s="20"/>
    </row>
    <row r="622" spans="1:15" x14ac:dyDescent="0.25">
      <c r="A622" s="288"/>
      <c r="B622" s="288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N622" s="20"/>
      <c r="O622" s="20"/>
    </row>
    <row r="623" spans="1:15" x14ac:dyDescent="0.25">
      <c r="A623" s="288"/>
      <c r="B623" s="288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N623" s="20"/>
      <c r="O623" s="20"/>
    </row>
    <row r="624" spans="1:15" x14ac:dyDescent="0.25">
      <c r="A624" s="288"/>
      <c r="B624" s="288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N624" s="20"/>
      <c r="O624" s="20"/>
    </row>
    <row r="625" spans="1:15" x14ac:dyDescent="0.25">
      <c r="A625" s="288"/>
      <c r="B625" s="288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N625" s="20"/>
      <c r="O625" s="20"/>
    </row>
    <row r="626" spans="1:15" x14ac:dyDescent="0.25">
      <c r="A626" s="288"/>
      <c r="B626" s="288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N626" s="20"/>
      <c r="O626" s="20"/>
    </row>
    <row r="627" spans="1:15" x14ac:dyDescent="0.25">
      <c r="A627" s="288"/>
      <c r="B627" s="288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N627" s="20"/>
      <c r="O627" s="20"/>
    </row>
    <row r="628" spans="1:15" x14ac:dyDescent="0.25">
      <c r="A628" s="288"/>
      <c r="B628" s="288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N628" s="20"/>
      <c r="O628" s="20"/>
    </row>
    <row r="629" spans="1:15" x14ac:dyDescent="0.25">
      <c r="A629" s="288"/>
      <c r="B629" s="288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N629" s="20"/>
      <c r="O629" s="20"/>
    </row>
    <row r="630" spans="1:15" x14ac:dyDescent="0.25">
      <c r="A630" s="288"/>
      <c r="B630" s="288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N630" s="20"/>
      <c r="O630" s="20"/>
    </row>
    <row r="631" spans="1:15" x14ac:dyDescent="0.25">
      <c r="A631" s="288"/>
      <c r="B631" s="288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N631" s="20"/>
      <c r="O631" s="20"/>
    </row>
    <row r="632" spans="1:15" x14ac:dyDescent="0.25">
      <c r="A632" s="288"/>
      <c r="B632" s="288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N632" s="20"/>
      <c r="O632" s="20"/>
    </row>
    <row r="633" spans="1:15" x14ac:dyDescent="0.25">
      <c r="A633" s="288"/>
      <c r="B633" s="288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N633" s="20"/>
      <c r="O633" s="20"/>
    </row>
    <row r="634" spans="1:15" x14ac:dyDescent="0.25">
      <c r="A634" s="288"/>
      <c r="B634" s="288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N634" s="20"/>
      <c r="O634" s="20"/>
    </row>
    <row r="635" spans="1:15" x14ac:dyDescent="0.25">
      <c r="A635" s="288"/>
      <c r="B635" s="288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N635" s="20"/>
      <c r="O635" s="20"/>
    </row>
    <row r="636" spans="1:15" x14ac:dyDescent="0.25">
      <c r="A636" s="288"/>
      <c r="B636" s="288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N636" s="20"/>
      <c r="O636" s="20"/>
    </row>
    <row r="637" spans="1:15" x14ac:dyDescent="0.25">
      <c r="A637" s="288"/>
      <c r="B637" s="288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N637" s="20"/>
      <c r="O637" s="20"/>
    </row>
    <row r="638" spans="1:15" x14ac:dyDescent="0.25">
      <c r="A638" s="288"/>
      <c r="B638" s="288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N638" s="20"/>
      <c r="O638" s="20"/>
    </row>
    <row r="639" spans="1:15" x14ac:dyDescent="0.25">
      <c r="A639" s="288"/>
      <c r="B639" s="288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N639" s="20"/>
      <c r="O639" s="20"/>
    </row>
    <row r="640" spans="1:15" x14ac:dyDescent="0.25">
      <c r="A640" s="288"/>
      <c r="B640" s="288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N640" s="20"/>
      <c r="O640" s="20"/>
    </row>
    <row r="641" spans="1:15" x14ac:dyDescent="0.25">
      <c r="A641" s="288"/>
      <c r="B641" s="288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N641" s="20"/>
      <c r="O641" s="20"/>
    </row>
    <row r="642" spans="1:15" x14ac:dyDescent="0.25">
      <c r="A642" s="288"/>
      <c r="B642" s="288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N642" s="20"/>
      <c r="O642" s="20"/>
    </row>
    <row r="643" spans="1:15" x14ac:dyDescent="0.25">
      <c r="A643" s="288"/>
      <c r="B643" s="288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N643" s="20"/>
      <c r="O643" s="20"/>
    </row>
    <row r="644" spans="1:15" x14ac:dyDescent="0.25">
      <c r="A644" s="288"/>
      <c r="B644" s="288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N644" s="20"/>
      <c r="O644" s="20"/>
    </row>
    <row r="645" spans="1:15" x14ac:dyDescent="0.25">
      <c r="A645" s="288"/>
      <c r="B645" s="288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N645" s="20"/>
      <c r="O645" s="20"/>
    </row>
    <row r="646" spans="1:15" x14ac:dyDescent="0.25">
      <c r="A646" s="288"/>
      <c r="B646" s="288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N646" s="20"/>
      <c r="O646" s="20"/>
    </row>
    <row r="647" spans="1:15" x14ac:dyDescent="0.25">
      <c r="A647" s="288"/>
      <c r="B647" s="288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N647" s="20"/>
      <c r="O647" s="20"/>
    </row>
    <row r="648" spans="1:15" x14ac:dyDescent="0.25">
      <c r="A648" s="288"/>
      <c r="B648" s="288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N648" s="20"/>
      <c r="O648" s="20"/>
    </row>
    <row r="649" spans="1:15" x14ac:dyDescent="0.25">
      <c r="A649" s="288"/>
      <c r="B649" s="288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N649" s="20"/>
      <c r="O649" s="20"/>
    </row>
    <row r="650" spans="1:15" x14ac:dyDescent="0.25">
      <c r="A650" s="288"/>
      <c r="B650" s="288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N650" s="20"/>
      <c r="O650" s="20"/>
    </row>
    <row r="651" spans="1:15" x14ac:dyDescent="0.25">
      <c r="A651" s="288"/>
      <c r="B651" s="288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N651" s="20"/>
      <c r="O651" s="20"/>
    </row>
    <row r="652" spans="1:15" x14ac:dyDescent="0.25">
      <c r="A652" s="288"/>
      <c r="B652" s="288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N652" s="20"/>
      <c r="O652" s="20"/>
    </row>
    <row r="653" spans="1:15" x14ac:dyDescent="0.25">
      <c r="A653" s="288"/>
      <c r="B653" s="288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N653" s="20"/>
      <c r="O653" s="20"/>
    </row>
    <row r="654" spans="1:15" x14ac:dyDescent="0.25">
      <c r="A654" s="288"/>
      <c r="B654" s="288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N654" s="20"/>
      <c r="O654" s="20"/>
    </row>
    <row r="655" spans="1:15" x14ac:dyDescent="0.25">
      <c r="A655" s="288"/>
      <c r="B655" s="288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N655" s="20"/>
      <c r="O655" s="20"/>
    </row>
    <row r="656" spans="1:15" x14ac:dyDescent="0.25">
      <c r="A656" s="288"/>
      <c r="B656" s="288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N656" s="20"/>
      <c r="O656" s="20"/>
    </row>
    <row r="657" spans="1:15" x14ac:dyDescent="0.25">
      <c r="A657" s="288"/>
      <c r="B657" s="288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N657" s="20"/>
      <c r="O657" s="20"/>
    </row>
    <row r="658" spans="1:15" x14ac:dyDescent="0.25">
      <c r="A658" s="288"/>
      <c r="B658" s="288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N658" s="20"/>
      <c r="O658" s="20"/>
    </row>
    <row r="659" spans="1:15" x14ac:dyDescent="0.25">
      <c r="A659" s="288"/>
      <c r="B659" s="288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N659" s="20"/>
      <c r="O659" s="20"/>
    </row>
    <row r="660" spans="1:15" x14ac:dyDescent="0.25">
      <c r="A660" s="288"/>
      <c r="B660" s="288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N660" s="20"/>
      <c r="O660" s="20"/>
    </row>
    <row r="661" spans="1:15" x14ac:dyDescent="0.25">
      <c r="A661" s="288"/>
      <c r="B661" s="288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N661" s="20"/>
      <c r="O661" s="20"/>
    </row>
    <row r="662" spans="1:15" x14ac:dyDescent="0.25">
      <c r="A662" s="288"/>
      <c r="B662" s="288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N662" s="20"/>
      <c r="O662" s="20"/>
    </row>
    <row r="663" spans="1:15" x14ac:dyDescent="0.25">
      <c r="A663" s="288"/>
      <c r="B663" s="288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N663" s="20"/>
      <c r="O663" s="20"/>
    </row>
    <row r="664" spans="1:15" x14ac:dyDescent="0.25">
      <c r="A664" s="288"/>
      <c r="B664" s="288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N664" s="20"/>
      <c r="O664" s="20"/>
    </row>
    <row r="665" spans="1:15" x14ac:dyDescent="0.25">
      <c r="A665" s="288"/>
      <c r="B665" s="288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N665" s="20"/>
      <c r="O665" s="20"/>
    </row>
    <row r="666" spans="1:15" x14ac:dyDescent="0.25">
      <c r="A666" s="288"/>
      <c r="B666" s="288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N666" s="20"/>
      <c r="O666" s="20"/>
    </row>
    <row r="667" spans="1:15" x14ac:dyDescent="0.25">
      <c r="A667" s="288"/>
      <c r="B667" s="288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N667" s="20"/>
      <c r="O667" s="20"/>
    </row>
    <row r="668" spans="1:15" x14ac:dyDescent="0.25">
      <c r="A668" s="288"/>
      <c r="B668" s="288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N668" s="20"/>
      <c r="O668" s="20"/>
    </row>
    <row r="669" spans="1:15" x14ac:dyDescent="0.25">
      <c r="A669" s="288"/>
      <c r="B669" s="288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N669" s="20"/>
      <c r="O669" s="20"/>
    </row>
    <row r="670" spans="1:15" x14ac:dyDescent="0.25">
      <c r="A670" s="288"/>
      <c r="B670" s="288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N670" s="20"/>
      <c r="O670" s="20"/>
    </row>
    <row r="671" spans="1:15" x14ac:dyDescent="0.25">
      <c r="A671" s="288"/>
      <c r="B671" s="288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N671" s="20"/>
      <c r="O671" s="20"/>
    </row>
    <row r="672" spans="1:15" x14ac:dyDescent="0.25">
      <c r="A672" s="288"/>
      <c r="B672" s="288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N672" s="20"/>
      <c r="O672" s="20"/>
    </row>
    <row r="673" spans="1:15" x14ac:dyDescent="0.25">
      <c r="A673" s="288"/>
      <c r="B673" s="288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N673" s="20"/>
      <c r="O673" s="20"/>
    </row>
    <row r="674" spans="1:15" x14ac:dyDescent="0.25">
      <c r="A674" s="288"/>
      <c r="B674" s="288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N674" s="20"/>
      <c r="O674" s="20"/>
    </row>
    <row r="675" spans="1:15" x14ac:dyDescent="0.25">
      <c r="A675" s="288"/>
      <c r="B675" s="288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N675" s="20"/>
      <c r="O675" s="20"/>
    </row>
    <row r="676" spans="1:15" x14ac:dyDescent="0.25">
      <c r="A676" s="288"/>
      <c r="B676" s="288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N676" s="20"/>
      <c r="O676" s="20"/>
    </row>
    <row r="677" spans="1:15" x14ac:dyDescent="0.25">
      <c r="A677" s="288"/>
      <c r="B677" s="288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N677" s="20"/>
      <c r="O677" s="20"/>
    </row>
    <row r="678" spans="1:15" x14ac:dyDescent="0.25">
      <c r="A678" s="288"/>
      <c r="B678" s="288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N678" s="20"/>
      <c r="O678" s="20"/>
    </row>
    <row r="679" spans="1:15" x14ac:dyDescent="0.25">
      <c r="A679" s="288"/>
      <c r="B679" s="288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N679" s="20"/>
      <c r="O679" s="20"/>
    </row>
    <row r="680" spans="1:15" x14ac:dyDescent="0.25">
      <c r="A680" s="288"/>
      <c r="B680" s="288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N680" s="20"/>
      <c r="O680" s="20"/>
    </row>
    <row r="681" spans="1:15" x14ac:dyDescent="0.25">
      <c r="A681" s="288"/>
      <c r="B681" s="288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N681" s="20"/>
      <c r="O681" s="20"/>
    </row>
    <row r="682" spans="1:15" x14ac:dyDescent="0.25">
      <c r="A682" s="288"/>
      <c r="B682" s="288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N682" s="20"/>
      <c r="O682" s="20"/>
    </row>
    <row r="683" spans="1:15" x14ac:dyDescent="0.25">
      <c r="A683" s="288"/>
      <c r="B683" s="288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N683" s="20"/>
      <c r="O683" s="20"/>
    </row>
    <row r="684" spans="1:15" x14ac:dyDescent="0.25">
      <c r="A684" s="288"/>
      <c r="B684" s="288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N684" s="20"/>
      <c r="O684" s="20"/>
    </row>
    <row r="685" spans="1:15" x14ac:dyDescent="0.25">
      <c r="A685" s="288"/>
      <c r="B685" s="288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N685" s="20"/>
      <c r="O685" s="20"/>
    </row>
    <row r="686" spans="1:15" x14ac:dyDescent="0.25">
      <c r="A686" s="288"/>
      <c r="B686" s="288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N686" s="20"/>
      <c r="O686" s="20"/>
    </row>
    <row r="687" spans="1:15" x14ac:dyDescent="0.25">
      <c r="A687" s="288"/>
      <c r="B687" s="288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N687" s="20"/>
      <c r="O687" s="20"/>
    </row>
    <row r="688" spans="1:15" x14ac:dyDescent="0.25">
      <c r="A688" s="288"/>
      <c r="B688" s="288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N688" s="20"/>
      <c r="O688" s="20"/>
    </row>
    <row r="689" spans="1:15" x14ac:dyDescent="0.25">
      <c r="A689" s="288"/>
      <c r="B689" s="288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N689" s="20"/>
      <c r="O689" s="20"/>
    </row>
    <row r="690" spans="1:15" x14ac:dyDescent="0.25">
      <c r="A690" s="288"/>
      <c r="B690" s="288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N690" s="20"/>
      <c r="O690" s="20"/>
    </row>
    <row r="691" spans="1:15" x14ac:dyDescent="0.25">
      <c r="A691" s="288"/>
      <c r="B691" s="288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N691" s="20"/>
      <c r="O691" s="20"/>
    </row>
    <row r="692" spans="1:15" x14ac:dyDescent="0.25">
      <c r="A692" s="288"/>
      <c r="B692" s="288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N692" s="20"/>
      <c r="O692" s="20"/>
    </row>
    <row r="693" spans="1:15" x14ac:dyDescent="0.25">
      <c r="A693" s="288"/>
      <c r="B693" s="288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N693" s="20"/>
      <c r="O693" s="20"/>
    </row>
    <row r="694" spans="1:15" x14ac:dyDescent="0.25">
      <c r="A694" s="288"/>
      <c r="B694" s="288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N694" s="20"/>
      <c r="O694" s="20"/>
    </row>
    <row r="695" spans="1:15" x14ac:dyDescent="0.25">
      <c r="A695" s="288"/>
      <c r="B695" s="288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N695" s="20"/>
      <c r="O695" s="20"/>
    </row>
    <row r="696" spans="1:15" x14ac:dyDescent="0.25">
      <c r="A696" s="288"/>
      <c r="B696" s="288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N696" s="20"/>
      <c r="O696" s="20"/>
    </row>
    <row r="697" spans="1:15" x14ac:dyDescent="0.25">
      <c r="A697" s="288"/>
      <c r="B697" s="288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N697" s="20"/>
      <c r="O697" s="20"/>
    </row>
    <row r="698" spans="1:15" x14ac:dyDescent="0.25">
      <c r="A698" s="288"/>
      <c r="B698" s="288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N698" s="20"/>
      <c r="O698" s="20"/>
    </row>
    <row r="699" spans="1:15" x14ac:dyDescent="0.25">
      <c r="A699" s="288"/>
      <c r="B699" s="288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N699" s="20"/>
      <c r="O699" s="20"/>
    </row>
    <row r="700" spans="1:15" x14ac:dyDescent="0.25">
      <c r="A700" s="288"/>
      <c r="B700" s="288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N700" s="20"/>
      <c r="O700" s="20"/>
    </row>
    <row r="701" spans="1:15" x14ac:dyDescent="0.25">
      <c r="A701" s="288"/>
      <c r="B701" s="288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N701" s="20"/>
      <c r="O701" s="20"/>
    </row>
    <row r="702" spans="1:15" x14ac:dyDescent="0.25">
      <c r="A702" s="288"/>
      <c r="B702" s="288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N702" s="20"/>
      <c r="O702" s="20"/>
    </row>
    <row r="703" spans="1:15" x14ac:dyDescent="0.25">
      <c r="A703" s="288"/>
      <c r="B703" s="288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N703" s="20"/>
      <c r="O703" s="20"/>
    </row>
    <row r="704" spans="1:15" x14ac:dyDescent="0.25">
      <c r="A704" s="288"/>
      <c r="B704" s="288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N704" s="20"/>
      <c r="O704" s="20"/>
    </row>
    <row r="705" spans="1:15" x14ac:dyDescent="0.25">
      <c r="A705" s="288"/>
      <c r="B705" s="288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N705" s="20"/>
      <c r="O705" s="20"/>
    </row>
    <row r="706" spans="1:15" x14ac:dyDescent="0.25">
      <c r="A706" s="288"/>
      <c r="B706" s="288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N706" s="20"/>
      <c r="O706" s="20"/>
    </row>
    <row r="707" spans="1:15" x14ac:dyDescent="0.25">
      <c r="A707" s="288"/>
      <c r="B707" s="288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N707" s="20"/>
      <c r="O707" s="20"/>
    </row>
    <row r="708" spans="1:15" x14ac:dyDescent="0.25">
      <c r="A708" s="288"/>
      <c r="B708" s="288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N708" s="20"/>
      <c r="O708" s="20"/>
    </row>
  </sheetData>
  <dataValidations count="1">
    <dataValidation type="list" allowBlank="1" showInputMessage="1" showErrorMessage="1" sqref="O20:O708" xr:uid="{13C8B02C-CA99-4E39-86A1-422CC1ED85D7}">
      <formula1>"Käytetty, Ei käytetty"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D1B7-15DE-4766-8C77-8625448DE5DE}">
  <sheetPr>
    <tabColor theme="8"/>
  </sheetPr>
  <dimension ref="A1:Y63"/>
  <sheetViews>
    <sheetView topLeftCell="A40" zoomScaleNormal="100" workbookViewId="0">
      <selection activeCell="F29" sqref="F28:F29"/>
    </sheetView>
  </sheetViews>
  <sheetFormatPr defaultRowHeight="15" x14ac:dyDescent="0.25"/>
  <cols>
    <col min="1" max="1" width="17.42578125" customWidth="1"/>
    <col min="2" max="2" width="16.42578125" customWidth="1"/>
    <col min="3" max="3" width="21.5703125" customWidth="1"/>
    <col min="4" max="4" width="21.42578125" customWidth="1"/>
    <col min="5" max="5" width="14.5703125" customWidth="1"/>
    <col min="6" max="6" width="16.28515625" customWidth="1"/>
    <col min="7" max="7" width="17.85546875" customWidth="1"/>
    <col min="8" max="8" width="18.140625" customWidth="1"/>
    <col min="9" max="9" width="19.28515625" customWidth="1"/>
    <col min="11" max="11" width="18.140625" customWidth="1"/>
    <col min="13" max="13" width="18.140625" customWidth="1"/>
    <col min="14" max="14" width="11.28515625" customWidth="1"/>
    <col min="16" max="16" width="13.42578125" customWidth="1"/>
    <col min="17" max="17" width="13.85546875" customWidth="1"/>
    <col min="19" max="19" width="15.28515625" customWidth="1"/>
    <col min="20" max="20" width="17.85546875" customWidth="1"/>
    <col min="21" max="21" width="18.42578125" customWidth="1"/>
    <col min="22" max="24" width="14.28515625" customWidth="1"/>
    <col min="25" max="25" width="15.7109375" customWidth="1"/>
    <col min="26" max="27" width="16.42578125" customWidth="1"/>
    <col min="28" max="28" width="11.140625" customWidth="1"/>
    <col min="30" max="30" width="11.42578125" customWidth="1"/>
    <col min="32" max="32" width="13.28515625" customWidth="1"/>
    <col min="34" max="36" width="11.85546875" customWidth="1"/>
    <col min="37" max="38" width="13.7109375" customWidth="1"/>
    <col min="39" max="39" width="16.140625" customWidth="1"/>
    <col min="40" max="40" width="13.5703125" customWidth="1"/>
  </cols>
  <sheetData>
    <row r="1" spans="1:25" s="148" customFormat="1" ht="129" customHeight="1" x14ac:dyDescent="0.25"/>
    <row r="2" spans="1:25" s="1" customFormat="1" ht="35.25" customHeight="1" x14ac:dyDescent="0.4">
      <c r="A2" s="1" t="s">
        <v>102</v>
      </c>
      <c r="F2" s="199"/>
      <c r="G2" s="231"/>
    </row>
    <row r="3" spans="1:25" s="200" customFormat="1" ht="27" customHeight="1" x14ac:dyDescent="0.3">
      <c r="A3" s="200" t="s">
        <v>84</v>
      </c>
      <c r="D3" s="200">
        <f>YHTEENVETO!D3</f>
        <v>2019</v>
      </c>
    </row>
    <row r="4" spans="1:25" s="209" customFormat="1" ht="18" x14ac:dyDescent="0.25">
      <c r="A4" s="232" t="str">
        <f>YHTEENVETO!A3</f>
        <v>X:n</v>
      </c>
      <c r="B4" s="233" t="s">
        <v>2</v>
      </c>
      <c r="D4" s="233" t="s">
        <v>316</v>
      </c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</row>
    <row r="5" spans="1:25" x14ac:dyDescent="0.25">
      <c r="A5" s="202"/>
      <c r="B5" s="202"/>
      <c r="C5" s="202"/>
      <c r="D5" s="202"/>
      <c r="E5" s="202"/>
      <c r="F5" s="202"/>
      <c r="G5" s="202"/>
      <c r="H5" s="234"/>
      <c r="J5" s="202"/>
      <c r="K5" s="202"/>
      <c r="L5" s="202"/>
      <c r="M5" s="202"/>
      <c r="N5" s="202"/>
      <c r="O5" s="202"/>
      <c r="P5" s="202"/>
      <c r="Q5" s="202"/>
      <c r="R5" s="202"/>
      <c r="U5" s="202"/>
    </row>
    <row r="6" spans="1:25" x14ac:dyDescent="0.25">
      <c r="A6" s="5" t="s">
        <v>317</v>
      </c>
      <c r="B6" s="5"/>
      <c r="C6" s="5"/>
      <c r="D6" s="5"/>
      <c r="E6" s="5"/>
      <c r="F6" s="5"/>
      <c r="G6" s="268"/>
      <c r="H6" s="269"/>
      <c r="J6" s="202"/>
      <c r="K6" s="202"/>
      <c r="L6" s="202"/>
      <c r="M6" s="202"/>
      <c r="N6" s="202"/>
      <c r="O6" s="202"/>
      <c r="P6" s="202"/>
      <c r="Q6" s="202"/>
      <c r="R6" s="202"/>
      <c r="U6" s="202"/>
    </row>
    <row r="7" spans="1:25" x14ac:dyDescent="0.25">
      <c r="A7" s="5" t="s">
        <v>318</v>
      </c>
      <c r="B7" s="5"/>
      <c r="C7" s="5"/>
      <c r="D7" s="5"/>
      <c r="E7" s="5"/>
      <c r="F7" s="5"/>
      <c r="G7" s="268"/>
      <c r="H7" s="269"/>
      <c r="J7" s="202"/>
      <c r="K7" s="202"/>
      <c r="L7" s="202"/>
      <c r="M7" s="202"/>
      <c r="N7" s="202"/>
      <c r="O7" s="202"/>
      <c r="P7" s="202"/>
      <c r="Q7" s="202"/>
      <c r="R7" s="202"/>
      <c r="U7" s="202"/>
    </row>
    <row r="8" spans="1:25" x14ac:dyDescent="0.25">
      <c r="A8" s="202"/>
      <c r="B8" s="202"/>
      <c r="C8" s="202"/>
      <c r="D8" s="202"/>
      <c r="E8" s="202"/>
      <c r="F8" s="202"/>
      <c r="G8" s="202"/>
      <c r="H8" s="234"/>
      <c r="J8" s="202"/>
      <c r="K8" s="202"/>
      <c r="L8" s="202"/>
      <c r="M8" s="202"/>
      <c r="N8" s="202"/>
      <c r="O8" s="202"/>
      <c r="P8" s="202"/>
      <c r="Q8" s="202"/>
      <c r="R8" s="202"/>
      <c r="U8" s="202"/>
    </row>
    <row r="9" spans="1:25" x14ac:dyDescent="0.25">
      <c r="A9" s="202"/>
      <c r="B9" s="202"/>
      <c r="C9" s="202"/>
      <c r="D9" s="202"/>
      <c r="E9" s="202"/>
      <c r="F9" s="202"/>
      <c r="G9" s="202"/>
      <c r="H9" s="234"/>
      <c r="J9" s="202"/>
      <c r="K9" s="202"/>
      <c r="L9" s="202"/>
      <c r="M9" s="202"/>
      <c r="N9" s="202"/>
      <c r="O9" s="202"/>
      <c r="P9" s="202"/>
      <c r="Q9" s="202"/>
      <c r="R9" s="202"/>
      <c r="U9" s="202"/>
    </row>
    <row r="10" spans="1:25" x14ac:dyDescent="0.25">
      <c r="A10" s="202"/>
      <c r="B10" s="202"/>
      <c r="C10" s="202"/>
      <c r="D10" s="202"/>
      <c r="E10" s="202"/>
      <c r="F10" s="202"/>
      <c r="G10" s="202"/>
      <c r="H10" s="234"/>
      <c r="J10" s="202"/>
      <c r="K10" s="202"/>
      <c r="L10" s="202"/>
      <c r="M10" s="202"/>
      <c r="N10" s="202"/>
      <c r="O10" s="202"/>
      <c r="P10" s="202"/>
      <c r="Q10" s="202"/>
      <c r="R10" s="202"/>
      <c r="U10" s="202"/>
    </row>
    <row r="11" spans="1:25" ht="15.75" x14ac:dyDescent="0.25">
      <c r="A11" s="238" t="s">
        <v>271</v>
      </c>
      <c r="B11" s="216"/>
      <c r="C11" s="216"/>
      <c r="D11" s="216"/>
      <c r="E11" s="270"/>
      <c r="F11" s="202"/>
      <c r="G11" s="202"/>
      <c r="H11" s="234"/>
      <c r="J11" s="202"/>
      <c r="K11" s="202"/>
      <c r="L11" s="202"/>
      <c r="M11" s="202"/>
      <c r="N11" s="202"/>
      <c r="O11" s="202"/>
      <c r="P11" s="202"/>
      <c r="Q11" s="202"/>
      <c r="R11" s="202"/>
      <c r="U11" s="202"/>
    </row>
    <row r="12" spans="1:25" x14ac:dyDescent="0.25">
      <c r="A12" s="251" t="s">
        <v>319</v>
      </c>
      <c r="B12" s="236"/>
      <c r="C12" s="236"/>
      <c r="D12" s="236"/>
      <c r="E12" s="202"/>
      <c r="F12" s="202"/>
      <c r="G12" s="202"/>
      <c r="H12" s="234"/>
      <c r="J12" s="202"/>
      <c r="K12" s="202"/>
      <c r="L12" s="202"/>
      <c r="M12" s="202"/>
      <c r="N12" s="202"/>
      <c r="O12" s="202"/>
      <c r="P12" s="202"/>
      <c r="Q12" s="202"/>
      <c r="R12" s="202"/>
      <c r="U12" s="202"/>
    </row>
    <row r="13" spans="1:25" ht="15.75" x14ac:dyDescent="0.25">
      <c r="A13" s="217" t="s">
        <v>64</v>
      </c>
      <c r="B13" s="217" t="s">
        <v>275</v>
      </c>
      <c r="C13" s="217" t="s">
        <v>150</v>
      </c>
      <c r="D13" s="217" t="s">
        <v>320</v>
      </c>
      <c r="E13" s="217" t="s">
        <v>321</v>
      </c>
      <c r="F13" s="217" t="s">
        <v>322</v>
      </c>
      <c r="G13" s="217" t="s">
        <v>323</v>
      </c>
      <c r="H13" s="202"/>
      <c r="I13" s="217" t="s">
        <v>93</v>
      </c>
      <c r="K13" s="253" t="s">
        <v>8</v>
      </c>
      <c r="L13" s="202"/>
      <c r="N13" s="202"/>
      <c r="O13" s="202"/>
      <c r="P13" s="202"/>
      <c r="R13" s="202"/>
      <c r="U13" s="202"/>
    </row>
    <row r="14" spans="1:25" ht="19.5" thickBot="1" x14ac:dyDescent="0.35">
      <c r="A14" s="202">
        <f>Alukset_Päästöt!A13</f>
        <v>0</v>
      </c>
      <c r="B14" s="202">
        <f>Alukset_Päästöt!B13</f>
        <v>0</v>
      </c>
      <c r="C14" s="202">
        <f>Alukset_Päästöt!C13</f>
        <v>0</v>
      </c>
      <c r="D14" s="202">
        <f>Alukset_Päästöt!D13</f>
        <v>0</v>
      </c>
      <c r="E14" s="202">
        <f>Alukset_Päästöt!E13</f>
        <v>0</v>
      </c>
      <c r="F14" s="202">
        <f>Alukset_Päästöt!F13</f>
        <v>0</v>
      </c>
      <c r="G14" s="202">
        <f>Alukset_Päästöt!G13</f>
        <v>0</v>
      </c>
      <c r="H14" s="234"/>
      <c r="I14">
        <f>D14+E14*Alukset_fx!$I$5+F14*Alukset_fx!$J$5</f>
        <v>0</v>
      </c>
      <c r="J14" s="202"/>
      <c r="K14" s="255">
        <f>SUM(I14:I63)</f>
        <v>0</v>
      </c>
      <c r="L14" s="202"/>
      <c r="M14" s="202"/>
      <c r="N14" s="202"/>
      <c r="O14" s="202"/>
      <c r="P14" s="202"/>
      <c r="Q14" s="202"/>
      <c r="R14" s="202"/>
      <c r="U14" s="202"/>
    </row>
    <row r="15" spans="1:25" ht="15.75" thickTop="1" x14ac:dyDescent="0.25">
      <c r="A15" s="202">
        <f>Alukset_Päästöt!A14</f>
        <v>0</v>
      </c>
      <c r="B15" s="202">
        <f>Alukset_Päästöt!B14</f>
        <v>0</v>
      </c>
      <c r="C15" s="202">
        <f>Alukset_Päästöt!C14</f>
        <v>0</v>
      </c>
      <c r="D15" s="202">
        <f>Alukset_Päästöt!D14</f>
        <v>0</v>
      </c>
      <c r="E15" s="202">
        <f>Alukset_Päästöt!E14</f>
        <v>0</v>
      </c>
      <c r="F15" s="202">
        <f>Alukset_Päästöt!F14</f>
        <v>0</v>
      </c>
      <c r="G15" s="202">
        <f>Alukset_Päästöt!G14</f>
        <v>0</v>
      </c>
      <c r="H15" s="234"/>
      <c r="I15">
        <f>D15+E15*Alukset_fx!$I$5+F15*Alukset_fx!$J$5</f>
        <v>0</v>
      </c>
      <c r="J15" s="202"/>
      <c r="K15" s="202"/>
      <c r="L15" s="202"/>
      <c r="M15" s="202"/>
      <c r="N15" s="202"/>
      <c r="O15" s="202"/>
      <c r="P15" s="202"/>
      <c r="Q15" s="202"/>
      <c r="R15" s="202"/>
      <c r="U15" s="202"/>
    </row>
    <row r="16" spans="1:25" x14ac:dyDescent="0.25">
      <c r="A16" s="202">
        <f>Alukset_Päästöt!A15</f>
        <v>0</v>
      </c>
      <c r="B16" s="202">
        <f>Alukset_Päästöt!B15</f>
        <v>0</v>
      </c>
      <c r="C16" s="202">
        <f>Alukset_Päästöt!C15</f>
        <v>0</v>
      </c>
      <c r="D16" s="202">
        <f>Alukset_Päästöt!D15</f>
        <v>0</v>
      </c>
      <c r="E16" s="202">
        <f>Alukset_Päästöt!E15</f>
        <v>0</v>
      </c>
      <c r="F16" s="202">
        <f>Alukset_Päästöt!F15</f>
        <v>0</v>
      </c>
      <c r="G16" s="202">
        <f>Alukset_Päästöt!G15</f>
        <v>0</v>
      </c>
      <c r="H16" s="234"/>
      <c r="I16">
        <f>D16+E16*Alukset_fx!$I$5+F16*Alukset_fx!$J$5</f>
        <v>0</v>
      </c>
      <c r="J16" s="202"/>
      <c r="K16" s="202"/>
      <c r="L16" s="202"/>
      <c r="M16" s="202"/>
      <c r="N16" s="202"/>
      <c r="O16" s="202"/>
      <c r="P16" s="202"/>
      <c r="Q16" s="202"/>
      <c r="R16" s="202"/>
      <c r="U16" s="202"/>
    </row>
    <row r="17" spans="1:21" ht="15.75" x14ac:dyDescent="0.25">
      <c r="A17" s="202">
        <f>Alukset_Päästöt!A16</f>
        <v>0</v>
      </c>
      <c r="B17" s="202">
        <f>Alukset_Päästöt!B16</f>
        <v>0</v>
      </c>
      <c r="C17" s="202">
        <f>Alukset_Päästöt!C16</f>
        <v>0</v>
      </c>
      <c r="D17" s="202">
        <f>Alukset_Päästöt!D16</f>
        <v>0</v>
      </c>
      <c r="E17" s="202">
        <f>Alukset_Päästöt!E16</f>
        <v>0</v>
      </c>
      <c r="F17" s="202">
        <f>Alukset_Päästöt!F16</f>
        <v>0</v>
      </c>
      <c r="G17" s="202">
        <f>Alukset_Päästöt!G16</f>
        <v>0</v>
      </c>
      <c r="H17" s="234"/>
      <c r="I17">
        <f>D17+E17*Alukset_fx!$I$5+F17*Alukset_fx!$J$5</f>
        <v>0</v>
      </c>
      <c r="J17" s="202"/>
      <c r="K17" s="253" t="s">
        <v>324</v>
      </c>
      <c r="L17" s="202"/>
      <c r="M17" s="202"/>
      <c r="N17" s="202"/>
      <c r="O17" s="202"/>
      <c r="P17" s="202"/>
      <c r="Q17" s="202"/>
      <c r="R17" s="202"/>
      <c r="U17" s="202"/>
    </row>
    <row r="18" spans="1:21" ht="15.75" thickBot="1" x14ac:dyDescent="0.3">
      <c r="A18" s="202">
        <f>Alukset_Päästöt!A17</f>
        <v>0</v>
      </c>
      <c r="B18" s="202">
        <f>Alukset_Päästöt!B17</f>
        <v>0</v>
      </c>
      <c r="C18" s="202">
        <f>Alukset_Päästöt!C17</f>
        <v>0</v>
      </c>
      <c r="D18" s="202">
        <f>Alukset_Päästöt!D17</f>
        <v>0</v>
      </c>
      <c r="E18" s="202">
        <f>Alukset_Päästöt!E17</f>
        <v>0</v>
      </c>
      <c r="F18" s="202">
        <f>Alukset_Päästöt!F17</f>
        <v>0</v>
      </c>
      <c r="G18" s="202">
        <f>Alukset_Päästöt!G17</f>
        <v>0</v>
      </c>
      <c r="H18" s="234"/>
      <c r="I18">
        <f>D18+E18*Alukset_fx!$I$5+F18*Alukset_fx!$J$5</f>
        <v>0</v>
      </c>
      <c r="J18" s="202"/>
      <c r="K18" s="272" t="e">
        <f>K14/YHTEENVETO!$O$13</f>
        <v>#DIV/0!</v>
      </c>
      <c r="L18" s="202"/>
      <c r="M18" s="202"/>
      <c r="N18" s="202"/>
      <c r="O18" s="202"/>
      <c r="P18" s="202"/>
      <c r="Q18" s="202"/>
      <c r="R18" s="202"/>
      <c r="U18" s="202"/>
    </row>
    <row r="19" spans="1:21" x14ac:dyDescent="0.25">
      <c r="A19" s="202">
        <f>Alukset_Päästöt!A18</f>
        <v>0</v>
      </c>
      <c r="B19" s="202">
        <f>Alukset_Päästöt!B18</f>
        <v>0</v>
      </c>
      <c r="C19" s="202">
        <f>Alukset_Päästöt!C18</f>
        <v>0</v>
      </c>
      <c r="D19" s="202">
        <f>Alukset_Päästöt!D18</f>
        <v>0</v>
      </c>
      <c r="E19" s="202">
        <f>Alukset_Päästöt!E18</f>
        <v>0</v>
      </c>
      <c r="F19" s="202">
        <f>Alukset_Päästöt!F18</f>
        <v>0</v>
      </c>
      <c r="G19" s="202">
        <f>Alukset_Päästöt!G18</f>
        <v>0</v>
      </c>
      <c r="H19" s="234"/>
      <c r="I19">
        <f>D19+E19*Alukset_fx!$I$5+F19*Alukset_fx!$J$5</f>
        <v>0</v>
      </c>
      <c r="J19" s="202"/>
      <c r="K19" s="202"/>
      <c r="L19" s="202"/>
      <c r="M19" s="202"/>
      <c r="N19" s="202"/>
      <c r="O19" s="202"/>
      <c r="P19" s="202"/>
      <c r="Q19" s="202"/>
      <c r="R19" s="202"/>
      <c r="U19" s="202"/>
    </row>
    <row r="20" spans="1:21" x14ac:dyDescent="0.25">
      <c r="A20" s="202">
        <f>Alukset_Päästöt!A19</f>
        <v>0</v>
      </c>
      <c r="B20" s="202">
        <f>Alukset_Päästöt!B19</f>
        <v>0</v>
      </c>
      <c r="C20" s="202">
        <f>Alukset_Päästöt!C19</f>
        <v>0</v>
      </c>
      <c r="D20" s="202">
        <f>Alukset_Päästöt!D19</f>
        <v>0</v>
      </c>
      <c r="E20" s="202">
        <f>Alukset_Päästöt!E19</f>
        <v>0</v>
      </c>
      <c r="F20" s="202">
        <f>Alukset_Päästöt!F19</f>
        <v>0</v>
      </c>
      <c r="G20" s="202">
        <f>Alukset_Päästöt!G19</f>
        <v>0</v>
      </c>
      <c r="H20" s="234"/>
      <c r="I20">
        <f>D20+E20*Alukset_fx!$I$5+F20*Alukset_fx!$J$5</f>
        <v>0</v>
      </c>
      <c r="J20" s="202"/>
      <c r="L20" s="202"/>
      <c r="M20" s="202"/>
      <c r="N20" s="202"/>
      <c r="O20" s="202"/>
      <c r="P20" s="202"/>
      <c r="Q20" s="202"/>
      <c r="R20" s="202"/>
      <c r="U20" s="202"/>
    </row>
    <row r="21" spans="1:21" x14ac:dyDescent="0.25">
      <c r="A21" s="202">
        <f>Alukset_Päästöt!A20</f>
        <v>0</v>
      </c>
      <c r="B21" s="202">
        <f>Alukset_Päästöt!B20</f>
        <v>0</v>
      </c>
      <c r="C21" s="202">
        <f>Alukset_Päästöt!C20</f>
        <v>0</v>
      </c>
      <c r="D21" s="202">
        <f>Alukset_Päästöt!D20</f>
        <v>0</v>
      </c>
      <c r="E21" s="202">
        <f>Alukset_Päästöt!E20</f>
        <v>0</v>
      </c>
      <c r="F21" s="202">
        <f>Alukset_Päästöt!F20</f>
        <v>0</v>
      </c>
      <c r="G21" s="202">
        <f>Alukset_Päästöt!G20</f>
        <v>0</v>
      </c>
      <c r="H21" s="234"/>
      <c r="I21">
        <f>D21+E21*Alukset_fx!$I$5+F21*Alukset_fx!$J$5</f>
        <v>0</v>
      </c>
      <c r="J21" s="202"/>
      <c r="K21" s="202"/>
      <c r="L21" s="202"/>
      <c r="M21" s="202"/>
      <c r="N21" s="202"/>
      <c r="O21" s="202"/>
      <c r="P21" s="202"/>
      <c r="Q21" s="202"/>
      <c r="R21" s="202"/>
      <c r="U21" s="202"/>
    </row>
    <row r="22" spans="1:21" x14ac:dyDescent="0.25">
      <c r="A22" s="202">
        <f>Alukset_Päästöt!A21</f>
        <v>0</v>
      </c>
      <c r="B22" s="202">
        <f>Alukset_Päästöt!B21</f>
        <v>0</v>
      </c>
      <c r="C22" s="202">
        <f>Alukset_Päästöt!C21</f>
        <v>0</v>
      </c>
      <c r="D22" s="202">
        <f>Alukset_Päästöt!D21</f>
        <v>0</v>
      </c>
      <c r="E22" s="202">
        <f>Alukset_Päästöt!E21</f>
        <v>0</v>
      </c>
      <c r="F22" s="202">
        <f>Alukset_Päästöt!F21</f>
        <v>0</v>
      </c>
      <c r="G22" s="202">
        <f>Alukset_Päästöt!G21</f>
        <v>0</v>
      </c>
      <c r="H22" s="234"/>
      <c r="I22">
        <f>D22+E22*Alukset_fx!$I$5+F22*Alukset_fx!$J$5</f>
        <v>0</v>
      </c>
      <c r="J22" s="202"/>
      <c r="K22" s="202"/>
      <c r="L22" s="202"/>
      <c r="M22" s="202"/>
      <c r="N22" s="202"/>
      <c r="O22" s="202"/>
      <c r="P22" s="202"/>
      <c r="Q22" s="202"/>
      <c r="R22" s="202"/>
      <c r="U22" s="202"/>
    </row>
    <row r="23" spans="1:21" x14ac:dyDescent="0.25">
      <c r="A23" s="202">
        <f>Alukset_Päästöt!A22</f>
        <v>0</v>
      </c>
      <c r="B23" s="202">
        <f>Alukset_Päästöt!B22</f>
        <v>0</v>
      </c>
      <c r="C23" s="202">
        <f>Alukset_Päästöt!C22</f>
        <v>0</v>
      </c>
      <c r="D23" s="202">
        <f>Alukset_Päästöt!D22</f>
        <v>0</v>
      </c>
      <c r="E23" s="202">
        <f>Alukset_Päästöt!E22</f>
        <v>0</v>
      </c>
      <c r="F23" s="202">
        <f>Alukset_Päästöt!F22</f>
        <v>0</v>
      </c>
      <c r="G23" s="202">
        <f>Alukset_Päästöt!G22</f>
        <v>0</v>
      </c>
      <c r="H23" s="234"/>
      <c r="I23">
        <f>D23+E23*Alukset_fx!$I$5+F23*Alukset_fx!$J$5</f>
        <v>0</v>
      </c>
      <c r="J23" s="202"/>
      <c r="K23" s="202"/>
      <c r="L23" s="202"/>
      <c r="M23" s="202"/>
      <c r="N23" s="202"/>
      <c r="O23" s="202"/>
      <c r="P23" s="202"/>
      <c r="Q23" s="202"/>
      <c r="R23" s="202"/>
      <c r="U23" s="202"/>
    </row>
    <row r="24" spans="1:21" x14ac:dyDescent="0.25">
      <c r="A24" s="202">
        <f>Alukset_Päästöt!A23</f>
        <v>0</v>
      </c>
      <c r="B24" s="202">
        <f>Alukset_Päästöt!B23</f>
        <v>0</v>
      </c>
      <c r="C24" s="202">
        <f>Alukset_Päästöt!C23</f>
        <v>0</v>
      </c>
      <c r="D24" s="202">
        <f>Alukset_Päästöt!D23</f>
        <v>0</v>
      </c>
      <c r="E24" s="202">
        <f>Alukset_Päästöt!E23</f>
        <v>0</v>
      </c>
      <c r="F24" s="202">
        <f>Alukset_Päästöt!F23</f>
        <v>0</v>
      </c>
      <c r="G24" s="202">
        <f>Alukset_Päästöt!G23</f>
        <v>0</v>
      </c>
      <c r="H24" s="234"/>
      <c r="I24">
        <f>D24+E24*Alukset_fx!$I$5+F24*Alukset_fx!$J$5</f>
        <v>0</v>
      </c>
      <c r="J24" s="202"/>
      <c r="K24" s="202"/>
      <c r="L24" s="202"/>
      <c r="M24" s="202"/>
      <c r="N24" s="202"/>
      <c r="O24" s="202"/>
      <c r="P24" s="202"/>
      <c r="Q24" s="202"/>
      <c r="R24" s="202"/>
      <c r="U24" s="202"/>
    </row>
    <row r="25" spans="1:21" x14ac:dyDescent="0.25">
      <c r="A25" s="202">
        <f>Alukset_Päästöt!A24</f>
        <v>0</v>
      </c>
      <c r="B25" s="202">
        <f>Alukset_Päästöt!B24</f>
        <v>0</v>
      </c>
      <c r="C25" s="202">
        <f>Alukset_Päästöt!C24</f>
        <v>0</v>
      </c>
      <c r="D25" s="202">
        <f>Alukset_Päästöt!D24</f>
        <v>0</v>
      </c>
      <c r="E25" s="202">
        <f>Alukset_Päästöt!E24</f>
        <v>0</v>
      </c>
      <c r="F25" s="202">
        <f>Alukset_Päästöt!F24</f>
        <v>0</v>
      </c>
      <c r="G25" s="202">
        <f>Alukset_Päästöt!G24</f>
        <v>0</v>
      </c>
      <c r="H25" s="234"/>
      <c r="I25">
        <f>D25+E25*Alukset_fx!$I$5+F25*Alukset_fx!$J$5</f>
        <v>0</v>
      </c>
      <c r="J25" s="202"/>
      <c r="K25" s="202"/>
      <c r="L25" s="202"/>
      <c r="M25" s="202"/>
      <c r="N25" s="202"/>
      <c r="O25" s="202"/>
      <c r="P25" s="202"/>
      <c r="Q25" s="202"/>
      <c r="R25" s="202"/>
      <c r="U25" s="202"/>
    </row>
    <row r="26" spans="1:21" x14ac:dyDescent="0.25">
      <c r="A26" s="202">
        <f>Alukset_Päästöt!A25</f>
        <v>0</v>
      </c>
      <c r="B26" s="202">
        <f>Alukset_Päästöt!B25</f>
        <v>0</v>
      </c>
      <c r="C26" s="202">
        <f>Alukset_Päästöt!C25</f>
        <v>0</v>
      </c>
      <c r="D26" s="202">
        <f>Alukset_Päästöt!D25</f>
        <v>0</v>
      </c>
      <c r="E26" s="202">
        <f>Alukset_Päästöt!E25</f>
        <v>0</v>
      </c>
      <c r="F26" s="202">
        <f>Alukset_Päästöt!F25</f>
        <v>0</v>
      </c>
      <c r="G26" s="202">
        <f>Alukset_Päästöt!G25</f>
        <v>0</v>
      </c>
      <c r="H26" s="234"/>
      <c r="I26">
        <f>D26+E26*Alukset_fx!$I$5+F26*Alukset_fx!$J$5</f>
        <v>0</v>
      </c>
      <c r="J26" s="202"/>
      <c r="K26" s="202"/>
      <c r="L26" s="202"/>
      <c r="M26" s="202"/>
      <c r="N26" s="202"/>
      <c r="O26" s="202"/>
      <c r="P26" s="202"/>
      <c r="Q26" s="202"/>
      <c r="R26" s="202"/>
      <c r="U26" s="202"/>
    </row>
    <row r="27" spans="1:21" x14ac:dyDescent="0.25">
      <c r="A27" s="202">
        <f>Alukset_Päästöt!A26</f>
        <v>0</v>
      </c>
      <c r="B27" s="202">
        <f>Alukset_Päästöt!B26</f>
        <v>0</v>
      </c>
      <c r="C27" s="202">
        <f>Alukset_Päästöt!C26</f>
        <v>0</v>
      </c>
      <c r="D27" s="202">
        <f>Alukset_Päästöt!D26</f>
        <v>0</v>
      </c>
      <c r="E27" s="202">
        <f>Alukset_Päästöt!E26</f>
        <v>0</v>
      </c>
      <c r="F27" s="202">
        <f>Alukset_Päästöt!F26</f>
        <v>0</v>
      </c>
      <c r="G27" s="202">
        <f>Alukset_Päästöt!G26</f>
        <v>0</v>
      </c>
      <c r="H27" s="234"/>
      <c r="I27">
        <f>D27+E27*Alukset_fx!$I$5+F27*Alukset_fx!$J$5</f>
        <v>0</v>
      </c>
      <c r="J27" s="202"/>
      <c r="K27" s="202"/>
      <c r="L27" s="202"/>
      <c r="M27" s="202"/>
      <c r="N27" s="202"/>
      <c r="O27" s="202"/>
      <c r="P27" s="202"/>
      <c r="Q27" s="202"/>
      <c r="R27" s="202"/>
      <c r="U27" s="202"/>
    </row>
    <row r="28" spans="1:21" x14ac:dyDescent="0.25">
      <c r="A28" s="202">
        <f>Alukset_Päästöt!A27</f>
        <v>0</v>
      </c>
      <c r="B28" s="202">
        <f>Alukset_Päästöt!B27</f>
        <v>0</v>
      </c>
      <c r="C28" s="202">
        <f>Alukset_Päästöt!C27</f>
        <v>0</v>
      </c>
      <c r="D28" s="202">
        <f>Alukset_Päästöt!D27</f>
        <v>0</v>
      </c>
      <c r="E28" s="202">
        <f>Alukset_Päästöt!E27</f>
        <v>0</v>
      </c>
      <c r="F28" s="202">
        <f>Alukset_Päästöt!F27</f>
        <v>0</v>
      </c>
      <c r="G28" s="202">
        <f>Alukset_Päästöt!G27</f>
        <v>0</v>
      </c>
      <c r="H28" s="234"/>
      <c r="I28">
        <f>D28+E28*Alukset_fx!$I$5+F28*Alukset_fx!$J$5</f>
        <v>0</v>
      </c>
      <c r="J28" s="202"/>
      <c r="K28" s="202"/>
      <c r="L28" s="202"/>
      <c r="M28" s="202"/>
      <c r="N28" s="202"/>
      <c r="O28" s="202"/>
      <c r="P28" s="202"/>
      <c r="Q28" s="202"/>
      <c r="R28" s="202"/>
      <c r="U28" s="202"/>
    </row>
    <row r="29" spans="1:21" x14ac:dyDescent="0.25">
      <c r="A29" s="202">
        <f>Alukset_Päästöt!A28</f>
        <v>0</v>
      </c>
      <c r="B29" s="202">
        <f>Alukset_Päästöt!B28</f>
        <v>0</v>
      </c>
      <c r="C29" s="202">
        <f>Alukset_Päästöt!C28</f>
        <v>0</v>
      </c>
      <c r="D29" s="202">
        <f>Alukset_Päästöt!D28</f>
        <v>0</v>
      </c>
      <c r="E29" s="202">
        <f>Alukset_Päästöt!E28</f>
        <v>0</v>
      </c>
      <c r="F29" s="202">
        <f>Alukset_Päästöt!F28</f>
        <v>0</v>
      </c>
      <c r="G29" s="202">
        <f>Alukset_Päästöt!G28</f>
        <v>0</v>
      </c>
      <c r="H29" s="234"/>
      <c r="I29">
        <f>D29+E29*Alukset_fx!$I$5+F29*Alukset_fx!$J$5</f>
        <v>0</v>
      </c>
      <c r="J29" s="202"/>
      <c r="K29" s="202"/>
      <c r="L29" s="202"/>
      <c r="M29" s="202"/>
      <c r="N29" s="202"/>
      <c r="O29" s="202"/>
      <c r="P29" s="202"/>
      <c r="Q29" s="202"/>
      <c r="R29" s="202"/>
      <c r="U29" s="202"/>
    </row>
    <row r="30" spans="1:21" x14ac:dyDescent="0.25">
      <c r="A30" s="202">
        <f>Alukset_Päästöt!A29</f>
        <v>0</v>
      </c>
      <c r="B30" s="202">
        <f>Alukset_Päästöt!B29</f>
        <v>0</v>
      </c>
      <c r="C30" s="202">
        <f>Alukset_Päästöt!C29</f>
        <v>0</v>
      </c>
      <c r="D30" s="202">
        <f>Alukset_Päästöt!D29</f>
        <v>0</v>
      </c>
      <c r="E30" s="202">
        <f>Alukset_Päästöt!E29</f>
        <v>0</v>
      </c>
      <c r="F30" s="202">
        <f>Alukset_Päästöt!F29</f>
        <v>0</v>
      </c>
      <c r="G30" s="202">
        <f>Alukset_Päästöt!G29</f>
        <v>0</v>
      </c>
      <c r="I30">
        <f>D30+E30*Alukset_fx!$I$5+F30*Alukset_fx!$J$5</f>
        <v>0</v>
      </c>
    </row>
    <row r="31" spans="1:21" x14ac:dyDescent="0.25">
      <c r="A31" s="202">
        <f>Alukset_Päästöt!A30</f>
        <v>0</v>
      </c>
      <c r="B31" s="202">
        <f>Alukset_Päästöt!B30</f>
        <v>0</v>
      </c>
      <c r="C31" s="202">
        <f>Alukset_Päästöt!C30</f>
        <v>0</v>
      </c>
      <c r="D31" s="202">
        <f>Alukset_Päästöt!D30</f>
        <v>0</v>
      </c>
      <c r="E31" s="202">
        <f>Alukset_Päästöt!E30</f>
        <v>0</v>
      </c>
      <c r="F31" s="202">
        <f>Alukset_Päästöt!F30</f>
        <v>0</v>
      </c>
      <c r="G31" s="202">
        <f>Alukset_Päästöt!G30</f>
        <v>0</v>
      </c>
      <c r="I31">
        <f>D31+E31*Alukset_fx!$I$5+F31*Alukset_fx!$J$5</f>
        <v>0</v>
      </c>
    </row>
    <row r="32" spans="1:21" x14ac:dyDescent="0.25">
      <c r="A32" s="202">
        <f>Alukset_Päästöt!A31</f>
        <v>0</v>
      </c>
      <c r="B32" s="202">
        <f>Alukset_Päästöt!B31</f>
        <v>0</v>
      </c>
      <c r="C32" s="202">
        <f>Alukset_Päästöt!C31</f>
        <v>0</v>
      </c>
      <c r="D32" s="202">
        <f>Alukset_Päästöt!D31</f>
        <v>0</v>
      </c>
      <c r="E32" s="202">
        <f>Alukset_Päästöt!E31</f>
        <v>0</v>
      </c>
      <c r="F32" s="202">
        <f>Alukset_Päästöt!F31</f>
        <v>0</v>
      </c>
      <c r="G32" s="202">
        <f>Alukset_Päästöt!G31</f>
        <v>0</v>
      </c>
      <c r="I32">
        <f>D32+E32*Alukset_fx!$I$5+F32*Alukset_fx!$J$5</f>
        <v>0</v>
      </c>
    </row>
    <row r="33" spans="1:9" x14ac:dyDescent="0.25">
      <c r="A33" s="202">
        <f>Alukset_Päästöt!A32</f>
        <v>0</v>
      </c>
      <c r="B33" s="202">
        <f>Alukset_Päästöt!B32</f>
        <v>0</v>
      </c>
      <c r="C33" s="202">
        <f>Alukset_Päästöt!C32</f>
        <v>0</v>
      </c>
      <c r="D33" s="202">
        <f>Alukset_Päästöt!D32</f>
        <v>0</v>
      </c>
      <c r="E33" s="202">
        <f>Alukset_Päästöt!E32</f>
        <v>0</v>
      </c>
      <c r="F33" s="202">
        <f>Alukset_Päästöt!F32</f>
        <v>0</v>
      </c>
      <c r="G33" s="202">
        <f>Alukset_Päästöt!G32</f>
        <v>0</v>
      </c>
      <c r="I33">
        <f>D33+E33*Alukset_fx!$I$5+F33*Alukset_fx!$J$5</f>
        <v>0</v>
      </c>
    </row>
    <row r="34" spans="1:9" x14ac:dyDescent="0.25">
      <c r="A34" s="202">
        <f>Alukset_Päästöt!A33</f>
        <v>0</v>
      </c>
      <c r="B34" s="202">
        <f>Alukset_Päästöt!B33</f>
        <v>0</v>
      </c>
      <c r="C34" s="202">
        <f>Alukset_Päästöt!C33</f>
        <v>0</v>
      </c>
      <c r="D34" s="202">
        <f>Alukset_Päästöt!D33</f>
        <v>0</v>
      </c>
      <c r="E34" s="202">
        <f>Alukset_Päästöt!E33</f>
        <v>0</v>
      </c>
      <c r="F34" s="202">
        <f>Alukset_Päästöt!F33</f>
        <v>0</v>
      </c>
      <c r="G34" s="202">
        <f>Alukset_Päästöt!G33</f>
        <v>0</v>
      </c>
      <c r="I34">
        <f>D34+E34*Alukset_fx!$I$5+F34*Alukset_fx!$J$5</f>
        <v>0</v>
      </c>
    </row>
    <row r="35" spans="1:9" x14ac:dyDescent="0.25">
      <c r="A35" s="202">
        <f>Alukset_Päästöt!A34</f>
        <v>0</v>
      </c>
      <c r="B35" s="202">
        <f>Alukset_Päästöt!B34</f>
        <v>0</v>
      </c>
      <c r="C35" s="202">
        <f>Alukset_Päästöt!C34</f>
        <v>0</v>
      </c>
      <c r="D35" s="202">
        <f>Alukset_Päästöt!D34</f>
        <v>0</v>
      </c>
      <c r="E35" s="202">
        <f>Alukset_Päästöt!E34</f>
        <v>0</v>
      </c>
      <c r="F35" s="202">
        <f>Alukset_Päästöt!F34</f>
        <v>0</v>
      </c>
      <c r="G35" s="202">
        <f>Alukset_Päästöt!G34</f>
        <v>0</v>
      </c>
      <c r="I35">
        <f>D35+E35*Alukset_fx!$I$5+F35*Alukset_fx!$J$5</f>
        <v>0</v>
      </c>
    </row>
    <row r="36" spans="1:9" x14ac:dyDescent="0.25">
      <c r="A36" s="202">
        <f>Alukset_Päästöt!A35</f>
        <v>0</v>
      </c>
      <c r="B36" s="202">
        <f>Alukset_Päästöt!B35</f>
        <v>0</v>
      </c>
      <c r="C36" s="202">
        <f>Alukset_Päästöt!C35</f>
        <v>0</v>
      </c>
      <c r="D36" s="202">
        <f>Alukset_Päästöt!D35</f>
        <v>0</v>
      </c>
      <c r="E36" s="202">
        <f>Alukset_Päästöt!E35</f>
        <v>0</v>
      </c>
      <c r="F36" s="202">
        <f>Alukset_Päästöt!F35</f>
        <v>0</v>
      </c>
      <c r="G36" s="202">
        <f>Alukset_Päästöt!G35</f>
        <v>0</v>
      </c>
      <c r="I36">
        <f>D36+E36*Alukset_fx!$I$5+F36*Alukset_fx!$J$5</f>
        <v>0</v>
      </c>
    </row>
    <row r="37" spans="1:9" x14ac:dyDescent="0.25">
      <c r="A37" s="202">
        <f>Alukset_Päästöt!A36</f>
        <v>0</v>
      </c>
      <c r="B37" s="202">
        <f>Alukset_Päästöt!B36</f>
        <v>0</v>
      </c>
      <c r="C37" s="202">
        <f>Alukset_Päästöt!C36</f>
        <v>0</v>
      </c>
      <c r="D37" s="202">
        <f>Alukset_Päästöt!D36</f>
        <v>0</v>
      </c>
      <c r="E37" s="202">
        <f>Alukset_Päästöt!E36</f>
        <v>0</v>
      </c>
      <c r="F37" s="202">
        <f>Alukset_Päästöt!F36</f>
        <v>0</v>
      </c>
      <c r="G37" s="202">
        <f>Alukset_Päästöt!G36</f>
        <v>0</v>
      </c>
      <c r="I37">
        <f>D37+E37*Alukset_fx!$I$5+F37*Alukset_fx!$J$5</f>
        <v>0</v>
      </c>
    </row>
    <row r="38" spans="1:9" x14ac:dyDescent="0.25">
      <c r="A38" s="202">
        <f>Alukset_Päästöt!A37</f>
        <v>0</v>
      </c>
      <c r="B38" s="202">
        <f>Alukset_Päästöt!B37</f>
        <v>0</v>
      </c>
      <c r="C38" s="202">
        <f>Alukset_Päästöt!C37</f>
        <v>0</v>
      </c>
      <c r="D38" s="202">
        <f>Alukset_Päästöt!D37</f>
        <v>0</v>
      </c>
      <c r="E38" s="202">
        <f>Alukset_Päästöt!E37</f>
        <v>0</v>
      </c>
      <c r="F38" s="202">
        <f>Alukset_Päästöt!F37</f>
        <v>0</v>
      </c>
      <c r="G38" s="202">
        <f>Alukset_Päästöt!G37</f>
        <v>0</v>
      </c>
      <c r="I38">
        <f>D38+E38*Alukset_fx!$I$5+F38*Alukset_fx!$J$5</f>
        <v>0</v>
      </c>
    </row>
    <row r="39" spans="1:9" x14ac:dyDescent="0.25">
      <c r="A39" s="202">
        <f>Alukset_Päästöt!A38</f>
        <v>0</v>
      </c>
      <c r="B39" s="202">
        <f>Alukset_Päästöt!B38</f>
        <v>0</v>
      </c>
      <c r="C39" s="202">
        <f>Alukset_Päästöt!C38</f>
        <v>0</v>
      </c>
      <c r="D39" s="202">
        <f>Alukset_Päästöt!D38</f>
        <v>0</v>
      </c>
      <c r="E39" s="202">
        <f>Alukset_Päästöt!E38</f>
        <v>0</v>
      </c>
      <c r="F39" s="202">
        <f>Alukset_Päästöt!F38</f>
        <v>0</v>
      </c>
      <c r="G39" s="202">
        <f>Alukset_Päästöt!G38</f>
        <v>0</v>
      </c>
      <c r="I39">
        <f>D39+E39*Alukset_fx!$I$5+F39*Alukset_fx!$J$5</f>
        <v>0</v>
      </c>
    </row>
    <row r="40" spans="1:9" ht="15.75" customHeight="1" x14ac:dyDescent="0.25">
      <c r="A40" s="202">
        <f>Alukset_Päästöt!A39</f>
        <v>0</v>
      </c>
      <c r="B40" s="202">
        <f>Alukset_Päästöt!B39</f>
        <v>0</v>
      </c>
      <c r="C40" s="202">
        <f>Alukset_Päästöt!C39</f>
        <v>0</v>
      </c>
      <c r="D40" s="202">
        <f>Alukset_Päästöt!D39</f>
        <v>0</v>
      </c>
      <c r="E40" s="202">
        <f>Alukset_Päästöt!E39</f>
        <v>0</v>
      </c>
      <c r="F40" s="202">
        <f>Alukset_Päästöt!F39</f>
        <v>0</v>
      </c>
      <c r="G40" s="202">
        <f>Alukset_Päästöt!G39</f>
        <v>0</v>
      </c>
      <c r="I40">
        <f>D40+E40*Alukset_fx!$I$5+F40*Alukset_fx!$J$5</f>
        <v>0</v>
      </c>
    </row>
    <row r="41" spans="1:9" ht="20.25" customHeight="1" x14ac:dyDescent="0.25">
      <c r="A41" s="202">
        <f>Alukset_Päästöt!A40</f>
        <v>0</v>
      </c>
      <c r="B41" s="202">
        <f>Alukset_Päästöt!B40</f>
        <v>0</v>
      </c>
      <c r="C41" s="202">
        <f>Alukset_Päästöt!C40</f>
        <v>0</v>
      </c>
      <c r="D41" s="202">
        <f>Alukset_Päästöt!D40</f>
        <v>0</v>
      </c>
      <c r="E41" s="202">
        <f>Alukset_Päästöt!E40</f>
        <v>0</v>
      </c>
      <c r="F41" s="202">
        <f>Alukset_Päästöt!F40</f>
        <v>0</v>
      </c>
      <c r="G41" s="202">
        <f>Alukset_Päästöt!G40</f>
        <v>0</v>
      </c>
      <c r="I41">
        <f>D41+E41*Alukset_fx!$I$5+F41*Alukset_fx!$J$5</f>
        <v>0</v>
      </c>
    </row>
    <row r="42" spans="1:9" x14ac:dyDescent="0.25">
      <c r="A42" s="202">
        <f>Alukset_Päästöt!A41</f>
        <v>0</v>
      </c>
      <c r="B42" s="202">
        <f>Alukset_Päästöt!B41</f>
        <v>0</v>
      </c>
      <c r="C42" s="202">
        <f>Alukset_Päästöt!C41</f>
        <v>0</v>
      </c>
      <c r="D42" s="202">
        <f>Alukset_Päästöt!D41</f>
        <v>0</v>
      </c>
      <c r="E42" s="202">
        <f>Alukset_Päästöt!E41</f>
        <v>0</v>
      </c>
      <c r="F42" s="202">
        <f>Alukset_Päästöt!F41</f>
        <v>0</v>
      </c>
      <c r="G42" s="202">
        <f>Alukset_Päästöt!G41</f>
        <v>0</v>
      </c>
      <c r="I42">
        <f>D42+E42*Alukset_fx!$I$5+F42*Alukset_fx!$J$5</f>
        <v>0</v>
      </c>
    </row>
    <row r="43" spans="1:9" x14ac:dyDescent="0.25">
      <c r="A43" s="202">
        <f>Alukset_Päästöt!A42</f>
        <v>0</v>
      </c>
      <c r="B43" s="202">
        <f>Alukset_Päästöt!B42</f>
        <v>0</v>
      </c>
      <c r="C43" s="202">
        <f>Alukset_Päästöt!C42</f>
        <v>0</v>
      </c>
      <c r="D43" s="202">
        <f>Alukset_Päästöt!D42</f>
        <v>0</v>
      </c>
      <c r="E43" s="202">
        <f>Alukset_Päästöt!E42</f>
        <v>0</v>
      </c>
      <c r="F43" s="202">
        <f>Alukset_Päästöt!F42</f>
        <v>0</v>
      </c>
      <c r="G43" s="202">
        <f>Alukset_Päästöt!G42</f>
        <v>0</v>
      </c>
      <c r="I43">
        <f>D43+E43*Alukset_fx!$I$5+F43*Alukset_fx!$J$5</f>
        <v>0</v>
      </c>
    </row>
    <row r="44" spans="1:9" x14ac:dyDescent="0.25">
      <c r="A44" s="202">
        <f>Alukset_Päästöt!A43</f>
        <v>0</v>
      </c>
      <c r="B44" s="202">
        <f>Alukset_Päästöt!B43</f>
        <v>0</v>
      </c>
      <c r="C44" s="202">
        <f>Alukset_Päästöt!C43</f>
        <v>0</v>
      </c>
      <c r="D44" s="202">
        <f>Alukset_Päästöt!D43</f>
        <v>0</v>
      </c>
      <c r="E44" s="202">
        <f>Alukset_Päästöt!E43</f>
        <v>0</v>
      </c>
      <c r="F44" s="202">
        <f>Alukset_Päästöt!F43</f>
        <v>0</v>
      </c>
      <c r="G44" s="202">
        <f>Alukset_Päästöt!G43</f>
        <v>0</v>
      </c>
      <c r="I44">
        <f>D44+E44*Alukset_fx!$I$5+F44*Alukset_fx!$J$5</f>
        <v>0</v>
      </c>
    </row>
    <row r="45" spans="1:9" x14ac:dyDescent="0.25">
      <c r="A45" s="202">
        <f>Alukset_Päästöt!A44</f>
        <v>0</v>
      </c>
      <c r="B45" s="202">
        <f>Alukset_Päästöt!B44</f>
        <v>0</v>
      </c>
      <c r="C45" s="202">
        <f>Alukset_Päästöt!C44</f>
        <v>0</v>
      </c>
      <c r="D45" s="202">
        <f>Alukset_Päästöt!D44</f>
        <v>0</v>
      </c>
      <c r="E45" s="202">
        <f>Alukset_Päästöt!E44</f>
        <v>0</v>
      </c>
      <c r="F45" s="202">
        <f>Alukset_Päästöt!F44</f>
        <v>0</v>
      </c>
      <c r="G45" s="202">
        <f>Alukset_Päästöt!G44</f>
        <v>0</v>
      </c>
      <c r="I45">
        <f>D45+E45*Alukset_fx!$I$5+F45*Alukset_fx!$J$5</f>
        <v>0</v>
      </c>
    </row>
    <row r="46" spans="1:9" x14ac:dyDescent="0.25">
      <c r="A46" s="202">
        <f>Alukset_Päästöt!A45</f>
        <v>0</v>
      </c>
      <c r="B46" s="202">
        <f>Alukset_Päästöt!B45</f>
        <v>0</v>
      </c>
      <c r="C46" s="202">
        <f>Alukset_Päästöt!C45</f>
        <v>0</v>
      </c>
      <c r="D46" s="202">
        <f>Alukset_Päästöt!D45</f>
        <v>0</v>
      </c>
      <c r="E46" s="202">
        <f>Alukset_Päästöt!E45</f>
        <v>0</v>
      </c>
      <c r="F46" s="202">
        <f>Alukset_Päästöt!F45</f>
        <v>0</v>
      </c>
      <c r="G46" s="202">
        <f>Alukset_Päästöt!G45</f>
        <v>0</v>
      </c>
      <c r="I46">
        <f>D46+E46*Alukset_fx!$I$5+F46*Alukset_fx!$J$5</f>
        <v>0</v>
      </c>
    </row>
    <row r="47" spans="1:9" x14ac:dyDescent="0.25">
      <c r="A47" s="202">
        <f>Alukset_Päästöt!A46</f>
        <v>0</v>
      </c>
      <c r="B47" s="202">
        <f>Alukset_Päästöt!B46</f>
        <v>0</v>
      </c>
      <c r="C47" s="202">
        <f>Alukset_Päästöt!C46</f>
        <v>0</v>
      </c>
      <c r="D47" s="202">
        <f>Alukset_Päästöt!D46</f>
        <v>0</v>
      </c>
      <c r="E47" s="202">
        <f>Alukset_Päästöt!E46</f>
        <v>0</v>
      </c>
      <c r="F47" s="202">
        <f>Alukset_Päästöt!F46</f>
        <v>0</v>
      </c>
      <c r="G47" s="202">
        <f>Alukset_Päästöt!G46</f>
        <v>0</v>
      </c>
      <c r="I47">
        <f>D47+E47*Alukset_fx!$I$5+F47*Alukset_fx!$J$5</f>
        <v>0</v>
      </c>
    </row>
    <row r="48" spans="1:9" x14ac:dyDescent="0.25">
      <c r="A48" s="202">
        <f>Alukset_Päästöt!A47</f>
        <v>0</v>
      </c>
      <c r="B48" s="202">
        <f>Alukset_Päästöt!B47</f>
        <v>0</v>
      </c>
      <c r="C48" s="202">
        <f>Alukset_Päästöt!C47</f>
        <v>0</v>
      </c>
      <c r="D48" s="202">
        <f>Alukset_Päästöt!D47</f>
        <v>0</v>
      </c>
      <c r="E48" s="202">
        <f>Alukset_Päästöt!E47</f>
        <v>0</v>
      </c>
      <c r="F48" s="202">
        <f>Alukset_Päästöt!F47</f>
        <v>0</v>
      </c>
      <c r="G48" s="202">
        <f>Alukset_Päästöt!G47</f>
        <v>0</v>
      </c>
      <c r="I48">
        <f>D48+E48*Alukset_fx!$I$5+F48*Alukset_fx!$J$5</f>
        <v>0</v>
      </c>
    </row>
    <row r="49" spans="1:9" x14ac:dyDescent="0.25">
      <c r="A49" s="202">
        <f>Alukset_Päästöt!A48</f>
        <v>0</v>
      </c>
      <c r="B49" s="202">
        <f>Alukset_Päästöt!B48</f>
        <v>0</v>
      </c>
      <c r="C49" s="202">
        <f>Alukset_Päästöt!C48</f>
        <v>0</v>
      </c>
      <c r="D49" s="202">
        <f>Alukset_Päästöt!D48</f>
        <v>0</v>
      </c>
      <c r="E49" s="202">
        <f>Alukset_Päästöt!E48</f>
        <v>0</v>
      </c>
      <c r="F49" s="202">
        <f>Alukset_Päästöt!F48</f>
        <v>0</v>
      </c>
      <c r="G49" s="202">
        <f>Alukset_Päästöt!G48</f>
        <v>0</v>
      </c>
      <c r="I49">
        <f>D49+E49*Alukset_fx!$I$5+F49*Alukset_fx!$J$5</f>
        <v>0</v>
      </c>
    </row>
    <row r="50" spans="1:9" x14ac:dyDescent="0.25">
      <c r="A50" s="202">
        <f>Alukset_Päästöt!A49</f>
        <v>0</v>
      </c>
      <c r="B50" s="202">
        <f>Alukset_Päästöt!B49</f>
        <v>0</v>
      </c>
      <c r="C50" s="202">
        <f>Alukset_Päästöt!C49</f>
        <v>0</v>
      </c>
      <c r="D50" s="202">
        <f>Alukset_Päästöt!D49</f>
        <v>0</v>
      </c>
      <c r="E50" s="202">
        <f>Alukset_Päästöt!E49</f>
        <v>0</v>
      </c>
      <c r="F50" s="202">
        <f>Alukset_Päästöt!F49</f>
        <v>0</v>
      </c>
      <c r="G50" s="202">
        <f>Alukset_Päästöt!G49</f>
        <v>0</v>
      </c>
      <c r="I50">
        <f>D50+E50*Alukset_fx!$I$5+F50*Alukset_fx!$J$5</f>
        <v>0</v>
      </c>
    </row>
    <row r="51" spans="1:9" x14ac:dyDescent="0.25">
      <c r="A51" s="202">
        <f>Alukset_Päästöt!A50</f>
        <v>0</v>
      </c>
      <c r="B51" s="202">
        <f>Alukset_Päästöt!B50</f>
        <v>0</v>
      </c>
      <c r="C51" s="202">
        <f>Alukset_Päästöt!C50</f>
        <v>0</v>
      </c>
      <c r="D51" s="202">
        <f>Alukset_Päästöt!D50</f>
        <v>0</v>
      </c>
      <c r="E51" s="202">
        <f>Alukset_Päästöt!E50</f>
        <v>0</v>
      </c>
      <c r="F51" s="202">
        <f>Alukset_Päästöt!F50</f>
        <v>0</v>
      </c>
      <c r="G51" s="202">
        <f>Alukset_Päästöt!G50</f>
        <v>0</v>
      </c>
      <c r="I51">
        <f>D51+E51*Alukset_fx!$I$5+F51*Alukset_fx!$J$5</f>
        <v>0</v>
      </c>
    </row>
    <row r="52" spans="1:9" x14ac:dyDescent="0.25">
      <c r="A52" s="202">
        <f>Alukset_Päästöt!A51</f>
        <v>0</v>
      </c>
      <c r="B52" s="202">
        <f>Alukset_Päästöt!B51</f>
        <v>0</v>
      </c>
      <c r="C52" s="202">
        <f>Alukset_Päästöt!C51</f>
        <v>0</v>
      </c>
      <c r="D52" s="202">
        <f>Alukset_Päästöt!D51</f>
        <v>0</v>
      </c>
      <c r="E52" s="202">
        <f>Alukset_Päästöt!E51</f>
        <v>0</v>
      </c>
      <c r="F52" s="202">
        <f>Alukset_Päästöt!F51</f>
        <v>0</v>
      </c>
      <c r="G52" s="202">
        <f>Alukset_Päästöt!G51</f>
        <v>0</v>
      </c>
      <c r="I52">
        <f>D52+E52*Alukset_fx!$I$5+F52*Alukset_fx!$J$5</f>
        <v>0</v>
      </c>
    </row>
    <row r="53" spans="1:9" x14ac:dyDescent="0.25">
      <c r="A53" s="202">
        <f>Alukset_Päästöt!A52</f>
        <v>0</v>
      </c>
      <c r="B53" s="202">
        <f>Alukset_Päästöt!B52</f>
        <v>0</v>
      </c>
      <c r="C53" s="202">
        <f>Alukset_Päästöt!C52</f>
        <v>0</v>
      </c>
      <c r="D53" s="202">
        <f>Alukset_Päästöt!D52</f>
        <v>0</v>
      </c>
      <c r="E53" s="202">
        <f>Alukset_Päästöt!E52</f>
        <v>0</v>
      </c>
      <c r="F53" s="202">
        <f>Alukset_Päästöt!F52</f>
        <v>0</v>
      </c>
      <c r="G53" s="202">
        <f>Alukset_Päästöt!G52</f>
        <v>0</v>
      </c>
      <c r="I53">
        <f>D53+E53*Alukset_fx!$I$5+F53*Alukset_fx!$J$5</f>
        <v>0</v>
      </c>
    </row>
    <row r="54" spans="1:9" x14ac:dyDescent="0.25">
      <c r="A54" s="202">
        <f>Alukset_Päästöt!A53</f>
        <v>0</v>
      </c>
      <c r="B54" s="202">
        <f>Alukset_Päästöt!B53</f>
        <v>0</v>
      </c>
      <c r="C54" s="202">
        <f>Alukset_Päästöt!C53</f>
        <v>0</v>
      </c>
      <c r="D54" s="202">
        <f>Alukset_Päästöt!D53</f>
        <v>0</v>
      </c>
      <c r="E54" s="202">
        <f>Alukset_Päästöt!E53</f>
        <v>0</v>
      </c>
      <c r="F54" s="202">
        <f>Alukset_Päästöt!F53</f>
        <v>0</v>
      </c>
      <c r="G54" s="202">
        <f>Alukset_Päästöt!G53</f>
        <v>0</v>
      </c>
      <c r="I54">
        <f>D54+E54*Alukset_fx!$I$5+F54*Alukset_fx!$J$5</f>
        <v>0</v>
      </c>
    </row>
    <row r="55" spans="1:9" x14ac:dyDescent="0.25">
      <c r="A55" s="202">
        <f>Alukset_Päästöt!A54</f>
        <v>0</v>
      </c>
      <c r="B55" s="202">
        <f>Alukset_Päästöt!B54</f>
        <v>0</v>
      </c>
      <c r="C55" s="202">
        <f>Alukset_Päästöt!C54</f>
        <v>0</v>
      </c>
      <c r="D55" s="202">
        <f>Alukset_Päästöt!D54</f>
        <v>0</v>
      </c>
      <c r="E55" s="202">
        <f>Alukset_Päästöt!E54</f>
        <v>0</v>
      </c>
      <c r="F55" s="202">
        <f>Alukset_Päästöt!F54</f>
        <v>0</v>
      </c>
      <c r="G55" s="202">
        <f>Alukset_Päästöt!G54</f>
        <v>0</v>
      </c>
      <c r="I55">
        <f>D55+E55*Alukset_fx!$I$5+F55*Alukset_fx!$J$5</f>
        <v>0</v>
      </c>
    </row>
    <row r="56" spans="1:9" x14ac:dyDescent="0.25">
      <c r="A56" s="202">
        <f>Alukset_Päästöt!A55</f>
        <v>0</v>
      </c>
      <c r="B56" s="202">
        <f>Alukset_Päästöt!B55</f>
        <v>0</v>
      </c>
      <c r="C56" s="202">
        <f>Alukset_Päästöt!C55</f>
        <v>0</v>
      </c>
      <c r="D56" s="202">
        <f>Alukset_Päästöt!D55</f>
        <v>0</v>
      </c>
      <c r="E56" s="202">
        <f>Alukset_Päästöt!E55</f>
        <v>0</v>
      </c>
      <c r="F56" s="202">
        <f>Alukset_Päästöt!F55</f>
        <v>0</v>
      </c>
      <c r="G56" s="202">
        <f>Alukset_Päästöt!G55</f>
        <v>0</v>
      </c>
      <c r="I56">
        <f>D56+E56*Alukset_fx!$I$5+F56*Alukset_fx!$J$5</f>
        <v>0</v>
      </c>
    </row>
    <row r="57" spans="1:9" x14ac:dyDescent="0.25">
      <c r="A57" s="202">
        <f>Alukset_Päästöt!A56</f>
        <v>0</v>
      </c>
      <c r="B57" s="202">
        <f>Alukset_Päästöt!B56</f>
        <v>0</v>
      </c>
      <c r="C57" s="202">
        <f>Alukset_Päästöt!C56</f>
        <v>0</v>
      </c>
      <c r="D57" s="202">
        <f>Alukset_Päästöt!D56</f>
        <v>0</v>
      </c>
      <c r="E57" s="202">
        <f>Alukset_Päästöt!E56</f>
        <v>0</v>
      </c>
      <c r="F57" s="202">
        <f>Alukset_Päästöt!F56</f>
        <v>0</v>
      </c>
      <c r="G57" s="202">
        <f>Alukset_Päästöt!G56</f>
        <v>0</v>
      </c>
      <c r="I57">
        <f>D57+E57*Alukset_fx!$I$5+F57*Alukset_fx!$J$5</f>
        <v>0</v>
      </c>
    </row>
    <row r="58" spans="1:9" x14ac:dyDescent="0.25">
      <c r="A58" s="202">
        <f>Alukset_Päästöt!A57</f>
        <v>0</v>
      </c>
      <c r="B58" s="202">
        <f>Alukset_Päästöt!B57</f>
        <v>0</v>
      </c>
      <c r="C58" s="202">
        <f>Alukset_Päästöt!C57</f>
        <v>0</v>
      </c>
      <c r="D58" s="202">
        <f>Alukset_Päästöt!D57</f>
        <v>0</v>
      </c>
      <c r="E58" s="202">
        <f>Alukset_Päästöt!E57</f>
        <v>0</v>
      </c>
      <c r="F58" s="202">
        <f>Alukset_Päästöt!F57</f>
        <v>0</v>
      </c>
      <c r="G58" s="202">
        <f>Alukset_Päästöt!G57</f>
        <v>0</v>
      </c>
      <c r="I58">
        <f>D58+E58*Alukset_fx!$I$5+F58*Alukset_fx!$J$5</f>
        <v>0</v>
      </c>
    </row>
    <row r="59" spans="1:9" x14ac:dyDescent="0.25">
      <c r="A59" s="202">
        <f>Alukset_Päästöt!A58</f>
        <v>0</v>
      </c>
      <c r="B59" s="202">
        <f>Alukset_Päästöt!B58</f>
        <v>0</v>
      </c>
      <c r="C59" s="202">
        <f>Alukset_Päästöt!C58</f>
        <v>0</v>
      </c>
      <c r="D59" s="202">
        <f>Alukset_Päästöt!D58</f>
        <v>0</v>
      </c>
      <c r="E59" s="202">
        <f>Alukset_Päästöt!E58</f>
        <v>0</v>
      </c>
      <c r="F59" s="202">
        <f>Alukset_Päästöt!F58</f>
        <v>0</v>
      </c>
      <c r="G59" s="202">
        <f>Alukset_Päästöt!G58</f>
        <v>0</v>
      </c>
      <c r="I59">
        <f>D59+E59*Alukset_fx!$I$5+F59*Alukset_fx!$J$5</f>
        <v>0</v>
      </c>
    </row>
    <row r="60" spans="1:9" x14ac:dyDescent="0.25">
      <c r="A60" s="202">
        <f>Alukset_Päästöt!A59</f>
        <v>0</v>
      </c>
      <c r="B60" s="202">
        <f>Alukset_Päästöt!B59</f>
        <v>0</v>
      </c>
      <c r="C60" s="202">
        <f>Alukset_Päästöt!C59</f>
        <v>0</v>
      </c>
      <c r="D60" s="202">
        <f>Alukset_Päästöt!D59</f>
        <v>0</v>
      </c>
      <c r="E60" s="202">
        <f>Alukset_Päästöt!E59</f>
        <v>0</v>
      </c>
      <c r="F60" s="202">
        <f>Alukset_Päästöt!F59</f>
        <v>0</v>
      </c>
      <c r="G60" s="202">
        <f>Alukset_Päästöt!G59</f>
        <v>0</v>
      </c>
      <c r="I60">
        <f>D60+E60*Alukset_fx!$I$5+F60*Alukset_fx!$J$5</f>
        <v>0</v>
      </c>
    </row>
    <row r="61" spans="1:9" x14ac:dyDescent="0.25">
      <c r="A61" s="202">
        <f>Alukset_Päästöt!A60</f>
        <v>0</v>
      </c>
      <c r="B61" s="202">
        <f>Alukset_Päästöt!B60</f>
        <v>0</v>
      </c>
      <c r="C61" s="202">
        <f>Alukset_Päästöt!C60</f>
        <v>0</v>
      </c>
      <c r="D61" s="202">
        <f>Alukset_Päästöt!D60</f>
        <v>0</v>
      </c>
      <c r="E61" s="202">
        <f>Alukset_Päästöt!E60</f>
        <v>0</v>
      </c>
      <c r="F61" s="202">
        <f>Alukset_Päästöt!F60</f>
        <v>0</v>
      </c>
      <c r="G61" s="202">
        <f>Alukset_Päästöt!G60</f>
        <v>0</v>
      </c>
      <c r="I61">
        <f>D61+E61*Alukset_fx!$I$5+F61*Alukset_fx!$J$5</f>
        <v>0</v>
      </c>
    </row>
    <row r="62" spans="1:9" x14ac:dyDescent="0.25">
      <c r="A62" s="202">
        <f>Alukset_Päästöt!A61</f>
        <v>0</v>
      </c>
      <c r="B62" s="202">
        <f>Alukset_Päästöt!B61</f>
        <v>0</v>
      </c>
      <c r="C62" s="202">
        <f>Alukset_Päästöt!C61</f>
        <v>0</v>
      </c>
      <c r="D62" s="202">
        <f>Alukset_Päästöt!D61</f>
        <v>0</v>
      </c>
      <c r="E62" s="202">
        <f>Alukset_Päästöt!E61</f>
        <v>0</v>
      </c>
      <c r="F62" s="202">
        <f>Alukset_Päästöt!F61</f>
        <v>0</v>
      </c>
      <c r="G62" s="202">
        <f>Alukset_Päästöt!G61</f>
        <v>0</v>
      </c>
      <c r="I62">
        <f>D62+E62*Alukset_fx!$I$5+F62*Alukset_fx!$J$5</f>
        <v>0</v>
      </c>
    </row>
    <row r="63" spans="1:9" x14ac:dyDescent="0.25">
      <c r="A63" s="202">
        <f>Alukset_Päästöt!A62</f>
        <v>0</v>
      </c>
      <c r="B63" s="202">
        <f>Alukset_Päästöt!B62</f>
        <v>0</v>
      </c>
      <c r="C63" s="202">
        <f>Alukset_Päästöt!C62</f>
        <v>0</v>
      </c>
      <c r="D63" s="202">
        <f>Alukset_Päästöt!D62</f>
        <v>0</v>
      </c>
      <c r="E63" s="202">
        <f>Alukset_Päästöt!E62</f>
        <v>0</v>
      </c>
      <c r="F63" s="202">
        <f>Alukset_Päästöt!F62</f>
        <v>0</v>
      </c>
      <c r="G63" s="202">
        <f>Alukset_Päästöt!G62</f>
        <v>0</v>
      </c>
      <c r="I63">
        <f>D63+E63*Alukset_fx!$I$5+F63*Alukset_fx!$J$5</f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9623A-3F1D-4C88-81EB-5532E4DAE1C5}">
  <sheetPr>
    <tabColor theme="8"/>
  </sheetPr>
  <dimension ref="A1:Y62"/>
  <sheetViews>
    <sheetView showGridLines="0" showRowColHeaders="0" zoomScaleNormal="100" workbookViewId="0">
      <selection activeCell="K27" sqref="K27"/>
    </sheetView>
  </sheetViews>
  <sheetFormatPr defaultRowHeight="15" x14ac:dyDescent="0.25"/>
  <cols>
    <col min="1" max="1" width="17.42578125" customWidth="1"/>
    <col min="2" max="2" width="16.42578125" customWidth="1"/>
    <col min="3" max="3" width="21.5703125" customWidth="1"/>
    <col min="4" max="4" width="21.42578125" customWidth="1"/>
    <col min="5" max="5" width="14.5703125" customWidth="1"/>
    <col min="6" max="6" width="16.28515625" customWidth="1"/>
    <col min="7" max="7" width="17.85546875" customWidth="1"/>
    <col min="8" max="8" width="18.140625" customWidth="1"/>
    <col min="11" max="11" width="15.140625" customWidth="1"/>
    <col min="14" max="14" width="11.28515625" customWidth="1"/>
    <col min="16" max="16" width="13.42578125" customWidth="1"/>
    <col min="17" max="17" width="13.85546875" customWidth="1"/>
    <col min="19" max="19" width="15.28515625" customWidth="1"/>
    <col min="20" max="20" width="17.85546875" customWidth="1"/>
    <col min="21" max="21" width="18.42578125" customWidth="1"/>
    <col min="22" max="24" width="14.28515625" customWidth="1"/>
    <col min="25" max="25" width="15.7109375" customWidth="1"/>
    <col min="26" max="27" width="16.42578125" customWidth="1"/>
    <col min="28" max="28" width="11.140625" customWidth="1"/>
    <col min="30" max="30" width="11.42578125" customWidth="1"/>
    <col min="32" max="32" width="13.28515625" customWidth="1"/>
    <col min="34" max="36" width="11.85546875" customWidth="1"/>
    <col min="37" max="38" width="13.7109375" customWidth="1"/>
    <col min="39" max="39" width="16.140625" customWidth="1"/>
    <col min="40" max="40" width="13.5703125" customWidth="1"/>
  </cols>
  <sheetData>
    <row r="1" spans="1:25" s="148" customFormat="1" ht="129" customHeight="1" x14ac:dyDescent="0.25"/>
    <row r="2" spans="1:25" s="1" customFormat="1" ht="35.25" customHeight="1" x14ac:dyDescent="0.4">
      <c r="A2" s="1" t="s">
        <v>102</v>
      </c>
      <c r="F2" s="199"/>
      <c r="G2" s="231"/>
    </row>
    <row r="3" spans="1:25" s="200" customFormat="1" ht="27" customHeight="1" x14ac:dyDescent="0.3">
      <c r="A3" s="200" t="s">
        <v>84</v>
      </c>
      <c r="D3" s="200">
        <f>YHTEENVETO!D3</f>
        <v>2019</v>
      </c>
    </row>
    <row r="4" spans="1:25" s="209" customFormat="1" ht="18" x14ac:dyDescent="0.25">
      <c r="A4" s="232" t="str">
        <f>YHTEENVETO!A3</f>
        <v>X:n</v>
      </c>
      <c r="B4" s="233" t="s">
        <v>2</v>
      </c>
      <c r="D4" s="233" t="s">
        <v>316</v>
      </c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</row>
    <row r="5" spans="1:25" x14ac:dyDescent="0.25">
      <c r="A5" s="202"/>
      <c r="B5" s="202"/>
      <c r="C5" s="202"/>
      <c r="D5" s="202"/>
      <c r="E5" s="202"/>
      <c r="F5" s="202"/>
      <c r="G5" s="202"/>
      <c r="H5" s="234"/>
      <c r="J5" s="202"/>
      <c r="K5" s="202"/>
      <c r="L5" s="202"/>
      <c r="M5" s="202"/>
      <c r="N5" s="202"/>
      <c r="O5" s="202"/>
      <c r="P5" s="202"/>
      <c r="Q5" s="202"/>
      <c r="R5" s="202"/>
      <c r="U5" s="202"/>
    </row>
    <row r="6" spans="1:25" x14ac:dyDescent="0.25">
      <c r="A6" s="268" t="s">
        <v>891</v>
      </c>
      <c r="B6" s="268"/>
      <c r="C6" s="268"/>
      <c r="D6" s="268"/>
      <c r="E6" s="268"/>
      <c r="F6" s="268"/>
      <c r="G6" s="268"/>
      <c r="H6" s="269"/>
      <c r="I6" s="5"/>
      <c r="J6" s="268"/>
      <c r="K6" s="268"/>
      <c r="L6" s="268"/>
      <c r="M6" s="202"/>
      <c r="N6" s="202"/>
      <c r="O6" s="202"/>
      <c r="P6" s="202"/>
      <c r="Q6" s="202"/>
      <c r="R6" s="202"/>
      <c r="U6" s="202"/>
    </row>
    <row r="7" spans="1:25" x14ac:dyDescent="0.25">
      <c r="A7" s="268" t="s">
        <v>892</v>
      </c>
      <c r="B7" s="268"/>
      <c r="C7" s="268"/>
      <c r="D7" s="268"/>
      <c r="E7" s="268"/>
      <c r="F7" s="268"/>
      <c r="G7" s="268"/>
      <c r="H7" s="269"/>
      <c r="I7" s="5"/>
      <c r="J7" s="268"/>
      <c r="K7" s="268"/>
      <c r="L7" s="268"/>
      <c r="M7" s="202"/>
      <c r="N7" s="202"/>
      <c r="O7" s="202"/>
      <c r="P7" s="202"/>
      <c r="Q7" s="202"/>
      <c r="R7" s="202"/>
      <c r="U7" s="202"/>
    </row>
    <row r="8" spans="1:25" x14ac:dyDescent="0.25">
      <c r="A8" s="202"/>
      <c r="B8" s="202"/>
      <c r="C8" s="202"/>
      <c r="D8" s="202"/>
      <c r="E8" s="202"/>
      <c r="F8" s="202"/>
      <c r="G8" s="202"/>
      <c r="H8" s="234"/>
      <c r="J8" s="202"/>
      <c r="K8" s="202"/>
      <c r="L8" s="202"/>
      <c r="M8" s="202"/>
      <c r="N8" s="202"/>
      <c r="O8" s="202"/>
      <c r="P8" s="202"/>
      <c r="Q8" s="202"/>
      <c r="R8" s="202"/>
      <c r="U8" s="202"/>
    </row>
    <row r="9" spans="1:25" x14ac:dyDescent="0.25">
      <c r="A9" s="202"/>
      <c r="B9" s="202"/>
      <c r="C9" s="202"/>
      <c r="D9" s="202"/>
      <c r="E9" s="202"/>
      <c r="F9" s="202"/>
      <c r="G9" s="202"/>
      <c r="H9" s="234"/>
      <c r="J9" s="202"/>
      <c r="K9" s="202"/>
      <c r="L9" s="202"/>
      <c r="M9" s="202"/>
      <c r="N9" s="202"/>
      <c r="O9" s="202"/>
      <c r="P9" s="202"/>
      <c r="Q9" s="202"/>
      <c r="R9" s="202"/>
      <c r="U9" s="202"/>
    </row>
    <row r="10" spans="1:25" ht="15.75" x14ac:dyDescent="0.25">
      <c r="A10" s="238" t="s">
        <v>271</v>
      </c>
      <c r="B10" s="216"/>
      <c r="C10" s="216"/>
      <c r="D10" s="216"/>
      <c r="E10" s="270"/>
      <c r="F10" s="202"/>
      <c r="G10" s="202"/>
      <c r="H10" s="234"/>
      <c r="J10" s="202"/>
      <c r="K10" s="202"/>
      <c r="L10" s="202"/>
      <c r="M10" s="202"/>
      <c r="N10" s="202"/>
      <c r="O10" s="202"/>
      <c r="P10" s="202"/>
      <c r="Q10" s="202"/>
      <c r="R10" s="202"/>
      <c r="U10" s="202"/>
    </row>
    <row r="11" spans="1:25" x14ac:dyDescent="0.25">
      <c r="A11" s="251" t="s">
        <v>319</v>
      </c>
      <c r="B11" s="236"/>
      <c r="C11" s="236"/>
      <c r="D11" s="236"/>
      <c r="E11" s="202"/>
      <c r="F11" s="202"/>
      <c r="G11" s="202"/>
      <c r="H11" s="234"/>
      <c r="J11" s="202"/>
      <c r="K11" s="202"/>
      <c r="L11" s="202"/>
      <c r="M11" s="202"/>
      <c r="N11" s="202"/>
      <c r="O11" s="202"/>
      <c r="P11" s="202"/>
      <c r="Q11" s="202"/>
      <c r="R11" s="202"/>
      <c r="U11" s="202"/>
    </row>
    <row r="12" spans="1:25" x14ac:dyDescent="0.25">
      <c r="A12" s="217" t="s">
        <v>64</v>
      </c>
      <c r="B12" s="217" t="s">
        <v>275</v>
      </c>
      <c r="C12" s="217" t="s">
        <v>150</v>
      </c>
      <c r="D12" s="217" t="s">
        <v>320</v>
      </c>
      <c r="E12" s="217" t="s">
        <v>321</v>
      </c>
      <c r="F12" s="217" t="s">
        <v>322</v>
      </c>
      <c r="G12" s="217" t="s">
        <v>323</v>
      </c>
      <c r="H12" s="202"/>
      <c r="K12" s="202"/>
      <c r="L12" s="202"/>
      <c r="M12" s="202"/>
      <c r="N12" s="202"/>
      <c r="O12" s="202"/>
      <c r="P12" s="202"/>
      <c r="R12" s="202"/>
      <c r="U12" s="202"/>
    </row>
    <row r="13" spans="1:25" x14ac:dyDescent="0.25">
      <c r="A13" s="271"/>
      <c r="B13" s="271"/>
      <c r="C13" s="271"/>
      <c r="D13" s="271"/>
      <c r="E13" s="271"/>
      <c r="F13" s="271"/>
      <c r="G13" s="271"/>
      <c r="H13" s="234"/>
      <c r="J13" s="202"/>
      <c r="K13" s="202"/>
      <c r="L13" s="202"/>
      <c r="M13" s="202"/>
      <c r="N13" s="202"/>
      <c r="O13" s="202"/>
      <c r="P13" s="202"/>
      <c r="Q13" s="202"/>
      <c r="R13" s="202"/>
      <c r="U13" s="202"/>
    </row>
    <row r="14" spans="1:25" x14ac:dyDescent="0.25">
      <c r="A14" s="271"/>
      <c r="B14" s="271"/>
      <c r="C14" s="271"/>
      <c r="D14" s="271"/>
      <c r="E14" s="271"/>
      <c r="F14" s="271"/>
      <c r="G14" s="271"/>
      <c r="H14" s="234"/>
      <c r="J14" s="202"/>
      <c r="K14" s="202"/>
      <c r="L14" s="202"/>
      <c r="M14" s="202"/>
      <c r="N14" s="202"/>
      <c r="O14" s="202"/>
      <c r="P14" s="202"/>
      <c r="Q14" s="202"/>
      <c r="R14" s="202"/>
      <c r="U14" s="202"/>
    </row>
    <row r="15" spans="1:25" x14ac:dyDescent="0.25">
      <c r="A15" s="271"/>
      <c r="B15" s="271"/>
      <c r="C15" s="271"/>
      <c r="D15" s="271"/>
      <c r="E15" s="271"/>
      <c r="F15" s="271"/>
      <c r="G15" s="271"/>
      <c r="H15" s="234"/>
      <c r="J15" s="202"/>
      <c r="K15" s="202"/>
      <c r="L15" s="202"/>
      <c r="M15" s="202"/>
      <c r="N15" s="202"/>
      <c r="O15" s="202"/>
      <c r="P15" s="202"/>
      <c r="Q15" s="202"/>
      <c r="R15" s="202"/>
      <c r="U15" s="202"/>
    </row>
    <row r="16" spans="1:25" x14ac:dyDescent="0.25">
      <c r="A16" s="271"/>
      <c r="B16" s="271"/>
      <c r="C16" s="271"/>
      <c r="D16" s="271"/>
      <c r="E16" s="271"/>
      <c r="F16" s="271"/>
      <c r="G16" s="271"/>
      <c r="H16" s="234"/>
      <c r="J16" s="202"/>
      <c r="K16" s="202"/>
      <c r="L16" s="202"/>
      <c r="M16" s="202"/>
      <c r="N16" s="202"/>
      <c r="O16" s="202"/>
      <c r="P16" s="202"/>
      <c r="Q16" s="202"/>
      <c r="R16" s="202"/>
      <c r="U16" s="202"/>
    </row>
    <row r="17" spans="1:21" x14ac:dyDescent="0.25">
      <c r="A17" s="271"/>
      <c r="B17" s="271"/>
      <c r="C17" s="271"/>
      <c r="D17" s="271"/>
      <c r="E17" s="271"/>
      <c r="F17" s="271"/>
      <c r="G17" s="271"/>
      <c r="H17" s="234"/>
      <c r="J17" s="202"/>
      <c r="K17" s="202"/>
      <c r="L17" s="202"/>
      <c r="M17" s="202"/>
      <c r="N17" s="202"/>
      <c r="O17" s="202"/>
      <c r="P17" s="202"/>
      <c r="Q17" s="202"/>
      <c r="R17" s="202"/>
      <c r="U17" s="202"/>
    </row>
    <row r="18" spans="1:21" x14ac:dyDescent="0.25">
      <c r="A18" s="271"/>
      <c r="B18" s="271"/>
      <c r="C18" s="271"/>
      <c r="D18" s="271"/>
      <c r="E18" s="271"/>
      <c r="F18" s="271"/>
      <c r="G18" s="271"/>
      <c r="H18" s="234"/>
      <c r="J18" s="202"/>
      <c r="K18" s="202"/>
      <c r="L18" s="202"/>
      <c r="M18" s="202"/>
      <c r="N18" s="202"/>
      <c r="O18" s="202"/>
      <c r="P18" s="202"/>
      <c r="Q18" s="202"/>
      <c r="R18" s="202"/>
      <c r="U18" s="202"/>
    </row>
    <row r="19" spans="1:21" x14ac:dyDescent="0.25">
      <c r="A19" s="271"/>
      <c r="B19" s="271"/>
      <c r="C19" s="271"/>
      <c r="D19" s="271"/>
      <c r="E19" s="271"/>
      <c r="F19" s="271"/>
      <c r="G19" s="271"/>
      <c r="H19" s="234"/>
      <c r="J19" s="202"/>
      <c r="K19" s="202"/>
      <c r="L19" s="202"/>
      <c r="M19" s="202"/>
      <c r="N19" s="202"/>
      <c r="O19" s="202"/>
      <c r="P19" s="202"/>
      <c r="Q19" s="202"/>
      <c r="R19" s="202"/>
      <c r="U19" s="202"/>
    </row>
    <row r="20" spans="1:21" x14ac:dyDescent="0.25">
      <c r="A20" s="271"/>
      <c r="B20" s="271"/>
      <c r="C20" s="271"/>
      <c r="D20" s="271"/>
      <c r="E20" s="271"/>
      <c r="F20" s="271"/>
      <c r="G20" s="271"/>
      <c r="H20" s="234"/>
      <c r="J20" s="202"/>
      <c r="K20" s="202"/>
      <c r="L20" s="202"/>
      <c r="M20" s="202"/>
      <c r="N20" s="202"/>
      <c r="O20" s="202"/>
      <c r="P20" s="202"/>
      <c r="Q20" s="202"/>
      <c r="R20" s="202"/>
      <c r="U20" s="202"/>
    </row>
    <row r="21" spans="1:21" x14ac:dyDescent="0.25">
      <c r="A21" s="271"/>
      <c r="B21" s="271"/>
      <c r="C21" s="271"/>
      <c r="D21" s="271"/>
      <c r="E21" s="271"/>
      <c r="F21" s="271"/>
      <c r="G21" s="271"/>
      <c r="H21" s="234"/>
      <c r="J21" s="202"/>
      <c r="K21" s="202"/>
      <c r="L21" s="202"/>
      <c r="M21" s="202"/>
      <c r="N21" s="202"/>
      <c r="O21" s="202"/>
      <c r="P21" s="202"/>
      <c r="Q21" s="202"/>
      <c r="R21" s="202"/>
      <c r="U21" s="202"/>
    </row>
    <row r="22" spans="1:21" x14ac:dyDescent="0.25">
      <c r="A22" s="271"/>
      <c r="B22" s="271"/>
      <c r="C22" s="271"/>
      <c r="D22" s="271"/>
      <c r="E22" s="271"/>
      <c r="F22" s="271"/>
      <c r="G22" s="271"/>
      <c r="H22" s="234"/>
      <c r="J22" s="202"/>
      <c r="K22" s="202"/>
      <c r="L22" s="202"/>
      <c r="M22" s="202"/>
      <c r="N22" s="202"/>
      <c r="O22" s="202"/>
      <c r="P22" s="202"/>
      <c r="Q22" s="202"/>
      <c r="R22" s="202"/>
      <c r="U22" s="202"/>
    </row>
    <row r="23" spans="1:21" x14ac:dyDescent="0.25">
      <c r="A23" s="271"/>
      <c r="B23" s="271"/>
      <c r="C23" s="271"/>
      <c r="D23" s="271"/>
      <c r="E23" s="271"/>
      <c r="F23" s="271"/>
      <c r="G23" s="271"/>
      <c r="H23" s="234"/>
      <c r="J23" s="202"/>
      <c r="K23" s="202"/>
      <c r="L23" s="202"/>
      <c r="M23" s="202"/>
      <c r="N23" s="202"/>
      <c r="O23" s="202"/>
      <c r="P23" s="202"/>
      <c r="Q23" s="202"/>
      <c r="R23" s="202"/>
      <c r="U23" s="202"/>
    </row>
    <row r="24" spans="1:21" x14ac:dyDescent="0.25">
      <c r="A24" s="271"/>
      <c r="B24" s="271"/>
      <c r="C24" s="271"/>
      <c r="D24" s="271"/>
      <c r="E24" s="271"/>
      <c r="F24" s="271"/>
      <c r="G24" s="271"/>
      <c r="H24" s="234"/>
      <c r="J24" s="202"/>
      <c r="K24" s="202"/>
      <c r="L24" s="202"/>
      <c r="M24" s="202"/>
      <c r="N24" s="202"/>
      <c r="O24" s="202"/>
      <c r="P24" s="202"/>
      <c r="Q24" s="202"/>
      <c r="R24" s="202"/>
      <c r="U24" s="202"/>
    </row>
    <row r="25" spans="1:21" x14ac:dyDescent="0.25">
      <c r="A25" s="271"/>
      <c r="B25" s="271"/>
      <c r="C25" s="271"/>
      <c r="D25" s="271"/>
      <c r="E25" s="271"/>
      <c r="F25" s="271"/>
      <c r="G25" s="271"/>
      <c r="H25" s="234"/>
      <c r="J25" s="202"/>
      <c r="K25" s="202"/>
      <c r="L25" s="202"/>
      <c r="M25" s="202"/>
      <c r="N25" s="202"/>
      <c r="O25" s="202"/>
      <c r="P25" s="202"/>
      <c r="Q25" s="202"/>
      <c r="R25" s="202"/>
      <c r="U25" s="202"/>
    </row>
    <row r="26" spans="1:21" x14ac:dyDescent="0.25">
      <c r="A26" s="271"/>
      <c r="B26" s="271"/>
      <c r="C26" s="271"/>
      <c r="D26" s="271"/>
      <c r="E26" s="271"/>
      <c r="F26" s="271"/>
      <c r="G26" s="271"/>
      <c r="H26" s="234"/>
      <c r="J26" s="202"/>
      <c r="K26" s="202"/>
      <c r="L26" s="202"/>
      <c r="M26" s="202"/>
      <c r="N26" s="202"/>
      <c r="O26" s="202"/>
      <c r="P26" s="202"/>
      <c r="Q26" s="202"/>
      <c r="R26" s="202"/>
      <c r="U26" s="202"/>
    </row>
    <row r="27" spans="1:21" x14ac:dyDescent="0.25">
      <c r="A27" s="271"/>
      <c r="B27" s="271"/>
      <c r="C27" s="271"/>
      <c r="D27" s="271"/>
      <c r="E27" s="271"/>
      <c r="F27" s="271"/>
      <c r="G27" s="271"/>
      <c r="H27" s="234"/>
      <c r="J27" s="202"/>
      <c r="K27" s="202"/>
      <c r="L27" s="202"/>
      <c r="M27" s="202"/>
      <c r="N27" s="202"/>
      <c r="O27" s="202"/>
      <c r="P27" s="202"/>
      <c r="Q27" s="202"/>
      <c r="R27" s="202"/>
      <c r="U27" s="202"/>
    </row>
    <row r="28" spans="1:21" x14ac:dyDescent="0.25">
      <c r="A28" s="271"/>
      <c r="B28" s="271"/>
      <c r="C28" s="271"/>
      <c r="D28" s="271"/>
      <c r="E28" s="271"/>
      <c r="F28" s="271"/>
      <c r="G28" s="271"/>
      <c r="H28" s="234"/>
      <c r="J28" s="202"/>
      <c r="K28" s="202"/>
      <c r="L28" s="202"/>
      <c r="M28" s="202"/>
      <c r="N28" s="202"/>
      <c r="O28" s="202"/>
      <c r="P28" s="202"/>
      <c r="Q28" s="202"/>
      <c r="R28" s="202"/>
      <c r="U28" s="202"/>
    </row>
    <row r="29" spans="1:21" x14ac:dyDescent="0.25">
      <c r="A29" s="20"/>
      <c r="B29" s="20"/>
      <c r="C29" s="20"/>
      <c r="D29" s="20"/>
      <c r="E29" s="20"/>
      <c r="F29" s="20"/>
      <c r="G29" s="20"/>
    </row>
    <row r="30" spans="1:21" x14ac:dyDescent="0.25">
      <c r="A30" s="20"/>
      <c r="B30" s="20"/>
      <c r="C30" s="20"/>
      <c r="D30" s="20"/>
      <c r="E30" s="20"/>
      <c r="F30" s="20"/>
      <c r="G30" s="20"/>
    </row>
    <row r="31" spans="1:21" x14ac:dyDescent="0.25">
      <c r="A31" s="20"/>
      <c r="B31" s="20"/>
      <c r="C31" s="20"/>
      <c r="D31" s="20"/>
      <c r="E31" s="20"/>
      <c r="F31" s="20"/>
      <c r="G31" s="20"/>
    </row>
    <row r="32" spans="1:21" x14ac:dyDescent="0.25">
      <c r="A32" s="20"/>
      <c r="B32" s="20"/>
      <c r="C32" s="20"/>
      <c r="D32" s="20"/>
      <c r="E32" s="20"/>
      <c r="F32" s="20"/>
      <c r="G32" s="20"/>
    </row>
    <row r="33" spans="1:7" x14ac:dyDescent="0.25">
      <c r="A33" s="20"/>
      <c r="B33" s="20"/>
      <c r="C33" s="20"/>
      <c r="D33" s="20"/>
      <c r="E33" s="20"/>
      <c r="F33" s="20"/>
      <c r="G33" s="20"/>
    </row>
    <row r="34" spans="1:7" x14ac:dyDescent="0.25">
      <c r="A34" s="20"/>
      <c r="B34" s="20"/>
      <c r="C34" s="20"/>
      <c r="D34" s="20"/>
      <c r="E34" s="20"/>
      <c r="F34" s="20"/>
      <c r="G34" s="20"/>
    </row>
    <row r="35" spans="1:7" x14ac:dyDescent="0.25">
      <c r="A35" s="20"/>
      <c r="B35" s="20"/>
      <c r="C35" s="20"/>
      <c r="D35" s="20"/>
      <c r="E35" s="20"/>
      <c r="F35" s="20"/>
      <c r="G35" s="20"/>
    </row>
    <row r="36" spans="1:7" x14ac:dyDescent="0.25">
      <c r="A36" s="20"/>
      <c r="B36" s="20"/>
      <c r="C36" s="20"/>
      <c r="D36" s="20"/>
      <c r="E36" s="20"/>
      <c r="F36" s="20"/>
      <c r="G36" s="20"/>
    </row>
    <row r="37" spans="1:7" x14ac:dyDescent="0.25">
      <c r="A37" s="20"/>
      <c r="B37" s="20"/>
      <c r="C37" s="20"/>
      <c r="D37" s="20"/>
      <c r="E37" s="20"/>
      <c r="F37" s="20"/>
      <c r="G37" s="20"/>
    </row>
    <row r="38" spans="1:7" x14ac:dyDescent="0.25">
      <c r="A38" s="20"/>
      <c r="B38" s="20"/>
      <c r="C38" s="20"/>
      <c r="D38" s="20"/>
      <c r="E38" s="20"/>
      <c r="F38" s="20"/>
      <c r="G38" s="20"/>
    </row>
    <row r="39" spans="1:7" ht="15.75" customHeight="1" x14ac:dyDescent="0.25">
      <c r="A39" s="20"/>
      <c r="B39" s="20"/>
      <c r="C39" s="20"/>
      <c r="D39" s="20"/>
      <c r="E39" s="20"/>
      <c r="F39" s="20"/>
      <c r="G39" s="20"/>
    </row>
    <row r="40" spans="1:7" ht="25.5" customHeight="1" x14ac:dyDescent="0.25">
      <c r="A40" s="20"/>
      <c r="B40" s="20"/>
      <c r="C40" s="20"/>
      <c r="D40" s="20"/>
      <c r="E40" s="20"/>
      <c r="F40" s="20"/>
      <c r="G40" s="20"/>
    </row>
    <row r="41" spans="1:7" x14ac:dyDescent="0.25">
      <c r="A41" s="20"/>
      <c r="B41" s="20"/>
      <c r="C41" s="20"/>
      <c r="D41" s="20"/>
      <c r="E41" s="20"/>
      <c r="F41" s="20"/>
      <c r="G41" s="20"/>
    </row>
    <row r="42" spans="1:7" x14ac:dyDescent="0.25">
      <c r="A42" s="20"/>
      <c r="B42" s="20"/>
      <c r="C42" s="20"/>
      <c r="D42" s="20"/>
      <c r="E42" s="20"/>
      <c r="F42" s="20"/>
      <c r="G42" s="20"/>
    </row>
    <row r="43" spans="1:7" x14ac:dyDescent="0.25">
      <c r="A43" s="20"/>
      <c r="B43" s="20"/>
      <c r="C43" s="20"/>
      <c r="D43" s="20"/>
      <c r="E43" s="20"/>
      <c r="F43" s="20"/>
      <c r="G43" s="20"/>
    </row>
    <row r="44" spans="1:7" x14ac:dyDescent="0.25">
      <c r="A44" s="20"/>
      <c r="B44" s="20"/>
      <c r="C44" s="20"/>
      <c r="D44" s="20"/>
      <c r="E44" s="20"/>
      <c r="F44" s="20"/>
      <c r="G44" s="20"/>
    </row>
    <row r="45" spans="1:7" x14ac:dyDescent="0.25">
      <c r="A45" s="20"/>
      <c r="B45" s="20"/>
      <c r="C45" s="20"/>
      <c r="D45" s="20"/>
      <c r="E45" s="20"/>
      <c r="F45" s="20"/>
      <c r="G45" s="20"/>
    </row>
    <row r="46" spans="1:7" x14ac:dyDescent="0.25">
      <c r="A46" s="20"/>
      <c r="B46" s="20"/>
      <c r="C46" s="20"/>
      <c r="D46" s="20"/>
      <c r="E46" s="20"/>
      <c r="F46" s="20"/>
      <c r="G46" s="20"/>
    </row>
    <row r="47" spans="1:7" x14ac:dyDescent="0.25">
      <c r="A47" s="20"/>
      <c r="B47" s="20"/>
      <c r="C47" s="20"/>
      <c r="D47" s="20"/>
      <c r="E47" s="20"/>
      <c r="F47" s="20"/>
      <c r="G47" s="20"/>
    </row>
    <row r="48" spans="1:7" x14ac:dyDescent="0.25">
      <c r="A48" s="20"/>
      <c r="B48" s="20"/>
      <c r="C48" s="20"/>
      <c r="D48" s="20"/>
      <c r="E48" s="20"/>
      <c r="F48" s="20"/>
      <c r="G48" s="20"/>
    </row>
    <row r="49" spans="1:7" x14ac:dyDescent="0.25">
      <c r="A49" s="20"/>
      <c r="B49" s="20"/>
      <c r="C49" s="20"/>
      <c r="D49" s="20"/>
      <c r="E49" s="20"/>
      <c r="F49" s="20"/>
      <c r="G49" s="20"/>
    </row>
    <row r="50" spans="1:7" x14ac:dyDescent="0.25">
      <c r="A50" s="20"/>
      <c r="B50" s="20"/>
      <c r="C50" s="20"/>
      <c r="D50" s="20"/>
      <c r="E50" s="20"/>
      <c r="F50" s="20"/>
      <c r="G50" s="20"/>
    </row>
    <row r="51" spans="1:7" x14ac:dyDescent="0.25">
      <c r="A51" s="20"/>
      <c r="B51" s="20"/>
      <c r="C51" s="20"/>
      <c r="D51" s="20"/>
      <c r="E51" s="20"/>
      <c r="F51" s="20"/>
      <c r="G51" s="20"/>
    </row>
    <row r="52" spans="1:7" x14ac:dyDescent="0.25">
      <c r="A52" s="20"/>
      <c r="B52" s="20"/>
      <c r="C52" s="20"/>
      <c r="D52" s="20"/>
      <c r="E52" s="20"/>
      <c r="F52" s="20"/>
      <c r="G52" s="20"/>
    </row>
    <row r="53" spans="1:7" x14ac:dyDescent="0.25">
      <c r="A53" s="20"/>
      <c r="B53" s="20"/>
      <c r="C53" s="20"/>
      <c r="D53" s="20"/>
      <c r="E53" s="20"/>
      <c r="F53" s="20"/>
      <c r="G53" s="20"/>
    </row>
    <row r="54" spans="1:7" x14ac:dyDescent="0.25">
      <c r="A54" s="20"/>
      <c r="B54" s="20"/>
      <c r="C54" s="20"/>
      <c r="D54" s="20"/>
      <c r="E54" s="20"/>
      <c r="F54" s="20"/>
      <c r="G54" s="20"/>
    </row>
    <row r="55" spans="1:7" x14ac:dyDescent="0.25">
      <c r="A55" s="20"/>
      <c r="B55" s="20"/>
      <c r="C55" s="20"/>
      <c r="D55" s="20"/>
      <c r="E55" s="20"/>
      <c r="F55" s="20"/>
      <c r="G55" s="20"/>
    </row>
    <row r="56" spans="1:7" x14ac:dyDescent="0.25">
      <c r="A56" s="20"/>
      <c r="B56" s="20"/>
      <c r="C56" s="20"/>
      <c r="D56" s="20"/>
      <c r="E56" s="20"/>
      <c r="F56" s="20"/>
      <c r="G56" s="20"/>
    </row>
    <row r="57" spans="1:7" x14ac:dyDescent="0.25">
      <c r="A57" s="20"/>
      <c r="B57" s="20"/>
      <c r="C57" s="20"/>
      <c r="D57" s="20"/>
      <c r="E57" s="20"/>
      <c r="F57" s="20"/>
      <c r="G57" s="20"/>
    </row>
    <row r="58" spans="1:7" x14ac:dyDescent="0.25">
      <c r="A58" s="20"/>
      <c r="B58" s="20"/>
      <c r="C58" s="20"/>
      <c r="D58" s="20"/>
      <c r="E58" s="20"/>
      <c r="F58" s="20"/>
      <c r="G58" s="20"/>
    </row>
    <row r="59" spans="1:7" x14ac:dyDescent="0.25">
      <c r="A59" s="20"/>
      <c r="B59" s="20"/>
      <c r="C59" s="20"/>
      <c r="D59" s="20"/>
      <c r="E59" s="20"/>
      <c r="F59" s="20"/>
      <c r="G59" s="20"/>
    </row>
    <row r="60" spans="1:7" x14ac:dyDescent="0.25">
      <c r="A60" s="20"/>
      <c r="B60" s="20"/>
      <c r="C60" s="20"/>
      <c r="D60" s="20"/>
      <c r="E60" s="20"/>
      <c r="F60" s="20"/>
      <c r="G60" s="20"/>
    </row>
    <row r="61" spans="1:7" x14ac:dyDescent="0.25">
      <c r="A61" s="20"/>
      <c r="B61" s="20"/>
      <c r="C61" s="20"/>
      <c r="D61" s="20"/>
      <c r="E61" s="20"/>
      <c r="F61" s="20"/>
      <c r="G61" s="20"/>
    </row>
    <row r="62" spans="1:7" x14ac:dyDescent="0.25">
      <c r="A62" s="20"/>
      <c r="B62" s="20"/>
      <c r="C62" s="20"/>
      <c r="D62" s="20"/>
      <c r="E62" s="20"/>
      <c r="F62" s="20"/>
      <c r="G62" s="20"/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94299-F6EA-4C60-BE78-D05959FC03CA}">
  <sheetPr>
    <tabColor theme="8"/>
  </sheetPr>
  <dimension ref="A1:Y39"/>
  <sheetViews>
    <sheetView showGridLines="0" showRowColHeaders="0" zoomScaleNormal="100" workbookViewId="0"/>
  </sheetViews>
  <sheetFormatPr defaultRowHeight="15" x14ac:dyDescent="0.25"/>
  <cols>
    <col min="1" max="1" width="17.42578125" customWidth="1"/>
    <col min="2" max="2" width="13.7109375" customWidth="1"/>
    <col min="3" max="3" width="13.85546875" customWidth="1"/>
    <col min="4" max="4" width="19.140625" customWidth="1"/>
    <col min="5" max="5" width="18.42578125" customWidth="1"/>
    <col min="6" max="6" width="12.7109375" customWidth="1"/>
    <col min="7" max="7" width="12.5703125" customWidth="1"/>
    <col min="8" max="8" width="13.42578125" customWidth="1"/>
    <col min="11" max="11" width="15.140625" customWidth="1"/>
    <col min="14" max="14" width="11.28515625" customWidth="1"/>
    <col min="16" max="16" width="13.42578125" customWidth="1"/>
    <col min="17" max="17" width="13.85546875" customWidth="1"/>
    <col min="19" max="19" width="15.28515625" customWidth="1"/>
    <col min="20" max="20" width="17.85546875" customWidth="1"/>
    <col min="21" max="21" width="18.42578125" customWidth="1"/>
    <col min="22" max="24" width="14.28515625" customWidth="1"/>
    <col min="25" max="25" width="15.7109375" customWidth="1"/>
    <col min="26" max="27" width="16.42578125" customWidth="1"/>
    <col min="28" max="28" width="11.140625" customWidth="1"/>
    <col min="30" max="30" width="11.42578125" customWidth="1"/>
    <col min="32" max="32" width="13.28515625" customWidth="1"/>
    <col min="34" max="36" width="11.85546875" customWidth="1"/>
    <col min="37" max="38" width="13.7109375" customWidth="1"/>
    <col min="39" max="39" width="16.140625" customWidth="1"/>
    <col min="40" max="40" width="13.5703125" customWidth="1"/>
  </cols>
  <sheetData>
    <row r="1" spans="1:25" s="148" customFormat="1" ht="129" customHeight="1" x14ac:dyDescent="0.25"/>
    <row r="2" spans="1:25" s="1" customFormat="1" ht="35.25" customHeight="1" x14ac:dyDescent="0.4">
      <c r="A2" s="1" t="s">
        <v>102</v>
      </c>
      <c r="F2" s="199"/>
      <c r="G2" s="231"/>
    </row>
    <row r="3" spans="1:25" s="200" customFormat="1" ht="27" customHeight="1" x14ac:dyDescent="0.3">
      <c r="A3" s="200" t="s">
        <v>84</v>
      </c>
      <c r="D3" s="200">
        <f>YHTEENVETO!D3</f>
        <v>2019</v>
      </c>
    </row>
    <row r="4" spans="1:25" s="209" customFormat="1" ht="18" x14ac:dyDescent="0.25">
      <c r="A4" s="232" t="str">
        <f>YHTEENVETO!A3</f>
        <v>X:n</v>
      </c>
      <c r="B4" s="232" t="s">
        <v>2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</row>
    <row r="5" spans="1:25" x14ac:dyDescent="0.25">
      <c r="A5" s="202"/>
      <c r="B5" s="202"/>
      <c r="C5" s="202"/>
      <c r="D5" s="202"/>
      <c r="E5" s="202"/>
      <c r="F5" s="202"/>
      <c r="G5" s="202"/>
      <c r="H5" s="234"/>
      <c r="J5" s="202"/>
      <c r="K5" s="202"/>
      <c r="L5" s="202"/>
      <c r="M5" s="202"/>
      <c r="N5" s="202"/>
      <c r="O5" s="202"/>
      <c r="P5" s="202"/>
      <c r="Q5" s="202"/>
      <c r="R5" s="202"/>
      <c r="U5" s="202"/>
    </row>
    <row r="6" spans="1:25" x14ac:dyDescent="0.25">
      <c r="A6" s="268" t="s">
        <v>325</v>
      </c>
      <c r="B6" s="268"/>
      <c r="C6" s="268"/>
      <c r="D6" s="268"/>
      <c r="E6" s="268"/>
      <c r="F6" s="268"/>
      <c r="G6" s="268"/>
      <c r="H6" s="269"/>
      <c r="J6" s="202"/>
      <c r="K6" s="202"/>
      <c r="L6" s="202"/>
      <c r="M6" s="202"/>
      <c r="N6" s="202"/>
      <c r="O6" s="202"/>
      <c r="P6" s="202"/>
      <c r="Q6" s="202"/>
      <c r="R6" s="202"/>
      <c r="U6" s="202"/>
    </row>
    <row r="7" spans="1:25" x14ac:dyDescent="0.25">
      <c r="A7" s="202"/>
      <c r="B7" s="202"/>
      <c r="C7" s="202"/>
      <c r="D7" s="202"/>
      <c r="E7" s="202"/>
      <c r="F7" s="202"/>
      <c r="G7" s="202"/>
      <c r="H7" s="234"/>
      <c r="J7" s="202"/>
      <c r="K7" s="202"/>
      <c r="L7" s="202"/>
      <c r="M7" s="202"/>
      <c r="N7" s="202"/>
      <c r="O7" s="202"/>
      <c r="P7" s="202"/>
      <c r="Q7" s="202"/>
      <c r="R7" s="202"/>
      <c r="U7" s="202"/>
    </row>
    <row r="8" spans="1:25" x14ac:dyDescent="0.25">
      <c r="A8" s="202"/>
      <c r="B8" s="202"/>
      <c r="C8" s="202"/>
      <c r="D8" s="202"/>
      <c r="E8" s="202"/>
      <c r="F8" s="202"/>
      <c r="G8" s="202"/>
      <c r="H8" s="234"/>
      <c r="J8" s="202"/>
      <c r="K8" s="202"/>
      <c r="L8" s="202"/>
      <c r="M8" s="202"/>
      <c r="N8" s="202"/>
      <c r="O8" s="202"/>
      <c r="P8" s="202"/>
      <c r="Q8" s="202"/>
      <c r="R8" s="202"/>
      <c r="U8" s="202"/>
    </row>
    <row r="9" spans="1:25" x14ac:dyDescent="0.25">
      <c r="A9" s="202"/>
      <c r="B9" s="202"/>
      <c r="C9" s="202"/>
      <c r="D9" s="202"/>
      <c r="E9" s="202"/>
      <c r="F9" s="202"/>
      <c r="G9" s="202"/>
      <c r="H9" s="234"/>
      <c r="J9" s="202"/>
      <c r="K9" s="202"/>
      <c r="L9" s="202"/>
      <c r="M9" s="202"/>
      <c r="N9" s="202"/>
      <c r="O9" s="202"/>
      <c r="P9" s="202"/>
      <c r="Q9" s="202"/>
      <c r="R9" s="202"/>
      <c r="U9" s="202"/>
    </row>
    <row r="10" spans="1:25" x14ac:dyDescent="0.25">
      <c r="A10" s="202"/>
      <c r="B10" s="202"/>
      <c r="C10" s="202"/>
      <c r="D10" s="202"/>
      <c r="E10" s="202"/>
      <c r="F10" s="202"/>
      <c r="G10" s="202"/>
      <c r="H10" s="234"/>
      <c r="J10" s="202"/>
      <c r="K10" s="202"/>
      <c r="L10" s="202"/>
      <c r="M10" s="202"/>
      <c r="N10" s="202"/>
      <c r="O10" s="202"/>
      <c r="P10" s="202"/>
      <c r="Q10" s="202"/>
      <c r="R10" s="202"/>
      <c r="U10" s="202"/>
    </row>
    <row r="11" spans="1:25" x14ac:dyDescent="0.25">
      <c r="A11" s="202"/>
      <c r="B11" s="202"/>
      <c r="C11" s="202"/>
      <c r="D11" s="202"/>
      <c r="E11" s="202"/>
      <c r="F11" s="202"/>
      <c r="G11" s="202"/>
      <c r="H11" s="234"/>
      <c r="J11" s="202"/>
      <c r="K11" s="202"/>
      <c r="L11" s="202"/>
      <c r="M11" s="202"/>
      <c r="N11" s="202"/>
      <c r="O11" s="202"/>
      <c r="P11" s="202"/>
      <c r="Q11" s="202"/>
      <c r="R11" s="202"/>
      <c r="U11" s="202"/>
    </row>
    <row r="12" spans="1:25" x14ac:dyDescent="0.25">
      <c r="A12" s="202"/>
      <c r="B12" s="202"/>
      <c r="C12" s="202"/>
      <c r="D12" s="202"/>
      <c r="E12" s="202"/>
      <c r="F12" s="202"/>
      <c r="G12" s="202"/>
      <c r="H12" s="234"/>
      <c r="J12" s="202"/>
      <c r="K12" s="202"/>
      <c r="L12" s="202"/>
      <c r="M12" s="202"/>
      <c r="N12" s="202"/>
      <c r="O12" s="202"/>
      <c r="P12" s="202"/>
      <c r="Q12" s="202"/>
      <c r="R12" s="202"/>
      <c r="U12" s="202"/>
    </row>
    <row r="13" spans="1:25" x14ac:dyDescent="0.25">
      <c r="A13" s="202"/>
      <c r="B13" s="202"/>
      <c r="C13" s="202"/>
      <c r="D13" s="202"/>
      <c r="E13" s="202"/>
      <c r="F13" s="202"/>
      <c r="G13" s="202"/>
      <c r="H13" s="234"/>
      <c r="J13" s="202"/>
      <c r="K13" s="202"/>
      <c r="L13" s="202"/>
      <c r="M13" s="202"/>
      <c r="N13" s="202"/>
      <c r="O13" s="202"/>
      <c r="P13" s="202"/>
      <c r="Q13" s="202"/>
      <c r="R13" s="202"/>
      <c r="U13" s="202"/>
    </row>
    <row r="14" spans="1:25" x14ac:dyDescent="0.25">
      <c r="A14" s="202"/>
      <c r="B14" s="202"/>
      <c r="C14" s="202"/>
      <c r="D14" s="202"/>
      <c r="E14" s="202"/>
      <c r="F14" s="202"/>
      <c r="G14" s="202"/>
      <c r="H14" s="234"/>
      <c r="J14" s="202"/>
      <c r="K14" s="202"/>
      <c r="L14" s="202"/>
      <c r="M14" s="202"/>
      <c r="N14" s="202"/>
      <c r="O14" s="202"/>
      <c r="P14" s="202"/>
      <c r="Q14" s="202"/>
      <c r="R14" s="202"/>
      <c r="U14" s="202"/>
    </row>
    <row r="15" spans="1:25" x14ac:dyDescent="0.25">
      <c r="A15" s="202"/>
      <c r="B15" s="202"/>
      <c r="C15" s="202"/>
      <c r="D15" s="202"/>
      <c r="E15" s="202"/>
      <c r="F15" s="202"/>
      <c r="G15" s="202"/>
      <c r="H15" s="234"/>
      <c r="J15" s="202"/>
      <c r="K15" s="202"/>
      <c r="L15" s="202"/>
      <c r="M15" s="202"/>
      <c r="N15" s="202"/>
      <c r="O15" s="202"/>
      <c r="P15" s="202"/>
      <c r="Q15" s="202"/>
      <c r="R15" s="202"/>
      <c r="U15" s="202"/>
    </row>
    <row r="16" spans="1:25" x14ac:dyDescent="0.25">
      <c r="A16" s="202"/>
      <c r="B16" s="202"/>
      <c r="C16" s="202"/>
      <c r="D16" s="202"/>
      <c r="E16" s="202"/>
      <c r="F16" s="202"/>
      <c r="G16" s="202"/>
      <c r="H16" s="234"/>
      <c r="J16" s="202"/>
      <c r="K16" s="202"/>
      <c r="L16" s="202"/>
      <c r="M16" s="202"/>
      <c r="N16" s="202"/>
      <c r="O16" s="202"/>
      <c r="P16" s="202"/>
      <c r="Q16" s="202"/>
      <c r="R16" s="202"/>
      <c r="U16" s="202"/>
    </row>
    <row r="17" spans="1:21" x14ac:dyDescent="0.25">
      <c r="A17" s="202"/>
      <c r="B17" s="202"/>
      <c r="C17" s="202"/>
      <c r="D17" s="202"/>
      <c r="E17" s="202"/>
      <c r="F17" s="202"/>
      <c r="G17" s="202"/>
      <c r="H17" s="234"/>
      <c r="J17" s="202"/>
      <c r="K17" s="202"/>
      <c r="L17" s="202"/>
      <c r="M17" s="202"/>
      <c r="N17" s="202"/>
      <c r="O17" s="202"/>
      <c r="P17" s="202"/>
      <c r="Q17" s="202"/>
      <c r="R17" s="202"/>
      <c r="U17" s="202"/>
    </row>
    <row r="18" spans="1:21" x14ac:dyDescent="0.25">
      <c r="A18" s="202"/>
      <c r="B18" s="202"/>
      <c r="C18" s="202"/>
      <c r="D18" s="202"/>
      <c r="E18" s="202"/>
      <c r="F18" s="202"/>
      <c r="G18" s="202"/>
      <c r="H18" s="234"/>
      <c r="J18" s="202"/>
      <c r="K18" s="202"/>
      <c r="L18" s="202"/>
      <c r="M18" s="202"/>
      <c r="N18" s="202"/>
      <c r="O18" s="202"/>
      <c r="P18" s="202"/>
      <c r="Q18" s="202"/>
      <c r="R18" s="202"/>
      <c r="U18" s="202"/>
    </row>
    <row r="19" spans="1:21" x14ac:dyDescent="0.25">
      <c r="A19" s="202"/>
      <c r="B19" s="202"/>
      <c r="C19" s="202"/>
      <c r="D19" s="202"/>
      <c r="E19" s="202"/>
      <c r="F19" s="202"/>
      <c r="G19" s="202"/>
      <c r="H19" s="234"/>
      <c r="J19" s="202"/>
      <c r="K19" s="202"/>
      <c r="L19" s="202"/>
      <c r="M19" s="202"/>
      <c r="N19" s="202"/>
      <c r="O19" s="202"/>
      <c r="P19" s="202"/>
      <c r="Q19" s="202"/>
      <c r="R19" s="202"/>
      <c r="U19" s="202"/>
    </row>
    <row r="20" spans="1:21" x14ac:dyDescent="0.25">
      <c r="A20" s="202"/>
      <c r="B20" s="202"/>
      <c r="C20" s="202"/>
      <c r="D20" s="202"/>
      <c r="E20" s="202"/>
      <c r="F20" s="202"/>
      <c r="G20" s="202"/>
      <c r="H20" s="234"/>
      <c r="J20" s="202"/>
      <c r="K20" s="202"/>
      <c r="L20" s="202"/>
      <c r="M20" s="202"/>
      <c r="N20" s="202"/>
      <c r="O20" s="202"/>
      <c r="P20" s="202"/>
      <c r="Q20" s="202"/>
      <c r="R20" s="202"/>
      <c r="U20" s="202"/>
    </row>
    <row r="21" spans="1:21" x14ac:dyDescent="0.25">
      <c r="A21" s="202"/>
      <c r="B21" s="202"/>
      <c r="C21" s="202"/>
      <c r="D21" s="202"/>
      <c r="E21" s="202"/>
      <c r="F21" s="202"/>
      <c r="G21" s="202"/>
      <c r="H21" s="234"/>
      <c r="J21" s="202"/>
      <c r="K21" s="202"/>
      <c r="L21" s="202"/>
      <c r="M21" s="202"/>
      <c r="N21" s="202"/>
      <c r="O21" s="202"/>
      <c r="P21" s="202"/>
      <c r="Q21" s="202"/>
      <c r="R21" s="202"/>
      <c r="U21" s="202"/>
    </row>
    <row r="22" spans="1:21" x14ac:dyDescent="0.25">
      <c r="A22" s="202"/>
      <c r="B22" s="202"/>
      <c r="C22" s="202"/>
      <c r="D22" s="202"/>
      <c r="E22" s="202"/>
      <c r="F22" s="202"/>
      <c r="G22" s="202"/>
      <c r="H22" s="234"/>
      <c r="J22" s="202"/>
      <c r="K22" s="202"/>
      <c r="L22" s="202"/>
      <c r="M22" s="202"/>
      <c r="N22" s="202"/>
      <c r="O22" s="202"/>
      <c r="P22" s="202"/>
      <c r="Q22" s="202"/>
      <c r="R22" s="202"/>
      <c r="U22" s="202"/>
    </row>
    <row r="23" spans="1:21" x14ac:dyDescent="0.25">
      <c r="A23" s="202"/>
      <c r="B23" s="202"/>
      <c r="C23" s="202"/>
      <c r="D23" s="202"/>
      <c r="E23" s="202"/>
      <c r="F23" s="202"/>
      <c r="G23" s="202"/>
      <c r="H23" s="234"/>
      <c r="J23" s="202"/>
      <c r="K23" s="202"/>
      <c r="L23" s="202"/>
      <c r="M23" s="202"/>
      <c r="N23" s="202"/>
      <c r="O23" s="202"/>
      <c r="P23" s="202"/>
      <c r="Q23" s="202"/>
      <c r="R23" s="202"/>
      <c r="U23" s="202"/>
    </row>
    <row r="24" spans="1:21" x14ac:dyDescent="0.25">
      <c r="A24" s="202"/>
      <c r="B24" s="202"/>
      <c r="C24" s="202"/>
      <c r="D24" s="202"/>
      <c r="E24" s="202"/>
      <c r="F24" s="202"/>
      <c r="G24" s="202"/>
      <c r="H24" s="234"/>
      <c r="J24" s="202"/>
      <c r="K24" s="202"/>
      <c r="L24" s="202"/>
      <c r="M24" s="202"/>
      <c r="N24" s="202"/>
      <c r="O24" s="202"/>
      <c r="P24" s="202"/>
      <c r="Q24" s="202"/>
      <c r="R24" s="202"/>
      <c r="U24" s="202"/>
    </row>
    <row r="25" spans="1:21" x14ac:dyDescent="0.25">
      <c r="A25" s="202"/>
      <c r="B25" s="202"/>
      <c r="C25" s="202"/>
      <c r="D25" s="202"/>
      <c r="E25" s="202"/>
      <c r="F25" s="202"/>
      <c r="G25" s="202"/>
      <c r="H25" s="234"/>
      <c r="J25" s="202"/>
      <c r="K25" s="202"/>
      <c r="L25" s="202"/>
      <c r="M25" s="202"/>
      <c r="N25" s="202"/>
      <c r="O25" s="202"/>
      <c r="P25" s="202"/>
      <c r="Q25" s="202"/>
      <c r="R25" s="202"/>
      <c r="U25" s="202"/>
    </row>
    <row r="26" spans="1:21" x14ac:dyDescent="0.25">
      <c r="A26" s="202"/>
      <c r="B26" s="202"/>
      <c r="C26" s="202"/>
      <c r="D26" s="202"/>
      <c r="E26" s="202"/>
      <c r="F26" s="202"/>
      <c r="G26" s="202"/>
      <c r="H26" s="234"/>
      <c r="J26" s="202"/>
      <c r="K26" s="202"/>
      <c r="L26" s="202"/>
      <c r="M26" s="202"/>
      <c r="N26" s="202"/>
      <c r="O26" s="202"/>
      <c r="P26" s="202"/>
      <c r="Q26" s="202"/>
      <c r="R26" s="202"/>
      <c r="U26" s="202"/>
    </row>
    <row r="27" spans="1:21" x14ac:dyDescent="0.25">
      <c r="A27" s="202"/>
      <c r="B27" s="202"/>
      <c r="C27" s="202"/>
      <c r="D27" s="202"/>
      <c r="E27" s="202"/>
      <c r="F27" s="202"/>
      <c r="G27" s="202"/>
      <c r="H27" s="234"/>
      <c r="J27" s="202"/>
      <c r="K27" s="202"/>
      <c r="L27" s="202"/>
      <c r="M27" s="202"/>
      <c r="N27" s="202"/>
      <c r="O27" s="202"/>
      <c r="P27" s="202"/>
      <c r="Q27" s="202"/>
      <c r="R27" s="202"/>
      <c r="U27" s="202"/>
    </row>
    <row r="38" ht="15.75" customHeight="1" x14ac:dyDescent="0.25"/>
    <row r="39" ht="25.5" customHeight="1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52100-8A23-4037-992C-B64619004A3F}">
  <sheetPr codeName="Sheet2">
    <tabColor theme="4" tint="0.59999389629810485"/>
  </sheetPr>
  <dimension ref="A1:M70"/>
  <sheetViews>
    <sheetView workbookViewId="0">
      <pane ySplit="2" topLeftCell="A8" activePane="bottomLeft" state="frozen"/>
      <selection activeCell="F29" sqref="F28:F29"/>
      <selection pane="bottomLeft" activeCell="F29" sqref="F28:F29"/>
    </sheetView>
  </sheetViews>
  <sheetFormatPr defaultRowHeight="15" x14ac:dyDescent="0.25"/>
  <cols>
    <col min="1" max="1" width="24.140625" customWidth="1"/>
    <col min="2" max="2" width="27" customWidth="1"/>
    <col min="3" max="3" width="19.42578125" customWidth="1"/>
    <col min="4" max="4" width="16.5703125" customWidth="1"/>
    <col min="5" max="5" width="24.5703125" customWidth="1"/>
    <col min="6" max="6" width="23.140625" customWidth="1"/>
    <col min="7" max="7" width="12.7109375" customWidth="1"/>
    <col min="8" max="9" width="16.7109375" customWidth="1"/>
    <col min="10" max="10" width="15.7109375" customWidth="1"/>
    <col min="11" max="11" width="12.7109375" customWidth="1"/>
    <col min="12" max="12" width="14" customWidth="1"/>
    <col min="13" max="13" width="19.28515625" customWidth="1"/>
    <col min="14" max="14" width="19.42578125" customWidth="1"/>
    <col min="15" max="17" width="14.28515625" customWidth="1"/>
  </cols>
  <sheetData>
    <row r="1" spans="1:13" s="148" customFormat="1" ht="129" customHeight="1" x14ac:dyDescent="0.25"/>
    <row r="2" spans="1:13" s="40" customFormat="1" ht="35.25" customHeight="1" x14ac:dyDescent="0.4">
      <c r="A2" s="40" t="s">
        <v>326</v>
      </c>
      <c r="C2" s="41"/>
    </row>
    <row r="3" spans="1:13" ht="15.75" thickBot="1" x14ac:dyDescent="0.3"/>
    <row r="4" spans="1:13" ht="18.75" x14ac:dyDescent="0.3">
      <c r="A4" s="48" t="s">
        <v>327</v>
      </c>
      <c r="F4" s="43" t="s">
        <v>328</v>
      </c>
      <c r="G4" s="8"/>
      <c r="H4" s="9"/>
      <c r="J4" s="7" t="s">
        <v>104</v>
      </c>
      <c r="K4" s="8" t="s">
        <v>105</v>
      </c>
      <c r="L4" s="8" t="s">
        <v>106</v>
      </c>
      <c r="M4" s="9" t="s">
        <v>107</v>
      </c>
    </row>
    <row r="5" spans="1:13" ht="15.75" thickBot="1" x14ac:dyDescent="0.3">
      <c r="A5" s="13" t="s">
        <v>120</v>
      </c>
      <c r="F5" s="44" t="s">
        <v>329</v>
      </c>
      <c r="G5" s="11">
        <v>0.73549900000000001</v>
      </c>
      <c r="H5" s="12" t="s">
        <v>330</v>
      </c>
      <c r="J5" s="10"/>
      <c r="K5" s="11">
        <v>1</v>
      </c>
      <c r="L5" s="11">
        <v>25</v>
      </c>
      <c r="M5" s="12">
        <v>298</v>
      </c>
    </row>
    <row r="7" spans="1:13" ht="15.75" thickBot="1" x14ac:dyDescent="0.3"/>
    <row r="8" spans="1:13" ht="15.75" x14ac:dyDescent="0.25">
      <c r="A8" s="47" t="s">
        <v>331</v>
      </c>
      <c r="H8" s="52" t="s">
        <v>332</v>
      </c>
      <c r="I8" s="53"/>
      <c r="J8" s="53"/>
      <c r="K8" s="53"/>
      <c r="L8" s="54"/>
      <c r="M8" s="54"/>
    </row>
    <row r="9" spans="1:13" ht="15.75" x14ac:dyDescent="0.25">
      <c r="A9" s="47" t="s">
        <v>333</v>
      </c>
      <c r="H9" s="55" t="s">
        <v>334</v>
      </c>
      <c r="I9" s="50"/>
      <c r="J9" s="50"/>
      <c r="K9" s="50"/>
      <c r="L9" s="56"/>
      <c r="M9" s="56"/>
    </row>
    <row r="10" spans="1:13" x14ac:dyDescent="0.25">
      <c r="A10" s="13" t="s">
        <v>335</v>
      </c>
      <c r="H10" s="27" t="s">
        <v>336</v>
      </c>
      <c r="I10" s="20" t="s">
        <v>337</v>
      </c>
      <c r="J10" s="20" t="s">
        <v>105</v>
      </c>
      <c r="K10" s="20" t="s">
        <v>107</v>
      </c>
      <c r="L10" s="26" t="s">
        <v>106</v>
      </c>
      <c r="M10" s="26" t="s">
        <v>170</v>
      </c>
    </row>
    <row r="11" spans="1:13" x14ac:dyDescent="0.25">
      <c r="H11" s="27" t="s">
        <v>330</v>
      </c>
      <c r="I11" s="20"/>
      <c r="J11" s="20" t="s">
        <v>135</v>
      </c>
      <c r="K11" s="20" t="s">
        <v>135</v>
      </c>
      <c r="L11" s="26" t="s">
        <v>135</v>
      </c>
      <c r="M11" s="26" t="s">
        <v>135</v>
      </c>
    </row>
    <row r="12" spans="1:13" x14ac:dyDescent="0.25">
      <c r="A12" s="42" t="s">
        <v>338</v>
      </c>
      <c r="E12" s="395" t="s">
        <v>339</v>
      </c>
      <c r="H12" s="29">
        <v>-38</v>
      </c>
      <c r="I12">
        <v>-1998</v>
      </c>
      <c r="J12">
        <v>652</v>
      </c>
      <c r="K12">
        <f>0.031*$M$5</f>
        <v>9.2379999999999995</v>
      </c>
      <c r="L12" s="28">
        <f>$L$5*0.049</f>
        <v>1.2250000000000001</v>
      </c>
      <c r="M12" s="28">
        <f t="shared" ref="M12:M18" si="0">SUM(J12:L12)</f>
        <v>662.46300000000008</v>
      </c>
    </row>
    <row r="13" spans="1:13" x14ac:dyDescent="0.25">
      <c r="A13" s="50" t="s">
        <v>339</v>
      </c>
      <c r="B13" s="50" t="s">
        <v>340</v>
      </c>
      <c r="C13" s="50" t="s">
        <v>341</v>
      </c>
      <c r="E13" s="394" t="s">
        <v>342</v>
      </c>
      <c r="F13" s="394" t="s">
        <v>343</v>
      </c>
      <c r="H13" s="57">
        <v>-38</v>
      </c>
      <c r="I13" s="51" t="s">
        <v>344</v>
      </c>
      <c r="J13" s="51">
        <v>652</v>
      </c>
      <c r="K13" s="51">
        <f t="shared" ref="K13:K33" si="1">0.031*$M$5</f>
        <v>9.2379999999999995</v>
      </c>
      <c r="L13" s="58">
        <f>$L$5*0.048</f>
        <v>1.2</v>
      </c>
      <c r="M13" s="347">
        <f t="shared" si="0"/>
        <v>662.4380000000001</v>
      </c>
    </row>
    <row r="14" spans="1:13" x14ac:dyDescent="0.25">
      <c r="A14" s="20" t="s">
        <v>345</v>
      </c>
      <c r="B14" s="20">
        <v>0.31</v>
      </c>
      <c r="C14" s="20">
        <v>0.43</v>
      </c>
      <c r="E14" t="s">
        <v>345</v>
      </c>
      <c r="F14" t="s">
        <v>346</v>
      </c>
      <c r="H14" s="29" t="s">
        <v>347</v>
      </c>
      <c r="I14">
        <v>-1997</v>
      </c>
      <c r="J14">
        <v>652</v>
      </c>
      <c r="K14">
        <f t="shared" si="1"/>
        <v>9.2379999999999995</v>
      </c>
      <c r="L14" s="28">
        <f>$L$5*0.039</f>
        <v>0.97499999999999998</v>
      </c>
      <c r="M14" s="28">
        <f t="shared" si="0"/>
        <v>662.21300000000008</v>
      </c>
    </row>
    <row r="15" spans="1:13" x14ac:dyDescent="0.25">
      <c r="A15" s="20" t="s">
        <v>348</v>
      </c>
      <c r="B15" s="20">
        <v>0.38</v>
      </c>
      <c r="C15" s="20">
        <v>0.32</v>
      </c>
      <c r="E15" t="s">
        <v>348</v>
      </c>
      <c r="F15" t="s">
        <v>349</v>
      </c>
      <c r="H15" s="57" t="s">
        <v>347</v>
      </c>
      <c r="I15" s="51" t="s">
        <v>350</v>
      </c>
      <c r="J15" s="51">
        <v>652</v>
      </c>
      <c r="K15" s="51">
        <f t="shared" si="1"/>
        <v>9.2379999999999995</v>
      </c>
      <c r="L15" s="58">
        <f>$L$5*0.027</f>
        <v>0.67500000000000004</v>
      </c>
      <c r="M15" s="347">
        <f t="shared" si="0"/>
        <v>661.91300000000001</v>
      </c>
    </row>
    <row r="16" spans="1:13" x14ac:dyDescent="0.25">
      <c r="A16" s="148" t="s">
        <v>351</v>
      </c>
      <c r="B16" s="148">
        <v>0.42</v>
      </c>
      <c r="C16" s="148">
        <v>0.43</v>
      </c>
      <c r="E16" t="s">
        <v>351</v>
      </c>
      <c r="F16" t="s">
        <v>352</v>
      </c>
      <c r="H16" s="29" t="s">
        <v>353</v>
      </c>
      <c r="I16">
        <v>-1971</v>
      </c>
      <c r="J16">
        <v>652</v>
      </c>
      <c r="K16">
        <f t="shared" si="1"/>
        <v>9.2379999999999995</v>
      </c>
      <c r="L16" s="28">
        <f>$L$5*0.035</f>
        <v>0.87500000000000011</v>
      </c>
      <c r="M16" s="28">
        <f t="shared" si="0"/>
        <v>662.11300000000006</v>
      </c>
    </row>
    <row r="17" spans="1:13" x14ac:dyDescent="0.25">
      <c r="A17" s="20" t="s">
        <v>354</v>
      </c>
      <c r="B17" s="20">
        <v>0.42</v>
      </c>
      <c r="C17" s="20">
        <v>0.43</v>
      </c>
      <c r="E17" t="s">
        <v>354</v>
      </c>
      <c r="F17" t="s">
        <v>355</v>
      </c>
      <c r="H17" s="29" t="s">
        <v>353</v>
      </c>
      <c r="I17" t="s">
        <v>356</v>
      </c>
      <c r="J17">
        <v>652</v>
      </c>
      <c r="K17">
        <f t="shared" si="1"/>
        <v>9.2379999999999995</v>
      </c>
      <c r="L17" s="28">
        <f>$L$5*0.029</f>
        <v>0.72500000000000009</v>
      </c>
      <c r="M17" s="28">
        <f t="shared" si="0"/>
        <v>661.96300000000008</v>
      </c>
    </row>
    <row r="18" spans="1:13" x14ac:dyDescent="0.25">
      <c r="A18" s="148" t="s">
        <v>357</v>
      </c>
      <c r="B18" s="148">
        <v>0.51</v>
      </c>
      <c r="C18" s="148">
        <v>0.43</v>
      </c>
      <c r="E18" t="s">
        <v>357</v>
      </c>
      <c r="F18" t="s">
        <v>358</v>
      </c>
      <c r="H18" s="29" t="s">
        <v>353</v>
      </c>
      <c r="I18" t="s">
        <v>359</v>
      </c>
      <c r="J18">
        <v>652</v>
      </c>
      <c r="K18">
        <f t="shared" si="1"/>
        <v>9.2379999999999995</v>
      </c>
      <c r="L18" s="28">
        <f>$L$5*0.027</f>
        <v>0.67500000000000004</v>
      </c>
      <c r="M18" s="28">
        <f t="shared" si="0"/>
        <v>661.91300000000001</v>
      </c>
    </row>
    <row r="19" spans="1:13" x14ac:dyDescent="0.25">
      <c r="A19" s="20" t="s">
        <v>360</v>
      </c>
      <c r="B19" s="20">
        <v>0.68</v>
      </c>
      <c r="C19" s="20">
        <v>0.43</v>
      </c>
      <c r="E19" t="s">
        <v>360</v>
      </c>
      <c r="F19" t="s">
        <v>361</v>
      </c>
      <c r="H19" s="29" t="s">
        <v>353</v>
      </c>
      <c r="I19" t="s">
        <v>362</v>
      </c>
      <c r="J19">
        <v>652</v>
      </c>
      <c r="K19">
        <f t="shared" si="1"/>
        <v>9.2379999999999995</v>
      </c>
      <c r="L19" s="28">
        <f>$L$5*0.025</f>
        <v>0.625</v>
      </c>
      <c r="M19" s="28">
        <f t="shared" ref="M19:M33" si="2">SUM(J19:L19)</f>
        <v>661.86300000000006</v>
      </c>
    </row>
    <row r="20" spans="1:13" x14ac:dyDescent="0.25">
      <c r="A20" s="148" t="s">
        <v>363</v>
      </c>
      <c r="B20" s="148">
        <v>0.31</v>
      </c>
      <c r="C20" s="148">
        <v>0.43</v>
      </c>
      <c r="E20" t="s">
        <v>363</v>
      </c>
      <c r="F20" t="s">
        <v>364</v>
      </c>
      <c r="H20" s="29" t="s">
        <v>353</v>
      </c>
      <c r="I20" t="s">
        <v>365</v>
      </c>
      <c r="J20">
        <v>652</v>
      </c>
      <c r="K20">
        <f t="shared" si="1"/>
        <v>9.2379999999999995</v>
      </c>
      <c r="L20" s="28">
        <f>$L$5*0.024</f>
        <v>0.6</v>
      </c>
      <c r="M20" s="28">
        <f t="shared" si="2"/>
        <v>661.83800000000008</v>
      </c>
    </row>
    <row r="21" spans="1:13" x14ac:dyDescent="0.25">
      <c r="A21" s="244" t="s">
        <v>366</v>
      </c>
      <c r="B21" s="244">
        <v>0.68</v>
      </c>
      <c r="C21" s="244">
        <v>0.43</v>
      </c>
      <c r="E21" t="s">
        <v>366</v>
      </c>
      <c r="F21" t="s">
        <v>367</v>
      </c>
      <c r="H21" s="57" t="s">
        <v>353</v>
      </c>
      <c r="I21" s="51" t="s">
        <v>368</v>
      </c>
      <c r="J21" s="51">
        <v>652</v>
      </c>
      <c r="K21" s="51">
        <f t="shared" si="1"/>
        <v>9.2379999999999995</v>
      </c>
      <c r="L21" s="58">
        <f>$L$5*0.018</f>
        <v>0.44999999999999996</v>
      </c>
      <c r="M21" s="347">
        <f t="shared" si="2"/>
        <v>661.6880000000001</v>
      </c>
    </row>
    <row r="22" spans="1:13" x14ac:dyDescent="0.25">
      <c r="A22" s="148" t="s">
        <v>369</v>
      </c>
      <c r="B22" s="148">
        <v>0.38</v>
      </c>
      <c r="C22" s="148">
        <v>0.32</v>
      </c>
      <c r="E22" t="s">
        <v>369</v>
      </c>
      <c r="F22" t="s">
        <v>370</v>
      </c>
      <c r="H22" s="29" t="s">
        <v>371</v>
      </c>
      <c r="I22">
        <v>-1971</v>
      </c>
      <c r="J22">
        <v>652</v>
      </c>
      <c r="K22">
        <f t="shared" si="1"/>
        <v>9.2379999999999995</v>
      </c>
      <c r="L22" s="28">
        <f>$L$5*0.034</f>
        <v>0.85000000000000009</v>
      </c>
      <c r="M22" s="28">
        <f t="shared" si="2"/>
        <v>662.08800000000008</v>
      </c>
    </row>
    <row r="23" spans="1:13" x14ac:dyDescent="0.25">
      <c r="H23" s="29" t="s">
        <v>371</v>
      </c>
      <c r="I23" t="s">
        <v>356</v>
      </c>
      <c r="J23">
        <v>652</v>
      </c>
      <c r="K23">
        <f t="shared" si="1"/>
        <v>9.2379999999999995</v>
      </c>
      <c r="L23" s="28">
        <f>$L$5*0.028</f>
        <v>0.70000000000000007</v>
      </c>
      <c r="M23" s="28">
        <f t="shared" si="2"/>
        <v>661.9380000000001</v>
      </c>
    </row>
    <row r="24" spans="1:13" x14ac:dyDescent="0.25">
      <c r="H24" s="29" t="s">
        <v>371</v>
      </c>
      <c r="I24" t="s">
        <v>359</v>
      </c>
      <c r="J24">
        <v>652</v>
      </c>
      <c r="K24">
        <f t="shared" si="1"/>
        <v>9.2379999999999995</v>
      </c>
      <c r="L24" s="28">
        <f>$L$5*0.025</f>
        <v>0.625</v>
      </c>
      <c r="M24" s="28">
        <f t="shared" si="2"/>
        <v>661.86300000000006</v>
      </c>
    </row>
    <row r="25" spans="1:13" ht="18.75" x14ac:dyDescent="0.3">
      <c r="A25" s="2" t="s">
        <v>372</v>
      </c>
      <c r="H25" s="29" t="s">
        <v>371</v>
      </c>
      <c r="I25" t="s">
        <v>362</v>
      </c>
      <c r="J25">
        <v>652</v>
      </c>
      <c r="K25">
        <f t="shared" si="1"/>
        <v>9.2379999999999995</v>
      </c>
      <c r="L25" s="28">
        <f>$L$5*0.024</f>
        <v>0.6</v>
      </c>
      <c r="M25" s="28">
        <f t="shared" si="2"/>
        <v>661.83800000000008</v>
      </c>
    </row>
    <row r="26" spans="1:13" x14ac:dyDescent="0.25">
      <c r="H26" s="29" t="s">
        <v>371</v>
      </c>
      <c r="I26" t="s">
        <v>373</v>
      </c>
      <c r="J26">
        <v>652</v>
      </c>
      <c r="K26">
        <f t="shared" si="1"/>
        <v>9.2379999999999995</v>
      </c>
      <c r="L26" s="28">
        <f>$L$5*0.023</f>
        <v>0.57499999999999996</v>
      </c>
      <c r="M26" s="28">
        <f t="shared" si="2"/>
        <v>661.8130000000001</v>
      </c>
    </row>
    <row r="27" spans="1:13" x14ac:dyDescent="0.25">
      <c r="A27" s="42" t="s">
        <v>374</v>
      </c>
      <c r="H27" s="57" t="s">
        <v>371</v>
      </c>
      <c r="I27" s="51" t="s">
        <v>375</v>
      </c>
      <c r="J27" s="51">
        <v>652</v>
      </c>
      <c r="K27" s="51">
        <f t="shared" si="1"/>
        <v>9.2379999999999995</v>
      </c>
      <c r="L27" s="58">
        <f>$L$5*0.018</f>
        <v>0.44999999999999996</v>
      </c>
      <c r="M27" s="347">
        <f t="shared" si="2"/>
        <v>661.6880000000001</v>
      </c>
    </row>
    <row r="28" spans="1:13" ht="45" x14ac:dyDescent="0.25">
      <c r="A28" s="45" t="s">
        <v>376</v>
      </c>
      <c r="B28" s="45" t="s">
        <v>377</v>
      </c>
      <c r="C28" s="45" t="s">
        <v>378</v>
      </c>
      <c r="D28" s="45" t="s">
        <v>379</v>
      </c>
      <c r="E28" s="45" t="s">
        <v>380</v>
      </c>
      <c r="F28" s="45" t="s">
        <v>381</v>
      </c>
      <c r="H28" s="29" t="s">
        <v>382</v>
      </c>
      <c r="I28">
        <v>-1971</v>
      </c>
      <c r="J28">
        <v>652</v>
      </c>
      <c r="K28">
        <f t="shared" si="1"/>
        <v>9.2379999999999995</v>
      </c>
      <c r="L28" s="28">
        <f>$L$5*0.034</f>
        <v>0.85000000000000009</v>
      </c>
      <c r="M28" s="28">
        <f t="shared" si="2"/>
        <v>662.08800000000008</v>
      </c>
    </row>
    <row r="29" spans="1:13" x14ac:dyDescent="0.25">
      <c r="A29" s="17"/>
      <c r="B29" s="17" t="s">
        <v>330</v>
      </c>
      <c r="C29" s="17" t="s">
        <v>383</v>
      </c>
      <c r="D29" s="17" t="s">
        <v>330</v>
      </c>
      <c r="E29" s="17" t="s">
        <v>383</v>
      </c>
      <c r="H29" s="29" t="s">
        <v>382</v>
      </c>
      <c r="I29" t="s">
        <v>356</v>
      </c>
      <c r="J29">
        <v>652</v>
      </c>
      <c r="K29">
        <f t="shared" si="1"/>
        <v>9.2379999999999995</v>
      </c>
      <c r="L29" s="28">
        <f>$L$5*0.028</f>
        <v>0.70000000000000007</v>
      </c>
      <c r="M29" s="28">
        <f t="shared" si="2"/>
        <v>661.9380000000001</v>
      </c>
    </row>
    <row r="30" spans="1:13" x14ac:dyDescent="0.25">
      <c r="A30" s="20" t="s">
        <v>345</v>
      </c>
      <c r="B30" s="46">
        <f>$G$5*2004</f>
        <v>1473.9399960000001</v>
      </c>
      <c r="C30" s="20">
        <v>1340</v>
      </c>
      <c r="D30" s="46">
        <f>$G$5*184</f>
        <v>135.331816</v>
      </c>
      <c r="E30" s="20">
        <v>1478</v>
      </c>
      <c r="F30" s="248">
        <f>C30/E30</f>
        <v>0.90663058186738832</v>
      </c>
      <c r="H30" s="29" t="s">
        <v>382</v>
      </c>
      <c r="I30" t="s">
        <v>359</v>
      </c>
      <c r="J30">
        <v>652</v>
      </c>
      <c r="K30">
        <f t="shared" si="1"/>
        <v>9.2379999999999995</v>
      </c>
      <c r="L30" s="28">
        <f>$L$5*0.025</f>
        <v>0.625</v>
      </c>
      <c r="M30" s="28">
        <f t="shared" si="2"/>
        <v>661.86300000000006</v>
      </c>
    </row>
    <row r="31" spans="1:13" x14ac:dyDescent="0.25">
      <c r="A31" s="148" t="s">
        <v>348</v>
      </c>
      <c r="B31" s="155">
        <f>$G$5*618</f>
        <v>454.53838200000001</v>
      </c>
      <c r="C31" s="148">
        <v>790</v>
      </c>
      <c r="D31" s="155">
        <f>$G$5*59</f>
        <v>43.394441</v>
      </c>
      <c r="E31" s="148">
        <v>886</v>
      </c>
      <c r="F31" s="248">
        <f t="shared" ref="F31:F38" si="3">C31/E31</f>
        <v>0.89164785553047399</v>
      </c>
      <c r="H31" s="29" t="s">
        <v>382</v>
      </c>
      <c r="I31" t="s">
        <v>362</v>
      </c>
      <c r="J31">
        <v>652</v>
      </c>
      <c r="K31">
        <f t="shared" si="1"/>
        <v>9.2379999999999995</v>
      </c>
      <c r="L31" s="28">
        <f>$L$5*0.024</f>
        <v>0.6</v>
      </c>
      <c r="M31" s="28">
        <f t="shared" si="2"/>
        <v>661.83800000000008</v>
      </c>
    </row>
    <row r="32" spans="1:13" x14ac:dyDescent="0.25">
      <c r="A32" s="20" t="s">
        <v>351</v>
      </c>
      <c r="B32" s="46">
        <f>$G$5*378</f>
        <v>278.01862199999999</v>
      </c>
      <c r="C32" s="20">
        <v>1293</v>
      </c>
      <c r="D32" s="46">
        <f>$G$5*60</f>
        <v>44.129939999999998</v>
      </c>
      <c r="E32" s="20">
        <v>1746</v>
      </c>
      <c r="F32" s="248">
        <f t="shared" si="3"/>
        <v>0.74054982817869419</v>
      </c>
      <c r="H32" s="29" t="s">
        <v>382</v>
      </c>
      <c r="I32" t="s">
        <v>384</v>
      </c>
      <c r="J32">
        <v>652</v>
      </c>
      <c r="K32">
        <f t="shared" si="1"/>
        <v>9.2379999999999995</v>
      </c>
      <c r="L32" s="28">
        <f>$L$5*0.023</f>
        <v>0.57499999999999996</v>
      </c>
      <c r="M32" s="28">
        <f t="shared" si="2"/>
        <v>661.8130000000001</v>
      </c>
    </row>
    <row r="33" spans="1:13" x14ac:dyDescent="0.25">
      <c r="A33" s="148" t="s">
        <v>354</v>
      </c>
      <c r="B33" s="155">
        <f>$G$5*1851</f>
        <v>1361.408649</v>
      </c>
      <c r="C33" s="148">
        <v>1065</v>
      </c>
      <c r="D33" s="155">
        <f>$G$5*67</f>
        <v>49.278433</v>
      </c>
      <c r="E33" s="148">
        <v>1089</v>
      </c>
      <c r="F33" s="248">
        <f t="shared" si="3"/>
        <v>0.97796143250688705</v>
      </c>
      <c r="H33" s="57" t="s">
        <v>382</v>
      </c>
      <c r="I33" s="51" t="s">
        <v>385</v>
      </c>
      <c r="J33" s="51">
        <v>652</v>
      </c>
      <c r="K33" s="51">
        <f t="shared" si="1"/>
        <v>9.2379999999999995</v>
      </c>
      <c r="L33" s="58">
        <f>$L$5*0.018</f>
        <v>0.44999999999999996</v>
      </c>
      <c r="M33" s="347">
        <f t="shared" si="2"/>
        <v>661.6880000000001</v>
      </c>
    </row>
    <row r="34" spans="1:13" x14ac:dyDescent="0.25">
      <c r="A34" s="20" t="s">
        <v>357</v>
      </c>
      <c r="B34" s="46">
        <f>$G$5*1532</f>
        <v>1126.7844680000001</v>
      </c>
      <c r="C34" s="20">
        <v>1445</v>
      </c>
      <c r="D34" s="46">
        <f>$G$5*864</f>
        <v>635.471136</v>
      </c>
      <c r="E34" s="20">
        <v>933</v>
      </c>
      <c r="F34" s="248">
        <f t="shared" si="3"/>
        <v>1.5487674169346195</v>
      </c>
      <c r="H34" s="29"/>
      <c r="L34" s="28"/>
      <c r="M34" s="28"/>
    </row>
    <row r="35" spans="1:13" x14ac:dyDescent="0.25">
      <c r="A35" s="148" t="s">
        <v>360</v>
      </c>
      <c r="B35" s="155">
        <f>$G$5*2168</f>
        <v>1594.5618320000001</v>
      </c>
      <c r="C35" s="148">
        <v>1358</v>
      </c>
      <c r="D35" s="155">
        <f>$G$5*139</f>
        <v>102.23436100000001</v>
      </c>
      <c r="E35" s="148">
        <v>1169</v>
      </c>
      <c r="F35" s="248">
        <f t="shared" si="3"/>
        <v>1.1616766467065869</v>
      </c>
      <c r="H35" s="55" t="s">
        <v>386</v>
      </c>
      <c r="I35" s="50"/>
      <c r="J35" s="50"/>
      <c r="K35" s="50"/>
      <c r="L35" s="56"/>
      <c r="M35" s="56"/>
    </row>
    <row r="36" spans="1:13" x14ac:dyDescent="0.25">
      <c r="A36" s="20" t="s">
        <v>363</v>
      </c>
      <c r="B36" s="46">
        <f>$G$5*904</f>
        <v>664.89109600000006</v>
      </c>
      <c r="C36" s="20">
        <v>661</v>
      </c>
      <c r="D36" s="46">
        <f>$G$5*83</f>
        <v>61.046416999999998</v>
      </c>
      <c r="E36" s="20">
        <v>656</v>
      </c>
      <c r="F36" s="248">
        <f t="shared" si="3"/>
        <v>1.0076219512195121</v>
      </c>
      <c r="H36" s="27" t="s">
        <v>336</v>
      </c>
      <c r="I36" s="20" t="s">
        <v>337</v>
      </c>
      <c r="J36" s="20" t="s">
        <v>105</v>
      </c>
      <c r="K36" s="20" t="s">
        <v>107</v>
      </c>
      <c r="L36" s="26" t="s">
        <v>106</v>
      </c>
      <c r="M36" s="26" t="s">
        <v>170</v>
      </c>
    </row>
    <row r="37" spans="1:13" x14ac:dyDescent="0.25">
      <c r="A37" s="241" t="s">
        <v>366</v>
      </c>
      <c r="B37" s="242">
        <v>1594.5618320000001</v>
      </c>
      <c r="C37" s="243">
        <v>1358</v>
      </c>
      <c r="D37" s="242">
        <v>102.23436100000001</v>
      </c>
      <c r="E37" s="243">
        <v>1169</v>
      </c>
      <c r="F37" s="248">
        <f t="shared" si="3"/>
        <v>1.1616766467065869</v>
      </c>
      <c r="H37" s="27" t="s">
        <v>330</v>
      </c>
      <c r="I37" s="20"/>
      <c r="J37" s="20" t="s">
        <v>135</v>
      </c>
      <c r="K37" s="20" t="s">
        <v>135</v>
      </c>
      <c r="L37" s="26" t="s">
        <v>135</v>
      </c>
      <c r="M37" s="26" t="s">
        <v>135</v>
      </c>
    </row>
    <row r="38" spans="1:13" x14ac:dyDescent="0.25">
      <c r="A38" s="20" t="s">
        <v>369</v>
      </c>
      <c r="B38" s="46">
        <f>$G$5*477</f>
        <v>350.83302300000003</v>
      </c>
      <c r="C38" s="20">
        <v>365</v>
      </c>
      <c r="D38" s="46">
        <f>$G$5*70</f>
        <v>51.484929999999999</v>
      </c>
      <c r="E38" s="20">
        <v>421</v>
      </c>
      <c r="F38" s="248">
        <f t="shared" si="3"/>
        <v>0.8669833729216152</v>
      </c>
      <c r="H38" s="29">
        <v>-38</v>
      </c>
      <c r="I38">
        <v>-1998</v>
      </c>
      <c r="J38">
        <v>652</v>
      </c>
      <c r="K38">
        <f>0.031*$M$5</f>
        <v>9.2379999999999995</v>
      </c>
      <c r="L38" s="28">
        <f>$L$5*0.059</f>
        <v>1.4749999999999999</v>
      </c>
      <c r="M38" s="28">
        <f t="shared" ref="M38:M66" si="4">SUM(J38:L38)</f>
        <v>662.71300000000008</v>
      </c>
    </row>
    <row r="39" spans="1:13" x14ac:dyDescent="0.25">
      <c r="F39" s="248">
        <f>AVERAGE(F30,F35,F36,F37)</f>
        <v>1.0594014566250185</v>
      </c>
      <c r="H39" s="57">
        <v>-38</v>
      </c>
      <c r="I39" s="51" t="s">
        <v>344</v>
      </c>
      <c r="J39" s="51">
        <v>652</v>
      </c>
      <c r="K39" s="51">
        <f t="shared" ref="K39:K41" si="5">0.031*$M$5</f>
        <v>9.2379999999999995</v>
      </c>
      <c r="L39" s="58">
        <f>$L$5*0.057</f>
        <v>1.425</v>
      </c>
      <c r="M39" s="347">
        <f t="shared" si="4"/>
        <v>662.66300000000001</v>
      </c>
    </row>
    <row r="40" spans="1:13" x14ac:dyDescent="0.25">
      <c r="A40" s="39" t="s">
        <v>387</v>
      </c>
      <c r="H40" s="29" t="s">
        <v>347</v>
      </c>
      <c r="I40">
        <v>-1997</v>
      </c>
      <c r="J40">
        <v>652</v>
      </c>
      <c r="K40">
        <f>0.031*$M$5</f>
        <v>9.2379999999999995</v>
      </c>
      <c r="L40" s="28">
        <f>$L$5*0.046</f>
        <v>1.1499999999999999</v>
      </c>
      <c r="M40" s="28">
        <f t="shared" si="4"/>
        <v>662.38800000000003</v>
      </c>
    </row>
    <row r="41" spans="1:13" x14ac:dyDescent="0.25">
      <c r="H41" s="57" t="s">
        <v>347</v>
      </c>
      <c r="I41" s="51" t="s">
        <v>350</v>
      </c>
      <c r="J41" s="51">
        <v>652</v>
      </c>
      <c r="K41" s="51">
        <f t="shared" si="5"/>
        <v>9.2379999999999995</v>
      </c>
      <c r="L41" s="58">
        <f>$L$5*0.032</f>
        <v>0.8</v>
      </c>
      <c r="M41" s="347">
        <f t="shared" si="4"/>
        <v>662.03800000000001</v>
      </c>
    </row>
    <row r="42" spans="1:13" x14ac:dyDescent="0.25">
      <c r="H42" s="29" t="s">
        <v>388</v>
      </c>
      <c r="I42">
        <v>-1971</v>
      </c>
      <c r="J42">
        <v>652</v>
      </c>
      <c r="K42">
        <f>0.031*$M$5</f>
        <v>9.2379999999999995</v>
      </c>
      <c r="L42" s="28">
        <f>$L$5*0.042</f>
        <v>1.05</v>
      </c>
      <c r="M42" s="28">
        <f t="shared" si="4"/>
        <v>662.28800000000001</v>
      </c>
    </row>
    <row r="43" spans="1:13" x14ac:dyDescent="0.25">
      <c r="H43" s="29" t="s">
        <v>388</v>
      </c>
      <c r="I43" t="s">
        <v>356</v>
      </c>
      <c r="J43">
        <v>652</v>
      </c>
      <c r="K43">
        <f t="shared" ref="K43:K66" si="6">0.031*$M$5</f>
        <v>9.2379999999999995</v>
      </c>
      <c r="L43" s="28">
        <f>$L$5*0.035</f>
        <v>0.87500000000000011</v>
      </c>
      <c r="M43" s="28">
        <f t="shared" si="4"/>
        <v>662.11300000000006</v>
      </c>
    </row>
    <row r="44" spans="1:13" x14ac:dyDescent="0.25">
      <c r="H44" s="29" t="s">
        <v>388</v>
      </c>
      <c r="I44" t="s">
        <v>359</v>
      </c>
      <c r="J44">
        <v>652</v>
      </c>
      <c r="K44">
        <f t="shared" si="6"/>
        <v>9.2379999999999995</v>
      </c>
      <c r="L44" s="28">
        <f>$L$5*0.032</f>
        <v>0.8</v>
      </c>
      <c r="M44" s="28">
        <f t="shared" si="4"/>
        <v>662.03800000000001</v>
      </c>
    </row>
    <row r="45" spans="1:13" ht="15.75" thickBot="1" x14ac:dyDescent="0.3">
      <c r="H45" s="29" t="s">
        <v>388</v>
      </c>
      <c r="I45" t="s">
        <v>362</v>
      </c>
      <c r="J45">
        <v>652</v>
      </c>
      <c r="K45">
        <f t="shared" si="6"/>
        <v>9.2379999999999995</v>
      </c>
      <c r="L45" s="28">
        <f>$L$5*0.03</f>
        <v>0.75</v>
      </c>
      <c r="M45" s="28">
        <f t="shared" si="4"/>
        <v>661.98800000000006</v>
      </c>
    </row>
    <row r="46" spans="1:13" x14ac:dyDescent="0.25">
      <c r="B46" s="67" t="s">
        <v>389</v>
      </c>
      <c r="C46" s="23"/>
      <c r="D46" s="23"/>
      <c r="E46" s="23"/>
      <c r="F46" s="341"/>
      <c r="H46" s="29" t="s">
        <v>388</v>
      </c>
      <c r="I46" t="s">
        <v>365</v>
      </c>
      <c r="J46">
        <v>652</v>
      </c>
      <c r="K46">
        <f t="shared" si="6"/>
        <v>9.2379999999999995</v>
      </c>
      <c r="L46" s="28">
        <f>$L$5*0.028</f>
        <v>0.70000000000000007</v>
      </c>
      <c r="M46" s="28">
        <f t="shared" si="4"/>
        <v>661.9380000000001</v>
      </c>
    </row>
    <row r="47" spans="1:13" x14ac:dyDescent="0.25">
      <c r="B47" s="55" t="s">
        <v>390</v>
      </c>
      <c r="C47" s="50" t="s">
        <v>105</v>
      </c>
      <c r="D47" s="50" t="s">
        <v>106</v>
      </c>
      <c r="E47" s="50" t="s">
        <v>107</v>
      </c>
      <c r="F47" s="342" t="s">
        <v>170</v>
      </c>
      <c r="H47" s="57" t="s">
        <v>388</v>
      </c>
      <c r="I47" s="51" t="s">
        <v>368</v>
      </c>
      <c r="J47" s="51">
        <v>652</v>
      </c>
      <c r="K47" s="51">
        <f t="shared" si="6"/>
        <v>9.2379999999999995</v>
      </c>
      <c r="L47" s="58">
        <f>$L$5*0.022</f>
        <v>0.54999999999999993</v>
      </c>
      <c r="M47" s="347">
        <f t="shared" si="4"/>
        <v>661.78800000000001</v>
      </c>
    </row>
    <row r="48" spans="1:13" x14ac:dyDescent="0.25">
      <c r="B48" s="64"/>
      <c r="C48" s="17" t="s">
        <v>391</v>
      </c>
      <c r="D48" s="17" t="s">
        <v>391</v>
      </c>
      <c r="E48" s="17" t="s">
        <v>391</v>
      </c>
      <c r="F48" s="343" t="s">
        <v>391</v>
      </c>
      <c r="H48" s="29" t="s">
        <v>392</v>
      </c>
      <c r="I48">
        <v>-1971</v>
      </c>
      <c r="J48">
        <v>652</v>
      </c>
      <c r="K48">
        <f>0.031*$M$5</f>
        <v>9.2379999999999995</v>
      </c>
      <c r="L48" s="28">
        <f>$L$5*0.042</f>
        <v>1.05</v>
      </c>
      <c r="M48" s="28">
        <f t="shared" si="4"/>
        <v>662.28800000000001</v>
      </c>
    </row>
    <row r="49" spans="2:13" x14ac:dyDescent="0.25">
      <c r="B49" s="147" t="s">
        <v>393</v>
      </c>
      <c r="C49" s="161">
        <v>2.2717929999999998E-3</v>
      </c>
      <c r="D49" s="148">
        <v>3.6547499999999995E-5</v>
      </c>
      <c r="E49" s="148">
        <v>3.1260915199999995E-5</v>
      </c>
      <c r="F49" s="344">
        <f>SUM(C49:E49)</f>
        <v>2.3396014151999996E-3</v>
      </c>
      <c r="H49" s="29" t="s">
        <v>392</v>
      </c>
      <c r="I49" t="s">
        <v>356</v>
      </c>
      <c r="J49">
        <v>652</v>
      </c>
      <c r="K49">
        <f t="shared" si="6"/>
        <v>9.2379999999999995</v>
      </c>
      <c r="L49" s="28">
        <f>$L$5*0.035</f>
        <v>0.87500000000000011</v>
      </c>
      <c r="M49" s="28">
        <f t="shared" si="4"/>
        <v>662.11300000000006</v>
      </c>
    </row>
    <row r="50" spans="2:13" x14ac:dyDescent="0.25">
      <c r="B50" s="27" t="s">
        <v>394</v>
      </c>
      <c r="C50" s="75">
        <v>2.6764919999999999E-3</v>
      </c>
      <c r="D50" s="20">
        <v>4.1925000000000001E-6</v>
      </c>
      <c r="E50" s="20">
        <v>4.1978663999999993E-5</v>
      </c>
      <c r="F50" s="345">
        <f t="shared" ref="F50:F55" si="7">SUM(C50:E50)</f>
        <v>2.7226631639999999E-3</v>
      </c>
      <c r="H50" s="29" t="s">
        <v>392</v>
      </c>
      <c r="I50" t="s">
        <v>359</v>
      </c>
      <c r="J50">
        <v>652</v>
      </c>
      <c r="K50">
        <f t="shared" si="6"/>
        <v>9.2379999999999995</v>
      </c>
      <c r="L50" s="28">
        <f>$L$5*0.032</f>
        <v>0.8</v>
      </c>
      <c r="M50" s="28">
        <f t="shared" si="4"/>
        <v>662.03800000000001</v>
      </c>
    </row>
    <row r="51" spans="2:13" x14ac:dyDescent="0.25">
      <c r="B51" s="147" t="s">
        <v>395</v>
      </c>
      <c r="C51" s="161">
        <v>1.6117E-3</v>
      </c>
      <c r="D51" s="148">
        <v>7.3314999999999999E-5</v>
      </c>
      <c r="E51" s="148">
        <v>1.5223031999999998E-6</v>
      </c>
      <c r="F51" s="344">
        <f t="shared" si="7"/>
        <v>1.6865373031999999E-3</v>
      </c>
      <c r="H51" s="29" t="s">
        <v>392</v>
      </c>
      <c r="I51" t="s">
        <v>362</v>
      </c>
      <c r="J51">
        <v>652</v>
      </c>
      <c r="K51">
        <f t="shared" si="6"/>
        <v>9.2379999999999995</v>
      </c>
      <c r="L51" s="28">
        <f>$L$5*0.03</f>
        <v>0.75</v>
      </c>
      <c r="M51" s="28">
        <f t="shared" si="4"/>
        <v>661.98800000000006</v>
      </c>
    </row>
    <row r="52" spans="2:13" x14ac:dyDescent="0.25">
      <c r="B52" s="27" t="s">
        <v>396</v>
      </c>
      <c r="C52" s="75">
        <v>2.5193759999999998E-3</v>
      </c>
      <c r="D52" s="74">
        <v>1.095E-5</v>
      </c>
      <c r="E52" s="20">
        <v>6.2651520000000001E-6</v>
      </c>
      <c r="F52" s="345">
        <f t="shared" si="7"/>
        <v>2.5365911519999998E-3</v>
      </c>
      <c r="H52" s="29" t="s">
        <v>392</v>
      </c>
      <c r="I52" t="s">
        <v>373</v>
      </c>
      <c r="J52">
        <v>652</v>
      </c>
      <c r="K52">
        <f t="shared" si="6"/>
        <v>9.2379999999999995</v>
      </c>
      <c r="L52" s="28">
        <f>$L$5*0.028</f>
        <v>0.70000000000000007</v>
      </c>
      <c r="M52" s="28">
        <f t="shared" si="4"/>
        <v>661.9380000000001</v>
      </c>
    </row>
    <row r="53" spans="2:13" x14ac:dyDescent="0.25">
      <c r="B53" s="147" t="s">
        <v>397</v>
      </c>
      <c r="C53" s="161">
        <v>2.9466599999999998E-3</v>
      </c>
      <c r="D53" s="162">
        <v>1.005E-5</v>
      </c>
      <c r="E53" s="148">
        <v>7.1877599999999998E-6</v>
      </c>
      <c r="F53" s="344">
        <f t="shared" si="7"/>
        <v>2.9638977600000001E-3</v>
      </c>
      <c r="H53" s="57" t="s">
        <v>392</v>
      </c>
      <c r="I53" s="51" t="s">
        <v>375</v>
      </c>
      <c r="J53" s="51">
        <v>652</v>
      </c>
      <c r="K53" s="51">
        <f t="shared" si="6"/>
        <v>9.2379999999999995</v>
      </c>
      <c r="L53" s="58">
        <f>$L$5*0.022</f>
        <v>0.54999999999999993</v>
      </c>
      <c r="M53" s="347">
        <f t="shared" si="4"/>
        <v>661.78800000000001</v>
      </c>
    </row>
    <row r="54" spans="2:13" x14ac:dyDescent="0.25">
      <c r="B54" s="27" t="s">
        <v>398</v>
      </c>
      <c r="C54" s="75">
        <v>5.3182800000000003E-4</v>
      </c>
      <c r="D54" s="74">
        <v>1.104E-4</v>
      </c>
      <c r="E54" s="20">
        <v>8.4751199999999992E-6</v>
      </c>
      <c r="F54" s="345">
        <f t="shared" si="7"/>
        <v>6.5070312000000004E-4</v>
      </c>
      <c r="H54" s="29" t="s">
        <v>371</v>
      </c>
      <c r="I54">
        <v>-1971</v>
      </c>
      <c r="J54">
        <v>652</v>
      </c>
      <c r="K54">
        <f>0.031*$M$5</f>
        <v>9.2379999999999995</v>
      </c>
      <c r="L54" s="28">
        <f>$L$5*0.04</f>
        <v>1</v>
      </c>
      <c r="M54" s="28">
        <f t="shared" si="4"/>
        <v>662.23800000000006</v>
      </c>
    </row>
    <row r="55" spans="2:13" ht="15.75" thickBot="1" x14ac:dyDescent="0.3">
      <c r="B55" s="150" t="s">
        <v>399</v>
      </c>
      <c r="C55" s="159">
        <v>1.2117600000000001E-3</v>
      </c>
      <c r="D55" s="160">
        <v>1.104E-4</v>
      </c>
      <c r="E55" s="151">
        <v>1.9310400000000001E-5</v>
      </c>
      <c r="F55" s="346">
        <f t="shared" si="7"/>
        <v>1.3414704000000001E-3</v>
      </c>
      <c r="H55" s="29" t="s">
        <v>371</v>
      </c>
      <c r="I55" t="s">
        <v>356</v>
      </c>
      <c r="J55">
        <v>652</v>
      </c>
      <c r="K55">
        <f t="shared" si="6"/>
        <v>9.2379999999999995</v>
      </c>
      <c r="L55" s="28">
        <f>$L$5*0.034</f>
        <v>0.85000000000000009</v>
      </c>
      <c r="M55" s="28">
        <f t="shared" si="4"/>
        <v>662.08800000000008</v>
      </c>
    </row>
    <row r="56" spans="2:13" ht="15.75" thickBot="1" x14ac:dyDescent="0.3">
      <c r="H56" s="29" t="s">
        <v>371</v>
      </c>
      <c r="I56" t="s">
        <v>359</v>
      </c>
      <c r="J56">
        <v>652</v>
      </c>
      <c r="K56">
        <f t="shared" si="6"/>
        <v>9.2379999999999995</v>
      </c>
      <c r="L56" s="28">
        <f>$L$5*0.03</f>
        <v>0.75</v>
      </c>
      <c r="M56" s="28">
        <f t="shared" si="4"/>
        <v>661.98800000000006</v>
      </c>
    </row>
    <row r="57" spans="2:13" x14ac:dyDescent="0.25">
      <c r="B57" s="67" t="s">
        <v>400</v>
      </c>
      <c r="C57" s="24"/>
      <c r="H57" s="29" t="s">
        <v>371</v>
      </c>
      <c r="I57" t="s">
        <v>362</v>
      </c>
      <c r="J57">
        <v>652</v>
      </c>
      <c r="K57">
        <f t="shared" si="6"/>
        <v>9.2379999999999995</v>
      </c>
      <c r="L57" s="28">
        <f>$L$5*0.029</f>
        <v>0.72500000000000009</v>
      </c>
      <c r="M57" s="28">
        <f t="shared" si="4"/>
        <v>661.96300000000008</v>
      </c>
    </row>
    <row r="58" spans="2:13" x14ac:dyDescent="0.25">
      <c r="B58" s="55" t="s">
        <v>337</v>
      </c>
      <c r="C58" s="56"/>
      <c r="E58" s="42" t="s">
        <v>401</v>
      </c>
      <c r="H58" s="29" t="s">
        <v>371</v>
      </c>
      <c r="I58" t="s">
        <v>373</v>
      </c>
      <c r="J58">
        <v>652</v>
      </c>
      <c r="K58">
        <f t="shared" si="6"/>
        <v>9.2379999999999995</v>
      </c>
      <c r="L58" s="28">
        <f>$L$5*0.027</f>
        <v>0.67500000000000004</v>
      </c>
      <c r="M58" s="28">
        <f t="shared" si="4"/>
        <v>661.91300000000001</v>
      </c>
    </row>
    <row r="59" spans="2:13" x14ac:dyDescent="0.25">
      <c r="B59" s="64"/>
      <c r="C59" s="247" t="s">
        <v>402</v>
      </c>
      <c r="E59" t="s">
        <v>403</v>
      </c>
      <c r="H59" s="57" t="s">
        <v>371</v>
      </c>
      <c r="I59" s="51" t="s">
        <v>375</v>
      </c>
      <c r="J59" s="51">
        <v>652</v>
      </c>
      <c r="K59" s="51">
        <f t="shared" si="6"/>
        <v>9.2379999999999995</v>
      </c>
      <c r="L59" s="58">
        <f>$L$5*0.022</f>
        <v>0.54999999999999993</v>
      </c>
      <c r="M59" s="347">
        <f t="shared" si="4"/>
        <v>661.78800000000001</v>
      </c>
    </row>
    <row r="60" spans="2:13" x14ac:dyDescent="0.25">
      <c r="B60" s="147">
        <v>2018</v>
      </c>
      <c r="C60" s="149">
        <v>0.16800000000000001</v>
      </c>
      <c r="E60" t="s">
        <v>404</v>
      </c>
      <c r="H60" s="29" t="s">
        <v>382</v>
      </c>
      <c r="I60">
        <v>-1971</v>
      </c>
      <c r="J60">
        <v>652</v>
      </c>
      <c r="K60">
        <f>0.031*$M$5</f>
        <v>9.2379999999999995</v>
      </c>
      <c r="L60" s="28">
        <f>$L$5*0.04</f>
        <v>1</v>
      </c>
      <c r="M60" s="28">
        <f t="shared" si="4"/>
        <v>662.23800000000006</v>
      </c>
    </row>
    <row r="61" spans="2:13" x14ac:dyDescent="0.25">
      <c r="B61" s="27">
        <v>2019</v>
      </c>
      <c r="C61" s="26">
        <v>0.16600000000000001</v>
      </c>
      <c r="E61" t="s">
        <v>405</v>
      </c>
      <c r="H61" s="29" t="s">
        <v>382</v>
      </c>
      <c r="I61" t="s">
        <v>356</v>
      </c>
      <c r="J61">
        <v>652</v>
      </c>
      <c r="K61">
        <f t="shared" si="6"/>
        <v>9.2379999999999995</v>
      </c>
      <c r="L61" s="28">
        <f>$L$5*0.034</f>
        <v>0.85000000000000009</v>
      </c>
      <c r="M61" s="28">
        <f t="shared" si="4"/>
        <v>662.08800000000008</v>
      </c>
    </row>
    <row r="62" spans="2:13" x14ac:dyDescent="0.25">
      <c r="B62" s="147">
        <v>2020</v>
      </c>
      <c r="C62" s="149">
        <v>0.16900000000000001</v>
      </c>
      <c r="H62" s="29" t="s">
        <v>382</v>
      </c>
      <c r="I62" t="s">
        <v>359</v>
      </c>
      <c r="J62">
        <v>652</v>
      </c>
      <c r="K62">
        <f t="shared" si="6"/>
        <v>9.2379999999999995</v>
      </c>
      <c r="L62" s="28">
        <f>$L$5*0.03</f>
        <v>0.75</v>
      </c>
      <c r="M62" s="28">
        <f t="shared" si="4"/>
        <v>661.98800000000006</v>
      </c>
    </row>
    <row r="63" spans="2:13" ht="15.75" thickBot="1" x14ac:dyDescent="0.3">
      <c r="B63" s="68">
        <v>2021</v>
      </c>
      <c r="C63" s="70">
        <v>0.16500000000000001</v>
      </c>
      <c r="H63" s="29"/>
      <c r="L63" s="28"/>
      <c r="M63" s="28"/>
    </row>
    <row r="64" spans="2:13" x14ac:dyDescent="0.25">
      <c r="B64" s="237" t="s">
        <v>58</v>
      </c>
      <c r="C64" s="237">
        <v>0.16500000000000001</v>
      </c>
      <c r="H64" s="29" t="s">
        <v>382</v>
      </c>
      <c r="I64" t="s">
        <v>362</v>
      </c>
      <c r="J64">
        <v>652</v>
      </c>
      <c r="K64">
        <f t="shared" si="6"/>
        <v>9.2379999999999995</v>
      </c>
      <c r="L64" s="28">
        <f>$L$5*0.029</f>
        <v>0.72500000000000009</v>
      </c>
      <c r="M64" s="28">
        <f t="shared" si="4"/>
        <v>661.96300000000008</v>
      </c>
    </row>
    <row r="65" spans="1:13" x14ac:dyDescent="0.25">
      <c r="H65" s="29" t="s">
        <v>382</v>
      </c>
      <c r="I65" t="s">
        <v>384</v>
      </c>
      <c r="J65">
        <v>652</v>
      </c>
      <c r="K65">
        <f t="shared" si="6"/>
        <v>9.2379999999999995</v>
      </c>
      <c r="L65" s="28">
        <f>$L$5*0.027</f>
        <v>0.67500000000000004</v>
      </c>
      <c r="M65" s="28">
        <f t="shared" si="4"/>
        <v>661.91300000000001</v>
      </c>
    </row>
    <row r="66" spans="1:13" ht="15.75" thickBot="1" x14ac:dyDescent="0.3">
      <c r="H66" s="34" t="s">
        <v>382</v>
      </c>
      <c r="I66" s="59" t="s">
        <v>385</v>
      </c>
      <c r="J66" s="59">
        <v>652</v>
      </c>
      <c r="K66" s="59">
        <f t="shared" si="6"/>
        <v>9.2379999999999995</v>
      </c>
      <c r="L66" s="60">
        <f>$L$5*0.022</f>
        <v>0.54999999999999993</v>
      </c>
      <c r="M66" s="60">
        <f t="shared" si="4"/>
        <v>661.78800000000001</v>
      </c>
    </row>
    <row r="68" spans="1:13" x14ac:dyDescent="0.25">
      <c r="A68" s="42" t="s">
        <v>91</v>
      </c>
    </row>
    <row r="69" spans="1:13" x14ac:dyDescent="0.25">
      <c r="A69" t="s">
        <v>55</v>
      </c>
    </row>
    <row r="70" spans="1:13" x14ac:dyDescent="0.25">
      <c r="A70" t="s">
        <v>57</v>
      </c>
    </row>
  </sheetData>
  <phoneticPr fontId="19" type="noConversion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F4742-4694-4C52-AB32-B8CB3B1A3745}">
  <sheetPr>
    <tabColor theme="4" tint="0.59999389629810485"/>
  </sheetPr>
  <dimension ref="A1:T68"/>
  <sheetViews>
    <sheetView topLeftCell="D1" workbookViewId="0">
      <pane ySplit="3" topLeftCell="A4" activePane="bottomLeft" state="frozen"/>
      <selection activeCell="F29" sqref="F28:F29"/>
      <selection pane="bottomLeft" activeCell="F29" sqref="F28:F29"/>
    </sheetView>
  </sheetViews>
  <sheetFormatPr defaultRowHeight="15" x14ac:dyDescent="0.25"/>
  <cols>
    <col min="1" max="1" width="19" customWidth="1"/>
    <col min="2" max="2" width="13.85546875" customWidth="1"/>
    <col min="3" max="3" width="16.42578125" customWidth="1"/>
    <col min="4" max="4" width="22" customWidth="1"/>
    <col min="5" max="5" width="18.28515625" customWidth="1"/>
    <col min="6" max="6" width="25" customWidth="1"/>
    <col min="7" max="8" width="17.140625" customWidth="1"/>
    <col min="9" max="9" width="23.140625" customWidth="1"/>
    <col min="10" max="10" width="17.140625" customWidth="1"/>
    <col min="11" max="11" width="18.7109375" customWidth="1"/>
    <col min="12" max="12" width="22.28515625" customWidth="1"/>
    <col min="13" max="13" width="25.5703125" customWidth="1"/>
    <col min="14" max="14" width="26" customWidth="1"/>
    <col min="15" max="15" width="17" customWidth="1"/>
    <col min="16" max="16" width="19" customWidth="1"/>
    <col min="17" max="17" width="21.7109375" customWidth="1"/>
    <col min="18" max="18" width="21.5703125" customWidth="1"/>
    <col min="19" max="25" width="19.140625" customWidth="1"/>
  </cols>
  <sheetData>
    <row r="1" spans="1:20" s="148" customFormat="1" ht="129" customHeight="1" x14ac:dyDescent="0.25"/>
    <row r="2" spans="1:20" s="40" customFormat="1" ht="35.25" customHeight="1" x14ac:dyDescent="0.4">
      <c r="A2" s="40" t="s">
        <v>326</v>
      </c>
      <c r="D2" s="41"/>
    </row>
    <row r="3" spans="1:20" s="200" customFormat="1" ht="27" customHeight="1" x14ac:dyDescent="0.3">
      <c r="A3" s="200" t="s">
        <v>84</v>
      </c>
      <c r="D3" s="200">
        <f>YHTEENVETO!D3</f>
        <v>2019</v>
      </c>
    </row>
    <row r="5" spans="1:20" x14ac:dyDescent="0.25">
      <c r="A5" s="5" t="s">
        <v>406</v>
      </c>
      <c r="B5" s="5"/>
      <c r="C5" s="5"/>
      <c r="D5" s="5"/>
      <c r="E5" s="5"/>
      <c r="F5" s="5"/>
      <c r="G5" s="5"/>
      <c r="H5" s="5"/>
    </row>
    <row r="6" spans="1:20" x14ac:dyDescent="0.25">
      <c r="A6" s="5" t="s">
        <v>407</v>
      </c>
      <c r="B6" s="5"/>
      <c r="C6" s="5"/>
      <c r="D6" s="5"/>
      <c r="E6" s="5"/>
      <c r="F6" s="5"/>
      <c r="G6" s="5"/>
      <c r="H6" s="5"/>
    </row>
    <row r="8" spans="1:20" s="15" customFormat="1" ht="21" customHeight="1" x14ac:dyDescent="0.25"/>
    <row r="9" spans="1:20" ht="15.75" x14ac:dyDescent="0.25">
      <c r="A9" s="238" t="s">
        <v>408</v>
      </c>
      <c r="B9" s="216"/>
      <c r="C9" s="216"/>
      <c r="D9" s="216"/>
      <c r="E9" s="216"/>
      <c r="G9" s="243"/>
    </row>
    <row r="10" spans="1:20" x14ac:dyDescent="0.25">
      <c r="A10" s="251" t="s">
        <v>409</v>
      </c>
      <c r="B10" s="236"/>
      <c r="C10" s="236"/>
    </row>
    <row r="11" spans="1:20" ht="48" x14ac:dyDescent="0.25">
      <c r="A11" s="217" t="s">
        <v>410</v>
      </c>
      <c r="B11" s="217" t="s">
        <v>411</v>
      </c>
      <c r="C11" s="217" t="s">
        <v>412</v>
      </c>
      <c r="D11" s="217" t="s">
        <v>315</v>
      </c>
      <c r="E11" s="217" t="s">
        <v>413</v>
      </c>
      <c r="F11" s="217" t="s">
        <v>414</v>
      </c>
      <c r="G11" s="217" t="s">
        <v>415</v>
      </c>
      <c r="H11" s="217" t="s">
        <v>416</v>
      </c>
      <c r="I11" s="217" t="s">
        <v>91</v>
      </c>
      <c r="K11" s="217" t="s">
        <v>417</v>
      </c>
      <c r="L11" s="217" t="s">
        <v>418</v>
      </c>
      <c r="M11" s="217" t="s">
        <v>419</v>
      </c>
      <c r="N11" s="217" t="s">
        <v>420</v>
      </c>
      <c r="O11" s="217" t="s">
        <v>864</v>
      </c>
      <c r="P11" s="217" t="s">
        <v>865</v>
      </c>
      <c r="Q11" s="217" t="s">
        <v>421</v>
      </c>
      <c r="R11" s="217" t="s">
        <v>422</v>
      </c>
      <c r="S11" s="217" t="s">
        <v>423</v>
      </c>
      <c r="T11" s="217" t="s">
        <v>93</v>
      </c>
    </row>
    <row r="12" spans="1:20" x14ac:dyDescent="0.25">
      <c r="A12">
        <f>'Satama-alukset'!A14</f>
        <v>0</v>
      </c>
      <c r="B12">
        <f>'Satama-alukset'!B14</f>
        <v>0</v>
      </c>
      <c r="C12">
        <f>'Satama-alukset'!C14</f>
        <v>0</v>
      </c>
      <c r="D12">
        <f>'Satama-alukset'!D14</f>
        <v>0</v>
      </c>
      <c r="E12">
        <f>'Satama-alukset'!E14</f>
        <v>0</v>
      </c>
      <c r="F12">
        <f>'Satama-alukset'!F14</f>
        <v>0</v>
      </c>
      <c r="G12">
        <f>'Satama-alukset'!G14</f>
        <v>0</v>
      </c>
      <c r="H12">
        <f>'Satama-alukset'!H14</f>
        <v>0</v>
      </c>
      <c r="I12">
        <f>'Satama-alukset'!I14</f>
        <v>0</v>
      </c>
      <c r="K12">
        <f>IF(D12="x",IF(A12='Satama-alukset_fx'!$A$30,'Satama-alukset_fx'!$B$30,IF(A12='Satama-alukset_fx'!$A$31,'Satama-alukset_fx'!$B$31,IF(A12='Satama-alukset_fx'!$A$32,'Satama-alukset_fx'!$B$32,IF(A12='Satama-alukset_fx'!$A$33,'Satama-alukset_fx'!$B$33,IF(A12='Satama-alukset_fx'!$A$34,'Satama-alukset_fx'!$B$34,IF(A12='Satama-alukset_fx'!$A$35,'Satama-alukset_fx'!$B$35,IF(A12='Satama-alukset_fx'!$A$36,'Satama-alukset_fx'!$B$36,IF(A12='Satama-alukset_fx'!$A$37,'Satama-alukset_fx'!$B$37,IF(A12='Satama-alukset_fx'!$A$38,'Satama-alukset_fx'!$B$38,0))))))))),D12)</f>
        <v>0</v>
      </c>
      <c r="L12">
        <f>IF(E12="x",IF(A12='Satama-alukset_fx'!$A$30,'Satama-alukset_fx'!$D$30,IF(A12='Satama-alukset_fx'!$A$31,'Satama-alukset_fx'!$D$31,IF(A12='Satama-alukset_fx'!$A$32,'Satama-alukset_fx'!$D$32,IF(A12='Satama-alukset_fx'!$A$33,'Satama-alukset_fx'!$D$33,IF(A12='Satama-alukset_fx'!$A$34,'Satama-alukset_fx'!$D$34,IF(A12='Satama-alukset_fx'!$A$35,'Satama-alukset_fx'!$D$35,IF(A12='Satama-alukset_fx'!$A$36,'Satama-alukset_fx'!$D$36,IF(A12='Satama-alukset_fx'!$A$37,'Satama-alukset_fx'!$D$37,IF(A12='Satama-alukset_fx'!$A$38,'Satama-alukset_fx'!$D$38,0))))))))),E12)</f>
        <v>0</v>
      </c>
      <c r="M12">
        <f>IF(A12='Satama-alukset_fx'!$A$14,'Satama-alukset_fx'!$B$14,IF(A12='Satama-alukset_fx'!$A$15,'Satama-alukset_fx'!$B$15,IF(A12='Satama-alukset_fx'!$A$16,'Satama-alukset_fx'!$B$16,IF(A12='Satama-alukset_fx'!$A$17,'Satama-alukset_fx'!$B$17,IF(A12='Satama-alukset_fx'!$A$18,'Satama-alukset_fx'!$B$18,IF(A12='Satama-alukset_fx'!$A$19,'Satama-alukset_fx'!$B$19,IF(A12='Satama-alukset_fx'!$A$20,'Satama-alukset_fx'!$B$20,IF(A12='Satama-alukset_fx'!$A$21,'Satama-alukset_fx'!$B$21,IF(A12='Satama-alukset_fx'!$A$22,'Satama-alukset_fx'!$B$22,0)))))))))</f>
        <v>0</v>
      </c>
      <c r="N12">
        <f>IF(A12='Satama-alukset_fx'!$A$14,'Satama-alukset_fx'!$C$14,IF(A12='Satama-alukset_fx'!$A$15,'Satama-alukset_fx'!$C$15,IF(A12='Satama-alukset_fx'!$A$16,'Satama-alukset_fx'!$C$16,IF(A12='Satama-alukset_fx'!$A$17,'Satama-alukset_fx'!$C$17,IF(A12='Satama-alukset_fx'!$A$18,'Satama-alukset_fx'!$C$18,IF(A12='Satama-alukset_fx'!$A$19,'Satama-alukset_fx'!$C$19,IF(A12='Satama-alukset_fx'!$A$20,'Satama-alukset_fx'!$C$20,IF(A12='Satama-alukset_fx'!$A$21,'Satama-alukset_fx'!$C$21,IF(A12='Satama-alukset_fx'!$A$22,'Satama-alukset_fx'!$C$22,0)))))))))</f>
        <v>0</v>
      </c>
      <c r="O12">
        <f>IF(F12="x",IF(A12='Satama-alukset_fx'!$A$30,'Satama-alukset_fx'!$C$30,IF(A12='Satama-alukset_fx'!$A$31,'Satama-alukset_fx'!$C$31,IF(A12='Satama-alukset_fx'!$A$32,'Satama-alukset_fx'!$C$32,IF(A12='Satama-alukset_fx'!$A$33,'Satama-alukset_fx'!$C$33,IF(A12='Satama-alukset_fx'!$A$34,'Satama-alukset_fx'!$C$34,IF(A12='Satama-alukset_fx'!$A$35,'Satama-alukset_fx'!$C$35,IF(A12='Satama-alukset_fx'!$A$36,'Satama-alukset_fx'!$C$36,IF(A12='Satama-alukset_fx'!$A$37,'Satama-alukset_fx'!$C$37,IF(A12='Satama-alukset_fx'!$A$38,'Satama-alukset_fx'!$C$38,0))))))))),F12)</f>
        <v>0</v>
      </c>
      <c r="P12">
        <f>IF(G12="x",IF(A12='Satama-alukset_fx'!$A$30,'Satama-alukset_fx'!$E$30,IF(A12='Satama-alukset_fx'!$A$31,'Satama-alukset_fx'!$E$31,IF(A12='Satama-alukset_fx'!$A$32,'Satama-alukset_fx'!$E$32,IF(A12='Satama-alukset_fx'!$A$33,'Satama-alukset_fx'!$E$33,IF(A12='Satama-alukset_fx'!$A$34,'Satama-alukset_fx'!$E$34,IF(A12='Satama-alukset_fx'!$A$35,'Satama-alukset_fx'!$E$35,IF(A12='Satama-alukset_fx'!$A$36,'Satama-alukset_fx'!$E$36,IF(A12='Satama-alukset_fx'!$A$37,'Satama-alukset_fx'!$E$37,IF(A12='Satama-alukset_fx'!$A$38,'Satama-alukset_fx'!$E$38,0))))))))),G12)</f>
        <v>0</v>
      </c>
      <c r="Q12">
        <f>IF(K12=0,0,IF(K12&lt;38,IF(C12&lt;1998,'Satama-alukset_fx'!$M$12,'Satama-alukset_fx'!$M$13),IF(K12&lt;90,IF(C12&lt;1997,'Satama-alukset_fx'!$M$14,'Satama-alukset_fx'!$M$15),IF(K12&lt;187,IF(C12&lt;1971,'Satama-alukset_fx'!$M$16,IF(C12&lt;1979,'Satama-alukset_fx'!$M$17,IF(C12&lt;1984,'Satama-alukset_fx'!$M$18,IF(C12&lt;1987,'Satama-alukset_fx'!$M$19,IF(C12&lt;1996,'Satama-alukset_fx'!$M$20,'Satama-alukset_fx'!$M$21))))),IF(K12&lt;560,IF(C12&lt;1971,'Satama-alukset_fx'!$M$22,IF(C12&lt;1979,'Satama-alukset_fx'!$M$23,IF(C12&lt;1984,'Satama-alukset_fx'!$M$24,IF(C12&lt;1987,'Satama-alukset_fx'!$M$25,IF(C12&lt;1995,'Satama-alukset_fx'!$M$26,'Satama-alukset_fx'!$M$27))))),IF(C12&lt;1971,'Satama-alukset_fx'!$M$28,IF(C12&lt;1979,'Satama-alukset_fx'!$M$29,IF(C12&lt;1984,'Satama-alukset_fx'!$M$30,IF(C12&lt;1987,'Satama-alukset_fx'!$M$31,IF(C12&lt;1999,'Satama-alukset_fx'!$M$32,'Satama-alukset_fx'!$M$33))))))))))</f>
        <v>0</v>
      </c>
      <c r="R12">
        <f>IF(E12=0,0,IF(E12&lt;38,IF(C12&lt;1998,'Satama-alukset_fx'!$M$38,'Satama-alukset_fx'!$M$39),IF(E12&lt;90,IF(C12&lt;1997,'Satama-alukset_fx'!$M$40,'Satama-alukset_fx'!$M$41),IF(E12&lt;131,IF(C12&lt;1971,'Satama-alukset_fx'!$M$42,IF(C12&lt;1979,'Satama-alukset_fx'!$M$43,IF(C12&lt;1984,'Satama-alukset_fx'!$M$44,IF(C12&lt;1987,'Satama-alukset_fx'!$M$45,IF(C12&lt;1996,'Satama-alukset_fx'!$M$46,'Satama-alukset_fx'!$M$47))))),IF(E12&lt;187,IF(C12&lt;1971,'Satama-alukset_fx'!$M$48,IF(C12&lt;1979,'Satama-alukset_fx'!$M$49,IF(C12&lt;1984,'Satama-alukset_fx'!$M$50,IF(C12&lt;1987,'Satama-alukset_fx'!$M$51,IF(C12&lt;1995,'Satama-alukset_fx'!$M$52,'Satama-alukset_fx'!$M$53))))),IF(E12&lt;560,IF(C12&lt;1971,'Satama-alukset_fx'!$M$54,IF(C12&lt;1979,'Satama-alukset_fx'!$M$55,IF(C12&lt;1984,'Satama-alukset_fx'!$M$56,IF(C12&lt;1987,'Satama-alukset_fx'!$M$57,IF(C12&lt;1995,'Satama-alukset_fx'!$M$58,'Satama-alukset_fx'!$M$59))))),IF(C12&lt;1971,'Satama-alukset_fx'!$M$60,IF(C12&lt;1979,'Satama-alukset_fx'!$M$61,IF(C12&lt;1984,'Satama-alukset_fx'!$M$62,IF(C12&lt;1987,'Satama-alukset_fx'!$M$64,IF(C12&lt;1999,'Satama-alukset_fx'!$M$65,'Satama-alukset_fx'!$M$66)))))))))))</f>
        <v>0</v>
      </c>
      <c r="S12">
        <f>IF(I12='Satama-alukset_fx'!$A$69,0,IF($D$3=2018,Energia_fx!$C$12,IF($D$3=2019,Energia_fx!$C$13,IF($D$3=2020,Energia_fx!$C$14,IF($D$3=2021,Energia_fx!$C$15,Energia_fx!$C$16)))))</f>
        <v>101</v>
      </c>
      <c r="T12">
        <f>((K12*M12*O12*Q12)+(L12*N12*P12*R12)+(H12*S12))/1000000</f>
        <v>0</v>
      </c>
    </row>
    <row r="13" spans="1:20" x14ac:dyDescent="0.25">
      <c r="A13">
        <f>'Satama-alukset'!A15</f>
        <v>0</v>
      </c>
      <c r="B13">
        <f>'Satama-alukset'!B15</f>
        <v>0</v>
      </c>
      <c r="C13">
        <f>'Satama-alukset'!C15</f>
        <v>0</v>
      </c>
      <c r="D13">
        <f>'Satama-alukset'!D15</f>
        <v>0</v>
      </c>
      <c r="E13">
        <f>'Satama-alukset'!E15</f>
        <v>0</v>
      </c>
      <c r="F13">
        <f>'Satama-alukset'!F15</f>
        <v>0</v>
      </c>
      <c r="G13">
        <f>'Satama-alukset'!G15</f>
        <v>0</v>
      </c>
      <c r="H13">
        <f>'Satama-alukset'!H15</f>
        <v>0</v>
      </c>
      <c r="I13">
        <f>'Satama-alukset'!I15</f>
        <v>0</v>
      </c>
      <c r="K13">
        <f>IF(D13="x",IF(A13='Satama-alukset_fx'!$A$30,'Satama-alukset_fx'!$B$30,IF(A13='Satama-alukset_fx'!$A$31,'Satama-alukset_fx'!$B$31,IF(A13='Satama-alukset_fx'!$A$32,'Satama-alukset_fx'!$B$32,IF(A13='Satama-alukset_fx'!$A$33,'Satama-alukset_fx'!$B$33,IF(A13='Satama-alukset_fx'!$A$34,'Satama-alukset_fx'!$B$34,IF(A13='Satama-alukset_fx'!$A$35,'Satama-alukset_fx'!$B$35,IF(A13='Satama-alukset_fx'!$A$36,'Satama-alukset_fx'!$B$36,IF(A13='Satama-alukset_fx'!$A$37,'Satama-alukset_fx'!$B$37,IF(A13='Satama-alukset_fx'!$A$38,'Satama-alukset_fx'!$B$38,0))))))))),D13)</f>
        <v>0</v>
      </c>
      <c r="L13">
        <f>IF(E13="x",IF(A13='Satama-alukset_fx'!$A$30,'Satama-alukset_fx'!$D$30,IF(A13='Satama-alukset_fx'!$A$31,'Satama-alukset_fx'!$D$31,IF(A13='Satama-alukset_fx'!$A$32,'Satama-alukset_fx'!$D$32,IF(A13='Satama-alukset_fx'!$A$33,'Satama-alukset_fx'!$D$33,IF(A13='Satama-alukset_fx'!$A$34,'Satama-alukset_fx'!$D$34,IF(A13='Satama-alukset_fx'!$A$35,'Satama-alukset_fx'!$D$35,IF(A13='Satama-alukset_fx'!$A$36,'Satama-alukset_fx'!$D$36,IF(A13='Satama-alukset_fx'!$A$37,'Satama-alukset_fx'!$D$37,IF(A13='Satama-alukset_fx'!$A$38,'Satama-alukset_fx'!$D$38,0))))))))),E13)</f>
        <v>0</v>
      </c>
      <c r="M13">
        <f>IF(A13='Satama-alukset_fx'!$A$14,'Satama-alukset_fx'!$B$14,IF(A13='Satama-alukset_fx'!$A$15,'Satama-alukset_fx'!$B$15,IF(A13='Satama-alukset_fx'!$A$16,'Satama-alukset_fx'!$B$16,IF(A13='Satama-alukset_fx'!$A$17,'Satama-alukset_fx'!$B$17,IF(A13='Satama-alukset_fx'!$A$18,'Satama-alukset_fx'!$B$18,IF(A13='Satama-alukset_fx'!$A$19,'Satama-alukset_fx'!$B$19,IF(A13='Satama-alukset_fx'!$A$20,'Satama-alukset_fx'!$B$20,IF(A13='Satama-alukset_fx'!$A$21,'Satama-alukset_fx'!$B$21,IF(A13='Satama-alukset_fx'!$A$22,'Satama-alukset_fx'!$B$22,0)))))))))</f>
        <v>0</v>
      </c>
      <c r="N13">
        <f>IF(A13='Satama-alukset_fx'!$A$14,'Satama-alukset_fx'!$C$14,IF(A13='Satama-alukset_fx'!$A$15,'Satama-alukset_fx'!$C$15,IF(A13='Satama-alukset_fx'!$A$16,'Satama-alukset_fx'!$C$16,IF(A13='Satama-alukset_fx'!$A$17,'Satama-alukset_fx'!$C$17,IF(A13='Satama-alukset_fx'!$A$18,'Satama-alukset_fx'!$C$18,IF(A13='Satama-alukset_fx'!$A$19,'Satama-alukset_fx'!$C$19,IF(A13='Satama-alukset_fx'!$A$20,'Satama-alukset_fx'!$C$20,IF(A13='Satama-alukset_fx'!$A$21,'Satama-alukset_fx'!$C$21,IF(A13='Satama-alukset_fx'!$A$22,'Satama-alukset_fx'!$C$22,0)))))))))</f>
        <v>0</v>
      </c>
      <c r="O13">
        <f>IF(F13="x",IF(A13='Satama-alukset_fx'!$A$30,'Satama-alukset_fx'!$C$30,IF(A13='Satama-alukset_fx'!$A$31,'Satama-alukset_fx'!$C$31,IF(A13='Satama-alukset_fx'!$A$32,'Satama-alukset_fx'!$C$32,IF(A13='Satama-alukset_fx'!$A$33,'Satama-alukset_fx'!$C$33,IF(A13='Satama-alukset_fx'!$A$34,'Satama-alukset_fx'!$C$34,IF(A13='Satama-alukset_fx'!$A$35,'Satama-alukset_fx'!$C$35,IF(A13='Satama-alukset_fx'!$A$36,'Satama-alukset_fx'!$C$36,IF(A13='Satama-alukset_fx'!$A$37,'Satama-alukset_fx'!$C$37,IF(A13='Satama-alukset_fx'!$A$38,'Satama-alukset_fx'!$C$38,0))))))))),F13)</f>
        <v>0</v>
      </c>
      <c r="P13">
        <f>IF(G13="x",IF(A13='Satama-alukset_fx'!$A$30,'Satama-alukset_fx'!$E$30,IF(A13='Satama-alukset_fx'!$A$31,'Satama-alukset_fx'!$E$31,IF(A13='Satama-alukset_fx'!$A$32,'Satama-alukset_fx'!$E$32,IF(A13='Satama-alukset_fx'!$A$33,'Satama-alukset_fx'!$E$33,IF(A13='Satama-alukset_fx'!$A$34,'Satama-alukset_fx'!$E$34,IF(A13='Satama-alukset_fx'!$A$35,'Satama-alukset_fx'!$E$35,IF(A13='Satama-alukset_fx'!$A$36,'Satama-alukset_fx'!$E$36,IF(A13='Satama-alukset_fx'!$A$37,'Satama-alukset_fx'!$E$37,IF(A13='Satama-alukset_fx'!$A$38,'Satama-alukset_fx'!$E$38,0))))))))),G13)</f>
        <v>0</v>
      </c>
      <c r="Q13">
        <f>IF(K13=0,0,IF(K13&lt;38,IF(C13&lt;1998,'Satama-alukset_fx'!$M$12,'Satama-alukset_fx'!$M$13),IF(K13&lt;90,IF(C13&lt;1997,'Satama-alukset_fx'!$M$14,'Satama-alukset_fx'!$M$15),IF(K13&lt;187,IF(C13&lt;1971,'Satama-alukset_fx'!$M$16,IF(C13&lt;1979,'Satama-alukset_fx'!$M$17,IF(C13&lt;1984,'Satama-alukset_fx'!$M$18,IF(C13&lt;1987,'Satama-alukset_fx'!$M$19,IF(C13&lt;1996,'Satama-alukset_fx'!$M$20,'Satama-alukset_fx'!$M$21))))),IF(K13&lt;560,IF(C13&lt;1971,'Satama-alukset_fx'!$M$22,IF(C13&lt;1979,'Satama-alukset_fx'!$M$23,IF(C13&lt;1984,'Satama-alukset_fx'!$M$24,IF(C13&lt;1987,'Satama-alukset_fx'!$M$25,IF(C13&lt;1995,'Satama-alukset_fx'!$M$26,'Satama-alukset_fx'!$M$27))))),IF(C13&lt;1971,'Satama-alukset_fx'!$M$28,IF(C13&lt;1979,'Satama-alukset_fx'!$M$29,IF(C13&lt;1984,'Satama-alukset_fx'!$M$30,IF(C13&lt;1987,'Satama-alukset_fx'!$M$31,IF(C13&lt;1999,'Satama-alukset_fx'!$M$32,'Satama-alukset_fx'!$M$33))))))))))</f>
        <v>0</v>
      </c>
      <c r="R13">
        <f>IF(E13=0,0,IF(E13&lt;38,IF(C13&lt;1998,'Satama-alukset_fx'!$M$38,'Satama-alukset_fx'!$M$39),IF(E13&lt;90,IF(C13&lt;1997,'Satama-alukset_fx'!$M$40,'Satama-alukset_fx'!$M$41),IF(E13&lt;131,IF(C13&lt;1971,'Satama-alukset_fx'!$M$42,IF(C13&lt;1979,'Satama-alukset_fx'!$M$43,IF(C13&lt;1984,'Satama-alukset_fx'!$M$44,IF(C13&lt;1987,'Satama-alukset_fx'!$M$45,IF(C13&lt;1996,'Satama-alukset_fx'!$M$46,'Satama-alukset_fx'!$M$47))))),IF(E13&lt;187,IF(C13&lt;1971,'Satama-alukset_fx'!$M$48,IF(C13&lt;1979,'Satama-alukset_fx'!$M$49,IF(C13&lt;1984,'Satama-alukset_fx'!$M$50,IF(C13&lt;1987,'Satama-alukset_fx'!$M$51,IF(C13&lt;1995,'Satama-alukset_fx'!$M$52,'Satama-alukset_fx'!$M$53))))),IF(E13&lt;560,IF(C13&lt;1971,'Satama-alukset_fx'!$M$54,IF(C13&lt;1979,'Satama-alukset_fx'!$M$55,IF(C13&lt;1984,'Satama-alukset_fx'!$M$56,IF(C13&lt;1987,'Satama-alukset_fx'!$M$57,IF(C13&lt;1995,'Satama-alukset_fx'!$M$58,'Satama-alukset_fx'!$M$59))))),IF(C13&lt;1971,'Satama-alukset_fx'!$M$60,IF(C13&lt;1979,'Satama-alukset_fx'!$M$61,IF(C13&lt;1984,'Satama-alukset_fx'!$M$62,IF(C13&lt;1987,'Satama-alukset_fx'!$M$64,IF(C13&lt;1999,'Satama-alukset_fx'!$M$65,'Satama-alukset_fx'!$M$66)))))))))))</f>
        <v>0</v>
      </c>
      <c r="S13">
        <f>IF(I13='Satama-alukset_fx'!$A$69,0,IF($D$3=2018,Energia_fx!$C$12,IF($D$3=2019,Energia_fx!$C$13,IF($D$3=2020,Energia_fx!$C$14,IF($D$3=2021,Energia_fx!$C$15,Energia_fx!$C$16)))))</f>
        <v>101</v>
      </c>
      <c r="T13">
        <f>((K13*M13*O13*Q13)+(L13*N13*P13*R13)+(H13*S13))/1000000</f>
        <v>0</v>
      </c>
    </row>
    <row r="14" spans="1:20" x14ac:dyDescent="0.25">
      <c r="A14">
        <f>'Satama-alukset'!A16</f>
        <v>0</v>
      </c>
      <c r="B14">
        <f>'Satama-alukset'!B16</f>
        <v>0</v>
      </c>
      <c r="C14">
        <f>'Satama-alukset'!C16</f>
        <v>0</v>
      </c>
      <c r="D14">
        <f>'Satama-alukset'!D16</f>
        <v>0</v>
      </c>
      <c r="E14">
        <f>'Satama-alukset'!E16</f>
        <v>0</v>
      </c>
      <c r="F14">
        <f>'Satama-alukset'!F16</f>
        <v>0</v>
      </c>
      <c r="G14">
        <f>'Satama-alukset'!G16</f>
        <v>0</v>
      </c>
      <c r="H14">
        <f>'Satama-alukset'!H16</f>
        <v>0</v>
      </c>
      <c r="I14">
        <f>'Satama-alukset'!I16</f>
        <v>0</v>
      </c>
      <c r="K14">
        <f>IF(D14="x",IF(A14='Satama-alukset_fx'!$A$30,'Satama-alukset_fx'!$B$30,IF(A14='Satama-alukset_fx'!$A$31,'Satama-alukset_fx'!$B$31,IF(A14='Satama-alukset_fx'!$A$32,'Satama-alukset_fx'!$B$32,IF(A14='Satama-alukset_fx'!$A$33,'Satama-alukset_fx'!$B$33,IF(A14='Satama-alukset_fx'!$A$34,'Satama-alukset_fx'!$B$34,IF(A14='Satama-alukset_fx'!$A$35,'Satama-alukset_fx'!$B$35,IF(A14='Satama-alukset_fx'!$A$36,'Satama-alukset_fx'!$B$36,IF(A14='Satama-alukset_fx'!$A$37,'Satama-alukset_fx'!$B$37,IF(A14='Satama-alukset_fx'!$A$38,'Satama-alukset_fx'!$B$38,0))))))))),D14)</f>
        <v>0</v>
      </c>
      <c r="L14">
        <f>IF(E14="x",IF(A14='Satama-alukset_fx'!$A$30,'Satama-alukset_fx'!$D$30,IF(A14='Satama-alukset_fx'!$A$31,'Satama-alukset_fx'!$D$31,IF(A14='Satama-alukset_fx'!$A$32,'Satama-alukset_fx'!$D$32,IF(A14='Satama-alukset_fx'!$A$33,'Satama-alukset_fx'!$D$33,IF(A14='Satama-alukset_fx'!$A$34,'Satama-alukset_fx'!$D$34,IF(A14='Satama-alukset_fx'!$A$35,'Satama-alukset_fx'!$D$35,IF(A14='Satama-alukset_fx'!$A$36,'Satama-alukset_fx'!$D$36,IF(A14='Satama-alukset_fx'!$A$37,'Satama-alukset_fx'!$D$37,IF(A14='Satama-alukset_fx'!$A$38,'Satama-alukset_fx'!$D$38,0))))))))),E14)</f>
        <v>0</v>
      </c>
      <c r="M14">
        <f>IF(A14='Satama-alukset_fx'!$A$14,'Satama-alukset_fx'!$B$14,IF(A14='Satama-alukset_fx'!$A$15,'Satama-alukset_fx'!$B$15,IF(A14='Satama-alukset_fx'!$A$16,'Satama-alukset_fx'!$B$16,IF(A14='Satama-alukset_fx'!$A$17,'Satama-alukset_fx'!$B$17,IF(A14='Satama-alukset_fx'!$A$18,'Satama-alukset_fx'!$B$18,IF(A14='Satama-alukset_fx'!$A$19,'Satama-alukset_fx'!$B$19,IF(A14='Satama-alukset_fx'!$A$20,'Satama-alukset_fx'!$B$20,IF(A14='Satama-alukset_fx'!$A$21,'Satama-alukset_fx'!$B$21,IF(A14='Satama-alukset_fx'!$A$22,'Satama-alukset_fx'!$B$22,0)))))))))</f>
        <v>0</v>
      </c>
      <c r="N14">
        <f>IF(A14='Satama-alukset_fx'!$A$14,'Satama-alukset_fx'!$C$14,IF(A14='Satama-alukset_fx'!$A$15,'Satama-alukset_fx'!$C$15,IF(A14='Satama-alukset_fx'!$A$16,'Satama-alukset_fx'!$C$16,IF(A14='Satama-alukset_fx'!$A$17,'Satama-alukset_fx'!$C$17,IF(A14='Satama-alukset_fx'!$A$18,'Satama-alukset_fx'!$C$18,IF(A14='Satama-alukset_fx'!$A$19,'Satama-alukset_fx'!$C$19,IF(A14='Satama-alukset_fx'!$A$20,'Satama-alukset_fx'!$C$20,IF(A14='Satama-alukset_fx'!$A$21,'Satama-alukset_fx'!$C$21,IF(A14='Satama-alukset_fx'!$A$22,'Satama-alukset_fx'!$C$22,0)))))))))</f>
        <v>0</v>
      </c>
      <c r="O14">
        <f>IF(F14="x",IF(A14='Satama-alukset_fx'!$A$30,'Satama-alukset_fx'!$C$30,IF(A14='Satama-alukset_fx'!$A$31,'Satama-alukset_fx'!$C$31,IF(A14='Satama-alukset_fx'!$A$32,'Satama-alukset_fx'!$C$32,IF(A14='Satama-alukset_fx'!$A$33,'Satama-alukset_fx'!$C$33,IF(A14='Satama-alukset_fx'!$A$34,'Satama-alukset_fx'!$C$34,IF(A14='Satama-alukset_fx'!$A$35,'Satama-alukset_fx'!$C$35,IF(A14='Satama-alukset_fx'!$A$36,'Satama-alukset_fx'!$C$36,IF(A14='Satama-alukset_fx'!$A$37,'Satama-alukset_fx'!$C$37,IF(A14='Satama-alukset_fx'!$A$38,'Satama-alukset_fx'!$C$38,0))))))))),F14)</f>
        <v>0</v>
      </c>
      <c r="P14">
        <f>IF(G14="x",IF(A14='Satama-alukset_fx'!$A$30,'Satama-alukset_fx'!$E$30,IF(A14='Satama-alukset_fx'!$A$31,'Satama-alukset_fx'!$E$31,IF(A14='Satama-alukset_fx'!$A$32,'Satama-alukset_fx'!$E$32,IF(A14='Satama-alukset_fx'!$A$33,'Satama-alukset_fx'!$E$33,IF(A14='Satama-alukset_fx'!$A$34,'Satama-alukset_fx'!$E$34,IF(A14='Satama-alukset_fx'!$A$35,'Satama-alukset_fx'!$E$35,IF(A14='Satama-alukset_fx'!$A$36,'Satama-alukset_fx'!$E$36,IF(A14='Satama-alukset_fx'!$A$37,'Satama-alukset_fx'!$E$37,IF(A14='Satama-alukset_fx'!$A$38,'Satama-alukset_fx'!$E$38,0))))))))),G14)</f>
        <v>0</v>
      </c>
      <c r="Q14">
        <f>IF(K14=0,0,IF(K14&lt;38,IF(C14&lt;1998,'Satama-alukset_fx'!$M$12,'Satama-alukset_fx'!$M$13),IF(K14&lt;90,IF(C14&lt;1997,'Satama-alukset_fx'!$M$14,'Satama-alukset_fx'!$M$15),IF(K14&lt;187,IF(C14&lt;1971,'Satama-alukset_fx'!$M$16,IF(C14&lt;1979,'Satama-alukset_fx'!$M$17,IF(C14&lt;1984,'Satama-alukset_fx'!$M$18,IF(C14&lt;1987,'Satama-alukset_fx'!$M$19,IF(C14&lt;1996,'Satama-alukset_fx'!$M$20,'Satama-alukset_fx'!$M$21))))),IF(K14&lt;560,IF(C14&lt;1971,'Satama-alukset_fx'!$M$22,IF(C14&lt;1979,'Satama-alukset_fx'!$M$23,IF(C14&lt;1984,'Satama-alukset_fx'!$M$24,IF(C14&lt;1987,'Satama-alukset_fx'!$M$25,IF(C14&lt;1995,'Satama-alukset_fx'!$M$26,'Satama-alukset_fx'!$M$27))))),IF(C14&lt;1971,'Satama-alukset_fx'!$M$28,IF(C14&lt;1979,'Satama-alukset_fx'!$M$29,IF(C14&lt;1984,'Satama-alukset_fx'!$M$30,IF(C14&lt;1987,'Satama-alukset_fx'!$M$31,IF(C14&lt;1999,'Satama-alukset_fx'!$M$32,'Satama-alukset_fx'!$M$33))))))))))</f>
        <v>0</v>
      </c>
      <c r="R14">
        <f>IF(E14=0,0,IF(E14&lt;38,IF(C14&lt;1998,'Satama-alukset_fx'!$M$38,'Satama-alukset_fx'!$M$39),IF(E14&lt;90,IF(C14&lt;1997,'Satama-alukset_fx'!$M$40,'Satama-alukset_fx'!$M$41),IF(E14&lt;131,IF(C14&lt;1971,'Satama-alukset_fx'!$M$42,IF(C14&lt;1979,'Satama-alukset_fx'!$M$43,IF(C14&lt;1984,'Satama-alukset_fx'!$M$44,IF(C14&lt;1987,'Satama-alukset_fx'!$M$45,IF(C14&lt;1996,'Satama-alukset_fx'!$M$46,'Satama-alukset_fx'!$M$47))))),IF(E14&lt;187,IF(C14&lt;1971,'Satama-alukset_fx'!$M$48,IF(C14&lt;1979,'Satama-alukset_fx'!$M$49,IF(C14&lt;1984,'Satama-alukset_fx'!$M$50,IF(C14&lt;1987,'Satama-alukset_fx'!$M$51,IF(C14&lt;1995,'Satama-alukset_fx'!$M$52,'Satama-alukset_fx'!$M$53))))),IF(E14&lt;560,IF(C14&lt;1971,'Satama-alukset_fx'!$M$54,IF(C14&lt;1979,'Satama-alukset_fx'!$M$55,IF(C14&lt;1984,'Satama-alukset_fx'!$M$56,IF(C14&lt;1987,'Satama-alukset_fx'!$M$57,IF(C14&lt;1995,'Satama-alukset_fx'!$M$58,'Satama-alukset_fx'!$M$59))))),IF(C14&lt;1971,'Satama-alukset_fx'!$M$60,IF(C14&lt;1979,'Satama-alukset_fx'!$M$61,IF(C14&lt;1984,'Satama-alukset_fx'!$M$62,IF(C14&lt;1987,'Satama-alukset_fx'!$M$64,IF(C14&lt;1999,'Satama-alukset_fx'!$M$65,'Satama-alukset_fx'!$M$66)))))))))))</f>
        <v>0</v>
      </c>
      <c r="S14">
        <f>IF(I14='Satama-alukset_fx'!$A$69,0,IF($D$3=2018,Energia_fx!$C$12,IF($D$3=2019,Energia_fx!$C$13,IF($D$3=2020,Energia_fx!$C$14,IF($D$3=2021,Energia_fx!$C$15,Energia_fx!$C$16)))))</f>
        <v>101</v>
      </c>
      <c r="T14">
        <f t="shared" ref="T14:T18" si="0">((K14*M14*O14*Q14)+(L14*N14*P14*R14)+(H14*S14))/1000000</f>
        <v>0</v>
      </c>
    </row>
    <row r="15" spans="1:20" x14ac:dyDescent="0.25">
      <c r="A15">
        <f>'Satama-alukset'!A17</f>
        <v>0</v>
      </c>
      <c r="B15">
        <f>'Satama-alukset'!B17</f>
        <v>0</v>
      </c>
      <c r="C15">
        <f>'Satama-alukset'!C17</f>
        <v>0</v>
      </c>
      <c r="D15">
        <f>'Satama-alukset'!D17</f>
        <v>0</v>
      </c>
      <c r="E15">
        <f>'Satama-alukset'!E17</f>
        <v>0</v>
      </c>
      <c r="F15">
        <f>'Satama-alukset'!F17</f>
        <v>0</v>
      </c>
      <c r="G15">
        <f>'Satama-alukset'!G17</f>
        <v>0</v>
      </c>
      <c r="H15">
        <f>'Satama-alukset'!H17</f>
        <v>0</v>
      </c>
      <c r="I15">
        <f>'Satama-alukset'!I17</f>
        <v>0</v>
      </c>
      <c r="K15">
        <f>IF(D15="x",IF(A15='Satama-alukset_fx'!$A$30,'Satama-alukset_fx'!$B$30,IF(A15='Satama-alukset_fx'!$A$31,'Satama-alukset_fx'!$B$31,IF(A15='Satama-alukset_fx'!$A$32,'Satama-alukset_fx'!$B$32,IF(A15='Satama-alukset_fx'!$A$33,'Satama-alukset_fx'!$B$33,IF(A15='Satama-alukset_fx'!$A$34,'Satama-alukset_fx'!$B$34,IF(A15='Satama-alukset_fx'!$A$35,'Satama-alukset_fx'!$B$35,IF(A15='Satama-alukset_fx'!$A$36,'Satama-alukset_fx'!$B$36,IF(A15='Satama-alukset_fx'!$A$37,'Satama-alukset_fx'!$B$37,IF(A15='Satama-alukset_fx'!$A$38,'Satama-alukset_fx'!$B$38,0))))))))),D15)</f>
        <v>0</v>
      </c>
      <c r="L15">
        <f>IF(E15="x",IF(A15='Satama-alukset_fx'!$A$30,'Satama-alukset_fx'!$D$30,IF(A15='Satama-alukset_fx'!$A$31,'Satama-alukset_fx'!$D$31,IF(A15='Satama-alukset_fx'!$A$32,'Satama-alukset_fx'!$D$32,IF(A15='Satama-alukset_fx'!$A$33,'Satama-alukset_fx'!$D$33,IF(A15='Satama-alukset_fx'!$A$34,'Satama-alukset_fx'!$D$34,IF(A15='Satama-alukset_fx'!$A$35,'Satama-alukset_fx'!$D$35,IF(A15='Satama-alukset_fx'!$A$36,'Satama-alukset_fx'!$D$36,IF(A15='Satama-alukset_fx'!$A$37,'Satama-alukset_fx'!$D$37,IF(A15='Satama-alukset_fx'!$A$38,'Satama-alukset_fx'!$D$38,0))))))))),E15)</f>
        <v>0</v>
      </c>
      <c r="M15">
        <f>IF(A15='Satama-alukset_fx'!$A$14,'Satama-alukset_fx'!$B$14,IF(A15='Satama-alukset_fx'!$A$15,'Satama-alukset_fx'!$B$15,IF(A15='Satama-alukset_fx'!$A$16,'Satama-alukset_fx'!$B$16,IF(A15='Satama-alukset_fx'!$A$17,'Satama-alukset_fx'!$B$17,IF(A15='Satama-alukset_fx'!$A$18,'Satama-alukset_fx'!$B$18,IF(A15='Satama-alukset_fx'!$A$19,'Satama-alukset_fx'!$B$19,IF(A15='Satama-alukset_fx'!$A$20,'Satama-alukset_fx'!$B$20,IF(A15='Satama-alukset_fx'!$A$21,'Satama-alukset_fx'!$B$21,IF(A15='Satama-alukset_fx'!$A$22,'Satama-alukset_fx'!$B$22,0)))))))))</f>
        <v>0</v>
      </c>
      <c r="N15">
        <f>IF(A15='Satama-alukset_fx'!$A$14,'Satama-alukset_fx'!$C$14,IF(A15='Satama-alukset_fx'!$A$15,'Satama-alukset_fx'!$C$15,IF(A15='Satama-alukset_fx'!$A$16,'Satama-alukset_fx'!$C$16,IF(A15='Satama-alukset_fx'!$A$17,'Satama-alukset_fx'!$C$17,IF(A15='Satama-alukset_fx'!$A$18,'Satama-alukset_fx'!$C$18,IF(A15='Satama-alukset_fx'!$A$19,'Satama-alukset_fx'!$C$19,IF(A15='Satama-alukset_fx'!$A$20,'Satama-alukset_fx'!$C$20,IF(A15='Satama-alukset_fx'!$A$21,'Satama-alukset_fx'!$C$21,IF(A15='Satama-alukset_fx'!$A$22,'Satama-alukset_fx'!$C$22,0)))))))))</f>
        <v>0</v>
      </c>
      <c r="O15">
        <f>IF(F15="x",IF(A15='Satama-alukset_fx'!$A$30,'Satama-alukset_fx'!$C$30,IF(A15='Satama-alukset_fx'!$A$31,'Satama-alukset_fx'!$C$31,IF(A15='Satama-alukset_fx'!$A$32,'Satama-alukset_fx'!$C$32,IF(A15='Satama-alukset_fx'!$A$33,'Satama-alukset_fx'!$C$33,IF(A15='Satama-alukset_fx'!$A$34,'Satama-alukset_fx'!$C$34,IF(A15='Satama-alukset_fx'!$A$35,'Satama-alukset_fx'!$C$35,IF(A15='Satama-alukset_fx'!$A$36,'Satama-alukset_fx'!$C$36,IF(A15='Satama-alukset_fx'!$A$37,'Satama-alukset_fx'!$C$37,IF(A15='Satama-alukset_fx'!$A$38,'Satama-alukset_fx'!$C$38,0))))))))),F15)</f>
        <v>0</v>
      </c>
      <c r="P15">
        <f>IF(G15="x",IF(A15='Satama-alukset_fx'!$A$30,'Satama-alukset_fx'!$E$30,IF(A15='Satama-alukset_fx'!$A$31,'Satama-alukset_fx'!$E$31,IF(A15='Satama-alukset_fx'!$A$32,'Satama-alukset_fx'!$E$32,IF(A15='Satama-alukset_fx'!$A$33,'Satama-alukset_fx'!$E$33,IF(A15='Satama-alukset_fx'!$A$34,'Satama-alukset_fx'!$E$34,IF(A15='Satama-alukset_fx'!$A$35,'Satama-alukset_fx'!$E$35,IF(A15='Satama-alukset_fx'!$A$36,'Satama-alukset_fx'!$E$36,IF(A15='Satama-alukset_fx'!$A$37,'Satama-alukset_fx'!$E$37,IF(A15='Satama-alukset_fx'!$A$38,'Satama-alukset_fx'!$E$38,0))))))))),G15)</f>
        <v>0</v>
      </c>
      <c r="Q15">
        <f>IF(K15=0,0,IF(K15&lt;38,IF(C15&lt;1998,'Satama-alukset_fx'!$M$12,'Satama-alukset_fx'!$M$13),IF(K15&lt;90,IF(C15&lt;1997,'Satama-alukset_fx'!$M$14,'Satama-alukset_fx'!$M$15),IF(K15&lt;187,IF(C15&lt;1971,'Satama-alukset_fx'!$M$16,IF(C15&lt;1979,'Satama-alukset_fx'!$M$17,IF(C15&lt;1984,'Satama-alukset_fx'!$M$18,IF(C15&lt;1987,'Satama-alukset_fx'!$M$19,IF(C15&lt;1996,'Satama-alukset_fx'!$M$20,'Satama-alukset_fx'!$M$21))))),IF(K15&lt;560,IF(C15&lt;1971,'Satama-alukset_fx'!$M$22,IF(C15&lt;1979,'Satama-alukset_fx'!$M$23,IF(C15&lt;1984,'Satama-alukset_fx'!$M$24,IF(C15&lt;1987,'Satama-alukset_fx'!$M$25,IF(C15&lt;1995,'Satama-alukset_fx'!$M$26,'Satama-alukset_fx'!$M$27))))),IF(C15&lt;1971,'Satama-alukset_fx'!$M$28,IF(C15&lt;1979,'Satama-alukset_fx'!$M$29,IF(C15&lt;1984,'Satama-alukset_fx'!$M$30,IF(C15&lt;1987,'Satama-alukset_fx'!$M$31,IF(C15&lt;1999,'Satama-alukset_fx'!$M$32,'Satama-alukset_fx'!$M$33))))))))))</f>
        <v>0</v>
      </c>
      <c r="R15">
        <f>IF(E15=0,0,IF(E15&lt;38,IF(C15&lt;1998,'Satama-alukset_fx'!$M$38,'Satama-alukset_fx'!$M$39),IF(E15&lt;90,IF(C15&lt;1997,'Satama-alukset_fx'!$M$40,'Satama-alukset_fx'!$M$41),IF(E15&lt;131,IF(C15&lt;1971,'Satama-alukset_fx'!$M$42,IF(C15&lt;1979,'Satama-alukset_fx'!$M$43,IF(C15&lt;1984,'Satama-alukset_fx'!$M$44,IF(C15&lt;1987,'Satama-alukset_fx'!$M$45,IF(C15&lt;1996,'Satama-alukset_fx'!$M$46,'Satama-alukset_fx'!$M$47))))),IF(E15&lt;187,IF(C15&lt;1971,'Satama-alukset_fx'!$M$48,IF(C15&lt;1979,'Satama-alukset_fx'!$M$49,IF(C15&lt;1984,'Satama-alukset_fx'!$M$50,IF(C15&lt;1987,'Satama-alukset_fx'!$M$51,IF(C15&lt;1995,'Satama-alukset_fx'!$M$52,'Satama-alukset_fx'!$M$53))))),IF(E15&lt;560,IF(C15&lt;1971,'Satama-alukset_fx'!$M$54,IF(C15&lt;1979,'Satama-alukset_fx'!$M$55,IF(C15&lt;1984,'Satama-alukset_fx'!$M$56,IF(C15&lt;1987,'Satama-alukset_fx'!$M$57,IF(C15&lt;1995,'Satama-alukset_fx'!$M$58,'Satama-alukset_fx'!$M$59))))),IF(C15&lt;1971,'Satama-alukset_fx'!$M$60,IF(C15&lt;1979,'Satama-alukset_fx'!$M$61,IF(C15&lt;1984,'Satama-alukset_fx'!$M$62,IF(C15&lt;1987,'Satama-alukset_fx'!$M$64,IF(C15&lt;1999,'Satama-alukset_fx'!$M$65,'Satama-alukset_fx'!$M$66)))))))))))</f>
        <v>0</v>
      </c>
      <c r="S15">
        <f>IF(I15='Satama-alukset_fx'!$A$69,0,IF($D$3=2018,Energia_fx!$C$12,IF($D$3=2019,Energia_fx!$C$13,IF($D$3=2020,Energia_fx!$C$14,IF($D$3=2021,Energia_fx!$C$15,Energia_fx!$C$16)))))</f>
        <v>101</v>
      </c>
      <c r="T15">
        <f t="shared" si="0"/>
        <v>0</v>
      </c>
    </row>
    <row r="16" spans="1:20" x14ac:dyDescent="0.25">
      <c r="A16">
        <f>'Satama-alukset'!A18</f>
        <v>0</v>
      </c>
      <c r="B16">
        <f>'Satama-alukset'!B18</f>
        <v>0</v>
      </c>
      <c r="C16">
        <f>'Satama-alukset'!C18</f>
        <v>0</v>
      </c>
      <c r="D16">
        <f>'Satama-alukset'!D18</f>
        <v>0</v>
      </c>
      <c r="E16">
        <f>'Satama-alukset'!E18</f>
        <v>0</v>
      </c>
      <c r="F16">
        <f>'Satama-alukset'!F18</f>
        <v>0</v>
      </c>
      <c r="G16">
        <f>'Satama-alukset'!G18</f>
        <v>0</v>
      </c>
      <c r="H16">
        <f>'Satama-alukset'!H18</f>
        <v>0</v>
      </c>
      <c r="I16">
        <f>'Satama-alukset'!I18</f>
        <v>0</v>
      </c>
      <c r="K16">
        <f>IF(D16="x",IF(A16='Satama-alukset_fx'!$A$30,'Satama-alukset_fx'!$B$30,IF(A16='Satama-alukset_fx'!$A$31,'Satama-alukset_fx'!$B$31,IF(A16='Satama-alukset_fx'!$A$32,'Satama-alukset_fx'!$B$32,IF(A16='Satama-alukset_fx'!$A$33,'Satama-alukset_fx'!$B$33,IF(A16='Satama-alukset_fx'!$A$34,'Satama-alukset_fx'!$B$34,IF(A16='Satama-alukset_fx'!$A$35,'Satama-alukset_fx'!$B$35,IF(A16='Satama-alukset_fx'!$A$36,'Satama-alukset_fx'!$B$36,IF(A16='Satama-alukset_fx'!$A$37,'Satama-alukset_fx'!$B$37,IF(A16='Satama-alukset_fx'!$A$38,'Satama-alukset_fx'!$B$38,0))))))))),D16)</f>
        <v>0</v>
      </c>
      <c r="L16">
        <f>IF(E16="x",IF(A16='Satama-alukset_fx'!$A$30,'Satama-alukset_fx'!$D$30,IF(A16='Satama-alukset_fx'!$A$31,'Satama-alukset_fx'!$D$31,IF(A16='Satama-alukset_fx'!$A$32,'Satama-alukset_fx'!$D$32,IF(A16='Satama-alukset_fx'!$A$33,'Satama-alukset_fx'!$D$33,IF(A16='Satama-alukset_fx'!$A$34,'Satama-alukset_fx'!$D$34,IF(A16='Satama-alukset_fx'!$A$35,'Satama-alukset_fx'!$D$35,IF(A16='Satama-alukset_fx'!$A$36,'Satama-alukset_fx'!$D$36,IF(A16='Satama-alukset_fx'!$A$37,'Satama-alukset_fx'!$D$37,IF(A16='Satama-alukset_fx'!$A$38,'Satama-alukset_fx'!$D$38,0))))))))),E16)</f>
        <v>0</v>
      </c>
      <c r="M16">
        <f>IF(A16='Satama-alukset_fx'!$A$14,'Satama-alukset_fx'!$B$14,IF(A16='Satama-alukset_fx'!$A$15,'Satama-alukset_fx'!$B$15,IF(A16='Satama-alukset_fx'!$A$16,'Satama-alukset_fx'!$B$16,IF(A16='Satama-alukset_fx'!$A$17,'Satama-alukset_fx'!$B$17,IF(A16='Satama-alukset_fx'!$A$18,'Satama-alukset_fx'!$B$18,IF(A16='Satama-alukset_fx'!$A$19,'Satama-alukset_fx'!$B$19,IF(A16='Satama-alukset_fx'!$A$20,'Satama-alukset_fx'!$B$20,IF(A16='Satama-alukset_fx'!$A$21,'Satama-alukset_fx'!$B$21,IF(A16='Satama-alukset_fx'!$A$22,'Satama-alukset_fx'!$B$22,0)))))))))</f>
        <v>0</v>
      </c>
      <c r="N16">
        <f>IF(A16='Satama-alukset_fx'!$A$14,'Satama-alukset_fx'!$C$14,IF(A16='Satama-alukset_fx'!$A$15,'Satama-alukset_fx'!$C$15,IF(A16='Satama-alukset_fx'!$A$16,'Satama-alukset_fx'!$C$16,IF(A16='Satama-alukset_fx'!$A$17,'Satama-alukset_fx'!$C$17,IF(A16='Satama-alukset_fx'!$A$18,'Satama-alukset_fx'!$C$18,IF(A16='Satama-alukset_fx'!$A$19,'Satama-alukset_fx'!$C$19,IF(A16='Satama-alukset_fx'!$A$20,'Satama-alukset_fx'!$C$20,IF(A16='Satama-alukset_fx'!$A$21,'Satama-alukset_fx'!$C$21,IF(A16='Satama-alukset_fx'!$A$22,'Satama-alukset_fx'!$C$22,0)))))))))</f>
        <v>0</v>
      </c>
      <c r="O16">
        <f>IF(F16="x",IF(A16='Satama-alukset_fx'!$A$30,'Satama-alukset_fx'!$C$30,IF(A16='Satama-alukset_fx'!$A$31,'Satama-alukset_fx'!$C$31,IF(A16='Satama-alukset_fx'!$A$32,'Satama-alukset_fx'!$C$32,IF(A16='Satama-alukset_fx'!$A$33,'Satama-alukset_fx'!$C$33,IF(A16='Satama-alukset_fx'!$A$34,'Satama-alukset_fx'!$C$34,IF(A16='Satama-alukset_fx'!$A$35,'Satama-alukset_fx'!$C$35,IF(A16='Satama-alukset_fx'!$A$36,'Satama-alukset_fx'!$C$36,IF(A16='Satama-alukset_fx'!$A$37,'Satama-alukset_fx'!$C$37,IF(A16='Satama-alukset_fx'!$A$38,'Satama-alukset_fx'!$C$38,0))))))))),F16)</f>
        <v>0</v>
      </c>
      <c r="P16">
        <f>IF(G16="x",IF(A16='Satama-alukset_fx'!$A$30,'Satama-alukset_fx'!$E$30,IF(A16='Satama-alukset_fx'!$A$31,'Satama-alukset_fx'!$E$31,IF(A16='Satama-alukset_fx'!$A$32,'Satama-alukset_fx'!$E$32,IF(A16='Satama-alukset_fx'!$A$33,'Satama-alukset_fx'!$E$33,IF(A16='Satama-alukset_fx'!$A$34,'Satama-alukset_fx'!$E$34,IF(A16='Satama-alukset_fx'!$A$35,'Satama-alukset_fx'!$E$35,IF(A16='Satama-alukset_fx'!$A$36,'Satama-alukset_fx'!$E$36,IF(A16='Satama-alukset_fx'!$A$37,'Satama-alukset_fx'!$E$37,IF(A16='Satama-alukset_fx'!$A$38,'Satama-alukset_fx'!$E$38,0))))))))),G16)</f>
        <v>0</v>
      </c>
      <c r="Q16">
        <f>IF(K16=0,0,IF(K16&lt;38,IF(C16&lt;1998,'Satama-alukset_fx'!$M$12,'Satama-alukset_fx'!$M$13),IF(K16&lt;90,IF(C16&lt;1997,'Satama-alukset_fx'!$M$14,'Satama-alukset_fx'!$M$15),IF(K16&lt;187,IF(C16&lt;1971,'Satama-alukset_fx'!$M$16,IF(C16&lt;1979,'Satama-alukset_fx'!$M$17,IF(C16&lt;1984,'Satama-alukset_fx'!$M$18,IF(C16&lt;1987,'Satama-alukset_fx'!$M$19,IF(C16&lt;1996,'Satama-alukset_fx'!$M$20,'Satama-alukset_fx'!$M$21))))),IF(K16&lt;560,IF(C16&lt;1971,'Satama-alukset_fx'!$M$22,IF(C16&lt;1979,'Satama-alukset_fx'!$M$23,IF(C16&lt;1984,'Satama-alukset_fx'!$M$24,IF(C16&lt;1987,'Satama-alukset_fx'!$M$25,IF(C16&lt;1995,'Satama-alukset_fx'!$M$26,'Satama-alukset_fx'!$M$27))))),IF(C16&lt;1971,'Satama-alukset_fx'!$M$28,IF(C16&lt;1979,'Satama-alukset_fx'!$M$29,IF(C16&lt;1984,'Satama-alukset_fx'!$M$30,IF(C16&lt;1987,'Satama-alukset_fx'!$M$31,IF(C16&lt;1999,'Satama-alukset_fx'!$M$32,'Satama-alukset_fx'!$M$33))))))))))</f>
        <v>0</v>
      </c>
      <c r="R16">
        <f>IF(E16=0,0,IF(E16&lt;38,IF(C16&lt;1998,'Satama-alukset_fx'!$M$38,'Satama-alukset_fx'!$M$39),IF(E16&lt;90,IF(C16&lt;1997,'Satama-alukset_fx'!$M$40,'Satama-alukset_fx'!$M$41),IF(E16&lt;131,IF(C16&lt;1971,'Satama-alukset_fx'!$M$42,IF(C16&lt;1979,'Satama-alukset_fx'!$M$43,IF(C16&lt;1984,'Satama-alukset_fx'!$M$44,IF(C16&lt;1987,'Satama-alukset_fx'!$M$45,IF(C16&lt;1996,'Satama-alukset_fx'!$M$46,'Satama-alukset_fx'!$M$47))))),IF(E16&lt;187,IF(C16&lt;1971,'Satama-alukset_fx'!$M$48,IF(C16&lt;1979,'Satama-alukset_fx'!$M$49,IF(C16&lt;1984,'Satama-alukset_fx'!$M$50,IF(C16&lt;1987,'Satama-alukset_fx'!$M$51,IF(C16&lt;1995,'Satama-alukset_fx'!$M$52,'Satama-alukset_fx'!$M$53))))),IF(E16&lt;560,IF(C16&lt;1971,'Satama-alukset_fx'!$M$54,IF(C16&lt;1979,'Satama-alukset_fx'!$M$55,IF(C16&lt;1984,'Satama-alukset_fx'!$M$56,IF(C16&lt;1987,'Satama-alukset_fx'!$M$57,IF(C16&lt;1995,'Satama-alukset_fx'!$M$58,'Satama-alukset_fx'!$M$59))))),IF(C16&lt;1971,'Satama-alukset_fx'!$M$60,IF(C16&lt;1979,'Satama-alukset_fx'!$M$61,IF(C16&lt;1984,'Satama-alukset_fx'!$M$62,IF(C16&lt;1987,'Satama-alukset_fx'!$M$64,IF(C16&lt;1999,'Satama-alukset_fx'!$M$65,'Satama-alukset_fx'!$M$66)))))))))))</f>
        <v>0</v>
      </c>
      <c r="S16">
        <f>IF(I16='Satama-alukset_fx'!$A$69,0,IF($D$3=2018,Energia_fx!$C$12,IF($D$3=2019,Energia_fx!$C$13,IF($D$3=2020,Energia_fx!$C$14,IF($D$3=2021,Energia_fx!$C$15,Energia_fx!$C$16)))))</f>
        <v>101</v>
      </c>
      <c r="T16">
        <f t="shared" si="0"/>
        <v>0</v>
      </c>
    </row>
    <row r="17" spans="1:20" x14ac:dyDescent="0.25">
      <c r="A17">
        <f>'Satama-alukset'!A19</f>
        <v>0</v>
      </c>
      <c r="B17">
        <f>'Satama-alukset'!B19</f>
        <v>0</v>
      </c>
      <c r="C17">
        <f>'Satama-alukset'!C19</f>
        <v>0</v>
      </c>
      <c r="D17">
        <f>'Satama-alukset'!D19</f>
        <v>0</v>
      </c>
      <c r="E17">
        <f>'Satama-alukset'!E19</f>
        <v>0</v>
      </c>
      <c r="F17">
        <f>'Satama-alukset'!F19</f>
        <v>0</v>
      </c>
      <c r="G17">
        <f>'Satama-alukset'!G19</f>
        <v>0</v>
      </c>
      <c r="H17">
        <f>'Satama-alukset'!H19</f>
        <v>0</v>
      </c>
      <c r="I17">
        <f>'Satama-alukset'!I19</f>
        <v>0</v>
      </c>
      <c r="K17">
        <f>IF(D17="x",IF(A17='Satama-alukset_fx'!$A$30,'Satama-alukset_fx'!$B$30,IF(A17='Satama-alukset_fx'!$A$31,'Satama-alukset_fx'!$B$31,IF(A17='Satama-alukset_fx'!$A$32,'Satama-alukset_fx'!$B$32,IF(A17='Satama-alukset_fx'!$A$33,'Satama-alukset_fx'!$B$33,IF(A17='Satama-alukset_fx'!$A$34,'Satama-alukset_fx'!$B$34,IF(A17='Satama-alukset_fx'!$A$35,'Satama-alukset_fx'!$B$35,IF(A17='Satama-alukset_fx'!$A$36,'Satama-alukset_fx'!$B$36,IF(A17='Satama-alukset_fx'!$A$37,'Satama-alukset_fx'!$B$37,IF(A17='Satama-alukset_fx'!$A$38,'Satama-alukset_fx'!$B$38,0))))))))),D17)</f>
        <v>0</v>
      </c>
      <c r="L17">
        <f>IF(E17="x",IF(A17='Satama-alukset_fx'!$A$30,'Satama-alukset_fx'!$D$30,IF(A17='Satama-alukset_fx'!$A$31,'Satama-alukset_fx'!$D$31,IF(A17='Satama-alukset_fx'!$A$32,'Satama-alukset_fx'!$D$32,IF(A17='Satama-alukset_fx'!$A$33,'Satama-alukset_fx'!$D$33,IF(A17='Satama-alukset_fx'!$A$34,'Satama-alukset_fx'!$D$34,IF(A17='Satama-alukset_fx'!$A$35,'Satama-alukset_fx'!$D$35,IF(A17='Satama-alukset_fx'!$A$36,'Satama-alukset_fx'!$D$36,IF(A17='Satama-alukset_fx'!$A$37,'Satama-alukset_fx'!$D$37,IF(A17='Satama-alukset_fx'!$A$38,'Satama-alukset_fx'!$D$38,0))))))))),E17)</f>
        <v>0</v>
      </c>
      <c r="M17">
        <f>IF(A17='Satama-alukset_fx'!$A$14,'Satama-alukset_fx'!$B$14,IF(A17='Satama-alukset_fx'!$A$15,'Satama-alukset_fx'!$B$15,IF(A17='Satama-alukset_fx'!$A$16,'Satama-alukset_fx'!$B$16,IF(A17='Satama-alukset_fx'!$A$17,'Satama-alukset_fx'!$B$17,IF(A17='Satama-alukset_fx'!$A$18,'Satama-alukset_fx'!$B$18,IF(A17='Satama-alukset_fx'!$A$19,'Satama-alukset_fx'!$B$19,IF(A17='Satama-alukset_fx'!$A$20,'Satama-alukset_fx'!$B$20,IF(A17='Satama-alukset_fx'!$A$21,'Satama-alukset_fx'!$B$21,IF(A17='Satama-alukset_fx'!$A$22,'Satama-alukset_fx'!$B$22,0)))))))))</f>
        <v>0</v>
      </c>
      <c r="N17">
        <f>IF(A17='Satama-alukset_fx'!$A$14,'Satama-alukset_fx'!$C$14,IF(A17='Satama-alukset_fx'!$A$15,'Satama-alukset_fx'!$C$15,IF(A17='Satama-alukset_fx'!$A$16,'Satama-alukset_fx'!$C$16,IF(A17='Satama-alukset_fx'!$A$17,'Satama-alukset_fx'!$C$17,IF(A17='Satama-alukset_fx'!$A$18,'Satama-alukset_fx'!$C$18,IF(A17='Satama-alukset_fx'!$A$19,'Satama-alukset_fx'!$C$19,IF(A17='Satama-alukset_fx'!$A$20,'Satama-alukset_fx'!$C$20,IF(A17='Satama-alukset_fx'!$A$21,'Satama-alukset_fx'!$C$21,IF(A17='Satama-alukset_fx'!$A$22,'Satama-alukset_fx'!$C$22,0)))))))))</f>
        <v>0</v>
      </c>
      <c r="O17">
        <f>IF(F17="x",IF(A17='Satama-alukset_fx'!$A$30,'Satama-alukset_fx'!$C$30,IF(A17='Satama-alukset_fx'!$A$31,'Satama-alukset_fx'!$C$31,IF(A17='Satama-alukset_fx'!$A$32,'Satama-alukset_fx'!$C$32,IF(A17='Satama-alukset_fx'!$A$33,'Satama-alukset_fx'!$C$33,IF(A17='Satama-alukset_fx'!$A$34,'Satama-alukset_fx'!$C$34,IF(A17='Satama-alukset_fx'!$A$35,'Satama-alukset_fx'!$C$35,IF(A17='Satama-alukset_fx'!$A$36,'Satama-alukset_fx'!$C$36,IF(A17='Satama-alukset_fx'!$A$37,'Satama-alukset_fx'!$C$37,IF(A17='Satama-alukset_fx'!$A$38,'Satama-alukset_fx'!$C$38,0))))))))),F17)</f>
        <v>0</v>
      </c>
      <c r="P17">
        <f>IF(G17="x",IF(A17='Satama-alukset_fx'!$A$30,'Satama-alukset_fx'!$E$30,IF(A17='Satama-alukset_fx'!$A$31,'Satama-alukset_fx'!$E$31,IF(A17='Satama-alukset_fx'!$A$32,'Satama-alukset_fx'!$E$32,IF(A17='Satama-alukset_fx'!$A$33,'Satama-alukset_fx'!$E$33,IF(A17='Satama-alukset_fx'!$A$34,'Satama-alukset_fx'!$E$34,IF(A17='Satama-alukset_fx'!$A$35,'Satama-alukset_fx'!$E$35,IF(A17='Satama-alukset_fx'!$A$36,'Satama-alukset_fx'!$E$36,IF(A17='Satama-alukset_fx'!$A$37,'Satama-alukset_fx'!$E$37,IF(A17='Satama-alukset_fx'!$A$38,'Satama-alukset_fx'!$E$38,0))))))))),G17)</f>
        <v>0</v>
      </c>
      <c r="Q17">
        <f>IF(K17=0,0,IF(K17&lt;38,IF(C17&lt;1998,'Satama-alukset_fx'!$M$12,'Satama-alukset_fx'!$M$13),IF(K17&lt;90,IF(C17&lt;1997,'Satama-alukset_fx'!$M$14,'Satama-alukset_fx'!$M$15),IF(K17&lt;187,IF(C17&lt;1971,'Satama-alukset_fx'!$M$16,IF(C17&lt;1979,'Satama-alukset_fx'!$M$17,IF(C17&lt;1984,'Satama-alukset_fx'!$M$18,IF(C17&lt;1987,'Satama-alukset_fx'!$M$19,IF(C17&lt;1996,'Satama-alukset_fx'!$M$20,'Satama-alukset_fx'!$M$21))))),IF(K17&lt;560,IF(C17&lt;1971,'Satama-alukset_fx'!$M$22,IF(C17&lt;1979,'Satama-alukset_fx'!$M$23,IF(C17&lt;1984,'Satama-alukset_fx'!$M$24,IF(C17&lt;1987,'Satama-alukset_fx'!$M$25,IF(C17&lt;1995,'Satama-alukset_fx'!$M$26,'Satama-alukset_fx'!$M$27))))),IF(C17&lt;1971,'Satama-alukset_fx'!$M$28,IF(C17&lt;1979,'Satama-alukset_fx'!$M$29,IF(C17&lt;1984,'Satama-alukset_fx'!$M$30,IF(C17&lt;1987,'Satama-alukset_fx'!$M$31,IF(C17&lt;1999,'Satama-alukset_fx'!$M$32,'Satama-alukset_fx'!$M$33))))))))))</f>
        <v>0</v>
      </c>
      <c r="R17">
        <f>IF(E17=0,0,IF(E17&lt;38,IF(C17&lt;1998,'Satama-alukset_fx'!$M$38,'Satama-alukset_fx'!$M$39),IF(E17&lt;90,IF(C17&lt;1997,'Satama-alukset_fx'!$M$40,'Satama-alukset_fx'!$M$41),IF(E17&lt;131,IF(C17&lt;1971,'Satama-alukset_fx'!$M$42,IF(C17&lt;1979,'Satama-alukset_fx'!$M$43,IF(C17&lt;1984,'Satama-alukset_fx'!$M$44,IF(C17&lt;1987,'Satama-alukset_fx'!$M$45,IF(C17&lt;1996,'Satama-alukset_fx'!$M$46,'Satama-alukset_fx'!$M$47))))),IF(E17&lt;187,IF(C17&lt;1971,'Satama-alukset_fx'!$M$48,IF(C17&lt;1979,'Satama-alukset_fx'!$M$49,IF(C17&lt;1984,'Satama-alukset_fx'!$M$50,IF(C17&lt;1987,'Satama-alukset_fx'!$M$51,IF(C17&lt;1995,'Satama-alukset_fx'!$M$52,'Satama-alukset_fx'!$M$53))))),IF(E17&lt;560,IF(C17&lt;1971,'Satama-alukset_fx'!$M$54,IF(C17&lt;1979,'Satama-alukset_fx'!$M$55,IF(C17&lt;1984,'Satama-alukset_fx'!$M$56,IF(C17&lt;1987,'Satama-alukset_fx'!$M$57,IF(C17&lt;1995,'Satama-alukset_fx'!$M$58,'Satama-alukset_fx'!$M$59))))),IF(C17&lt;1971,'Satama-alukset_fx'!$M$60,IF(C17&lt;1979,'Satama-alukset_fx'!$M$61,IF(C17&lt;1984,'Satama-alukset_fx'!$M$62,IF(C17&lt;1987,'Satama-alukset_fx'!$M$64,IF(C17&lt;1999,'Satama-alukset_fx'!$M$65,'Satama-alukset_fx'!$M$66)))))))))))</f>
        <v>0</v>
      </c>
      <c r="S17">
        <f>IF(I17='Satama-alukset_fx'!$A$69,0,IF($D$3=2018,Energia_fx!$C$12,IF($D$3=2019,Energia_fx!$C$13,IF($D$3=2020,Energia_fx!$C$14,IF($D$3=2021,Energia_fx!$C$15,Energia_fx!$C$16)))))</f>
        <v>101</v>
      </c>
      <c r="T17">
        <f t="shared" si="0"/>
        <v>0</v>
      </c>
    </row>
    <row r="18" spans="1:20" x14ac:dyDescent="0.25">
      <c r="A18">
        <f>'Satama-alukset'!A20</f>
        <v>0</v>
      </c>
      <c r="B18">
        <f>'Satama-alukset'!B20</f>
        <v>0</v>
      </c>
      <c r="C18">
        <f>'Satama-alukset'!C20</f>
        <v>0</v>
      </c>
      <c r="D18">
        <f>'Satama-alukset'!D20</f>
        <v>0</v>
      </c>
      <c r="E18">
        <f>'Satama-alukset'!E20</f>
        <v>0</v>
      </c>
      <c r="F18">
        <f>'Satama-alukset'!F20</f>
        <v>0</v>
      </c>
      <c r="G18">
        <f>'Satama-alukset'!G20</f>
        <v>0</v>
      </c>
      <c r="H18">
        <f>'Satama-alukset'!H20</f>
        <v>0</v>
      </c>
      <c r="I18">
        <f>'Satama-alukset'!I20</f>
        <v>0</v>
      </c>
      <c r="K18">
        <f>IF(D18="x",IF(A18='Satama-alukset_fx'!$A$30,'Satama-alukset_fx'!$B$30,IF(A18='Satama-alukset_fx'!$A$31,'Satama-alukset_fx'!$B$31,IF(A18='Satama-alukset_fx'!$A$32,'Satama-alukset_fx'!$B$32,IF(A18='Satama-alukset_fx'!$A$33,'Satama-alukset_fx'!$B$33,IF(A18='Satama-alukset_fx'!$A$34,'Satama-alukset_fx'!$B$34,IF(A18='Satama-alukset_fx'!$A$35,'Satama-alukset_fx'!$B$35,IF(A18='Satama-alukset_fx'!$A$36,'Satama-alukset_fx'!$B$36,IF(A18='Satama-alukset_fx'!$A$37,'Satama-alukset_fx'!$B$37,IF(A18='Satama-alukset_fx'!$A$38,'Satama-alukset_fx'!$B$38,0))))))))),D18)</f>
        <v>0</v>
      </c>
      <c r="L18">
        <f>IF(E18="x",IF(A18='Satama-alukset_fx'!$A$30,'Satama-alukset_fx'!$D$30,IF(A18='Satama-alukset_fx'!$A$31,'Satama-alukset_fx'!$D$31,IF(A18='Satama-alukset_fx'!$A$32,'Satama-alukset_fx'!$D$32,IF(A18='Satama-alukset_fx'!$A$33,'Satama-alukset_fx'!$D$33,IF(A18='Satama-alukset_fx'!$A$34,'Satama-alukset_fx'!$D$34,IF(A18='Satama-alukset_fx'!$A$35,'Satama-alukset_fx'!$D$35,IF(A18='Satama-alukset_fx'!$A$36,'Satama-alukset_fx'!$D$36,IF(A18='Satama-alukset_fx'!$A$37,'Satama-alukset_fx'!$D$37,IF(A18='Satama-alukset_fx'!$A$38,'Satama-alukset_fx'!$D$38,0))))))))),E18)</f>
        <v>0</v>
      </c>
      <c r="M18">
        <f>IF(A18='Satama-alukset_fx'!$A$14,'Satama-alukset_fx'!$B$14,IF(A18='Satama-alukset_fx'!$A$15,'Satama-alukset_fx'!$B$15,IF(A18='Satama-alukset_fx'!$A$16,'Satama-alukset_fx'!$B$16,IF(A18='Satama-alukset_fx'!$A$17,'Satama-alukset_fx'!$B$17,IF(A18='Satama-alukset_fx'!$A$18,'Satama-alukset_fx'!$B$18,IF(A18='Satama-alukset_fx'!$A$19,'Satama-alukset_fx'!$B$19,IF(A18='Satama-alukset_fx'!$A$20,'Satama-alukset_fx'!$B$20,IF(A18='Satama-alukset_fx'!$A$21,'Satama-alukset_fx'!$B$21,IF(A18='Satama-alukset_fx'!$A$22,'Satama-alukset_fx'!$B$22,0)))))))))</f>
        <v>0</v>
      </c>
      <c r="N18">
        <f>IF(A18='Satama-alukset_fx'!$A$14,'Satama-alukset_fx'!$C$14,IF(A18='Satama-alukset_fx'!$A$15,'Satama-alukset_fx'!$C$15,IF(A18='Satama-alukset_fx'!$A$16,'Satama-alukset_fx'!$C$16,IF(A18='Satama-alukset_fx'!$A$17,'Satama-alukset_fx'!$C$17,IF(A18='Satama-alukset_fx'!$A$18,'Satama-alukset_fx'!$C$18,IF(A18='Satama-alukset_fx'!$A$19,'Satama-alukset_fx'!$C$19,IF(A18='Satama-alukset_fx'!$A$20,'Satama-alukset_fx'!$C$20,IF(A18='Satama-alukset_fx'!$A$21,'Satama-alukset_fx'!$C$21,IF(A18='Satama-alukset_fx'!$A$22,'Satama-alukset_fx'!$C$22,0)))))))))</f>
        <v>0</v>
      </c>
      <c r="O18">
        <f>IF(F18="x",IF(A18='Satama-alukset_fx'!$A$30,'Satama-alukset_fx'!$C$30,IF(A18='Satama-alukset_fx'!$A$31,'Satama-alukset_fx'!$C$31,IF(A18='Satama-alukset_fx'!$A$32,'Satama-alukset_fx'!$C$32,IF(A18='Satama-alukset_fx'!$A$33,'Satama-alukset_fx'!$C$33,IF(A18='Satama-alukset_fx'!$A$34,'Satama-alukset_fx'!$C$34,IF(A18='Satama-alukset_fx'!$A$35,'Satama-alukset_fx'!$C$35,IF(A18='Satama-alukset_fx'!$A$36,'Satama-alukset_fx'!$C$36,IF(A18='Satama-alukset_fx'!$A$37,'Satama-alukset_fx'!$C$37,IF(A18='Satama-alukset_fx'!$A$38,'Satama-alukset_fx'!$C$38,0))))))))),F18)</f>
        <v>0</v>
      </c>
      <c r="P18">
        <f>IF(G18="x",IF(A18='Satama-alukset_fx'!$A$30,'Satama-alukset_fx'!$E$30,IF(A18='Satama-alukset_fx'!$A$31,'Satama-alukset_fx'!$E$31,IF(A18='Satama-alukset_fx'!$A$32,'Satama-alukset_fx'!$E$32,IF(A18='Satama-alukset_fx'!$A$33,'Satama-alukset_fx'!$E$33,IF(A18='Satama-alukset_fx'!$A$34,'Satama-alukset_fx'!$E$34,IF(A18='Satama-alukset_fx'!$A$35,'Satama-alukset_fx'!$E$35,IF(A18='Satama-alukset_fx'!$A$36,'Satama-alukset_fx'!$E$36,IF(A18='Satama-alukset_fx'!$A$37,'Satama-alukset_fx'!$E$37,IF(A18='Satama-alukset_fx'!$A$38,'Satama-alukset_fx'!$E$38,0))))))))),G18)</f>
        <v>0</v>
      </c>
      <c r="Q18">
        <f>IF(K18=0,0,IF(K18&lt;38,IF(C18&lt;1998,'Satama-alukset_fx'!$M$12,'Satama-alukset_fx'!$M$13),IF(K18&lt;90,IF(C18&lt;1997,'Satama-alukset_fx'!$M$14,'Satama-alukset_fx'!$M$15),IF(K18&lt;187,IF(C18&lt;1971,'Satama-alukset_fx'!$M$16,IF(C18&lt;1979,'Satama-alukset_fx'!$M$17,IF(C18&lt;1984,'Satama-alukset_fx'!$M$18,IF(C18&lt;1987,'Satama-alukset_fx'!$M$19,IF(C18&lt;1996,'Satama-alukset_fx'!$M$20,'Satama-alukset_fx'!$M$21))))),IF(K18&lt;560,IF(C18&lt;1971,'Satama-alukset_fx'!$M$22,IF(C18&lt;1979,'Satama-alukset_fx'!$M$23,IF(C18&lt;1984,'Satama-alukset_fx'!$M$24,IF(C18&lt;1987,'Satama-alukset_fx'!$M$25,IF(C18&lt;1995,'Satama-alukset_fx'!$M$26,'Satama-alukset_fx'!$M$27))))),IF(C18&lt;1971,'Satama-alukset_fx'!$M$28,IF(C18&lt;1979,'Satama-alukset_fx'!$M$29,IF(C18&lt;1984,'Satama-alukset_fx'!$M$30,IF(C18&lt;1987,'Satama-alukset_fx'!$M$31,IF(C18&lt;1999,'Satama-alukset_fx'!$M$32,'Satama-alukset_fx'!$M$33))))))))))</f>
        <v>0</v>
      </c>
      <c r="R18">
        <f>IF(E18=0,0,IF(E18&lt;38,IF(C18&lt;1998,'Satama-alukset_fx'!$M$38,'Satama-alukset_fx'!$M$39),IF(E18&lt;90,IF(C18&lt;1997,'Satama-alukset_fx'!$M$40,'Satama-alukset_fx'!$M$41),IF(E18&lt;131,IF(C18&lt;1971,'Satama-alukset_fx'!$M$42,IF(C18&lt;1979,'Satama-alukset_fx'!$M$43,IF(C18&lt;1984,'Satama-alukset_fx'!$M$44,IF(C18&lt;1987,'Satama-alukset_fx'!$M$45,IF(C18&lt;1996,'Satama-alukset_fx'!$M$46,'Satama-alukset_fx'!$M$47))))),IF(E18&lt;187,IF(C18&lt;1971,'Satama-alukset_fx'!$M$48,IF(C18&lt;1979,'Satama-alukset_fx'!$M$49,IF(C18&lt;1984,'Satama-alukset_fx'!$M$50,IF(C18&lt;1987,'Satama-alukset_fx'!$M$51,IF(C18&lt;1995,'Satama-alukset_fx'!$M$52,'Satama-alukset_fx'!$M$53))))),IF(E18&lt;560,IF(C18&lt;1971,'Satama-alukset_fx'!$M$54,IF(C18&lt;1979,'Satama-alukset_fx'!$M$55,IF(C18&lt;1984,'Satama-alukset_fx'!$M$56,IF(C18&lt;1987,'Satama-alukset_fx'!$M$57,IF(C18&lt;1995,'Satama-alukset_fx'!$M$58,'Satama-alukset_fx'!$M$59))))),IF(C18&lt;1971,'Satama-alukset_fx'!$M$60,IF(C18&lt;1979,'Satama-alukset_fx'!$M$61,IF(C18&lt;1984,'Satama-alukset_fx'!$M$62,IF(C18&lt;1987,'Satama-alukset_fx'!$M$64,IF(C18&lt;1999,'Satama-alukset_fx'!$M$65,'Satama-alukset_fx'!$M$66)))))))))))</f>
        <v>0</v>
      </c>
      <c r="S18">
        <f>IF(I18='Satama-alukset_fx'!$A$69,0,IF($D$3=2018,Energia_fx!$C$12,IF($D$3=2019,Energia_fx!$C$13,IF($D$3=2020,Energia_fx!$C$14,IF($D$3=2021,Energia_fx!$C$15,Energia_fx!$C$16)))))</f>
        <v>101</v>
      </c>
      <c r="T18">
        <f t="shared" si="0"/>
        <v>0</v>
      </c>
    </row>
    <row r="20" spans="1:20" x14ac:dyDescent="0.25">
      <c r="A20" s="251" t="s">
        <v>424</v>
      </c>
      <c r="B20" s="236"/>
      <c r="C20" s="236"/>
    </row>
    <row r="21" spans="1:20" ht="24" x14ac:dyDescent="0.25">
      <c r="A21" s="217" t="s">
        <v>410</v>
      </c>
      <c r="B21" s="217" t="s">
        <v>411</v>
      </c>
      <c r="C21" s="217" t="s">
        <v>425</v>
      </c>
      <c r="D21" s="217" t="s">
        <v>426</v>
      </c>
      <c r="E21" s="217" t="s">
        <v>416</v>
      </c>
      <c r="F21" s="217" t="s">
        <v>91</v>
      </c>
      <c r="R21" s="217" t="s">
        <v>427</v>
      </c>
      <c r="S21" s="217" t="s">
        <v>423</v>
      </c>
      <c r="T21" s="217" t="s">
        <v>93</v>
      </c>
    </row>
    <row r="22" spans="1:20" x14ac:dyDescent="0.25">
      <c r="A22">
        <f>'Satama-alukset'!A24</f>
        <v>0</v>
      </c>
      <c r="B22">
        <f>'Satama-alukset'!B24</f>
        <v>0</v>
      </c>
      <c r="C22">
        <f>'Satama-alukset'!C24</f>
        <v>0</v>
      </c>
      <c r="D22">
        <f>'Satama-alukset'!D24</f>
        <v>0</v>
      </c>
      <c r="E22">
        <f>'Satama-alukset'!E24</f>
        <v>0</v>
      </c>
      <c r="F22">
        <f>'Satama-alukset'!F24</f>
        <v>0</v>
      </c>
      <c r="R22">
        <f>IF(C22='Satama-alukset_fx'!$B$50,'Satama-alukset_fx'!$F$50,IF(C22='Satama-alukset_fx'!$B$49,'Satama-alukset_fx'!$F$49,IF(C22='Satama-alukset_fx'!$B$51,'Satama-alukset_fx'!$F$51,IF(C22='Satama-alukset_fx'!$B$52,'Satama-alukset_fx'!$F$52,IF(C22='Satama-alukset_fx'!$B$53,'Satama-alukset_fx'!$F$53,IF(C22='Satama-alukset_fx'!$B$54,'Satama-alukset_fx'!$F$54,IF(C22='Satama-alukset_fx'!$B$55,'Satama-alukset_fx'!$F$55,0)))))))</f>
        <v>0</v>
      </c>
      <c r="S22">
        <f>IF(F22='Satama-alukset_fx'!$A$69,0,IF($D$3=2018,Energia_fx!$C$12,IF($D$3=2019,Energia_fx!$C$13,IF($D$3=2020,Energia_fx!$C$14,IF($D$3=2021,Energia_fx!$C$15,Energia_fx!$C$16)))))</f>
        <v>101</v>
      </c>
      <c r="T22">
        <f t="shared" ref="T22:T28" si="1">D22*R22+(E22*S22/1000000)</f>
        <v>0</v>
      </c>
    </row>
    <row r="23" spans="1:20" x14ac:dyDescent="0.25">
      <c r="A23">
        <f>'Satama-alukset'!A25</f>
        <v>0</v>
      </c>
      <c r="B23">
        <f>'Satama-alukset'!B25</f>
        <v>0</v>
      </c>
      <c r="C23">
        <f>'Satama-alukset'!C25</f>
        <v>0</v>
      </c>
      <c r="D23">
        <f>'Satama-alukset'!D25</f>
        <v>0</v>
      </c>
      <c r="E23">
        <f>'Satama-alukset'!E25</f>
        <v>0</v>
      </c>
      <c r="F23">
        <f>'Satama-alukset'!F25</f>
        <v>0</v>
      </c>
      <c r="R23">
        <f>IF(C23='Satama-alukset_fx'!$B$50,'Satama-alukset_fx'!$F$50,IF(C23='Satama-alukset_fx'!$B$49,'Satama-alukset_fx'!$F$49,IF(C23='Satama-alukset_fx'!$B$51,'Satama-alukset_fx'!$F$51,IF(C23='Satama-alukset_fx'!$B$52,'Satama-alukset_fx'!$F$52,IF(C23='Satama-alukset_fx'!$B$53,'Satama-alukset_fx'!$F$53,IF(C23='Satama-alukset_fx'!$B$54,'Satama-alukset_fx'!$F$54,IF(C23='Satama-alukset_fx'!$B$55,'Satama-alukset_fx'!$F$55,0)))))))</f>
        <v>0</v>
      </c>
      <c r="S23">
        <f>IF(F23='Satama-alukset_fx'!$A$69,0,IF($D$3=2018,Energia_fx!$C$12,IF($D$3=2019,Energia_fx!$C$13,IF($D$3=2020,Energia_fx!$C$14,IF($D$3=2021,Energia_fx!$C$15,Energia_fx!$C$16)))))</f>
        <v>101</v>
      </c>
      <c r="T23">
        <f t="shared" si="1"/>
        <v>0</v>
      </c>
    </row>
    <row r="24" spans="1:20" x14ac:dyDescent="0.25">
      <c r="A24">
        <f>'Satama-alukset'!A26</f>
        <v>0</v>
      </c>
      <c r="B24">
        <f>'Satama-alukset'!B26</f>
        <v>0</v>
      </c>
      <c r="C24">
        <f>'Satama-alukset'!C26</f>
        <v>0</v>
      </c>
      <c r="D24">
        <f>'Satama-alukset'!D26</f>
        <v>0</v>
      </c>
      <c r="E24">
        <f>'Satama-alukset'!E26</f>
        <v>0</v>
      </c>
      <c r="F24">
        <f>'Satama-alukset'!F26</f>
        <v>0</v>
      </c>
      <c r="R24">
        <f>IF(C24='Satama-alukset_fx'!$B$50,'Satama-alukset_fx'!$F$50,IF(C24='Satama-alukset_fx'!$B$49,'Satama-alukset_fx'!$F$49,IF(C24='Satama-alukset_fx'!$B$51,'Satama-alukset_fx'!$F$51,IF(C24='Satama-alukset_fx'!$B$52,'Satama-alukset_fx'!$F$52,IF(C24='Satama-alukset_fx'!$B$53,'Satama-alukset_fx'!$F$53,IF(C24='Satama-alukset_fx'!$B$54,'Satama-alukset_fx'!$F$54,IF(C24='Satama-alukset_fx'!$B$55,'Satama-alukset_fx'!$F$55,0)))))))</f>
        <v>0</v>
      </c>
      <c r="S24">
        <f>IF(F24='Satama-alukset_fx'!$A$69,0,IF($D$3=2018,Energia_fx!$C$12,IF($D$3=2019,Energia_fx!$C$13,IF($D$3=2020,Energia_fx!$C$14,IF($D$3=2021,Energia_fx!$C$15,Energia_fx!$C$16)))))</f>
        <v>101</v>
      </c>
      <c r="T24">
        <f t="shared" si="1"/>
        <v>0</v>
      </c>
    </row>
    <row r="25" spans="1:20" x14ac:dyDescent="0.25">
      <c r="A25">
        <f>'Satama-alukset'!A27</f>
        <v>0</v>
      </c>
      <c r="B25">
        <f>'Satama-alukset'!B27</f>
        <v>0</v>
      </c>
      <c r="C25">
        <f>'Satama-alukset'!C27</f>
        <v>0</v>
      </c>
      <c r="D25">
        <f>'Satama-alukset'!D27</f>
        <v>0</v>
      </c>
      <c r="E25">
        <f>'Satama-alukset'!E27</f>
        <v>0</v>
      </c>
      <c r="F25">
        <f>'Satama-alukset'!F27</f>
        <v>0</v>
      </c>
      <c r="R25">
        <f>IF(C25='Satama-alukset_fx'!$B$50,'Satama-alukset_fx'!$F$50,IF(C25='Satama-alukset_fx'!$B$49,'Satama-alukset_fx'!$F$49,IF(C25='Satama-alukset_fx'!$B$51,'Satama-alukset_fx'!$F$51,IF(C25='Satama-alukset_fx'!$B$52,'Satama-alukset_fx'!$F$52,IF(C25='Satama-alukset_fx'!$B$53,'Satama-alukset_fx'!$F$53,IF(C25='Satama-alukset_fx'!$B$54,'Satama-alukset_fx'!$F$54,IF(C25='Satama-alukset_fx'!$B$55,'Satama-alukset_fx'!$F$55,0)))))))</f>
        <v>0</v>
      </c>
      <c r="S25">
        <f>IF(F25='Satama-alukset_fx'!$A$69,0,IF($D$3=2018,Energia_fx!$C$12,IF($D$3=2019,Energia_fx!$C$13,IF($D$3=2020,Energia_fx!$C$14,IF($D$3=2021,Energia_fx!$C$15,Energia_fx!$C$16)))))</f>
        <v>101</v>
      </c>
      <c r="T25">
        <f t="shared" si="1"/>
        <v>0</v>
      </c>
    </row>
    <row r="26" spans="1:20" x14ac:dyDescent="0.25">
      <c r="A26">
        <f>'Satama-alukset'!A28</f>
        <v>0</v>
      </c>
      <c r="B26">
        <f>'Satama-alukset'!B28</f>
        <v>0</v>
      </c>
      <c r="C26">
        <f>'Satama-alukset'!C28</f>
        <v>0</v>
      </c>
      <c r="D26">
        <f>'Satama-alukset'!D28</f>
        <v>0</v>
      </c>
      <c r="E26">
        <f>'Satama-alukset'!E28</f>
        <v>0</v>
      </c>
      <c r="F26">
        <f>'Satama-alukset'!F28</f>
        <v>0</v>
      </c>
      <c r="R26">
        <f>IF(C26='Satama-alukset_fx'!$B$50,'Satama-alukset_fx'!$F$50,IF(C26='Satama-alukset_fx'!$B$49,'Satama-alukset_fx'!$F$49,IF(C26='Satama-alukset_fx'!$B$51,'Satama-alukset_fx'!$F$51,IF(C26='Satama-alukset_fx'!$B$52,'Satama-alukset_fx'!$F$52,IF(C26='Satama-alukset_fx'!$B$53,'Satama-alukset_fx'!$F$53,IF(C26='Satama-alukset_fx'!$B$54,'Satama-alukset_fx'!$F$54,IF(C26='Satama-alukset_fx'!$B$55,'Satama-alukset_fx'!$F$55,0)))))))</f>
        <v>0</v>
      </c>
      <c r="S26">
        <f>IF(F26='Satama-alukset_fx'!$A$69,0,IF($D$3=2018,Energia_fx!$C$12,IF($D$3=2019,Energia_fx!$C$13,IF($D$3=2020,Energia_fx!$C$14,IF($D$3=2021,Energia_fx!$C$15,Energia_fx!$C$16)))))</f>
        <v>101</v>
      </c>
      <c r="T26">
        <f t="shared" si="1"/>
        <v>0</v>
      </c>
    </row>
    <row r="27" spans="1:20" x14ac:dyDescent="0.25">
      <c r="A27">
        <f>'Satama-alukset'!A29</f>
        <v>0</v>
      </c>
      <c r="B27">
        <f>'Satama-alukset'!B29</f>
        <v>0</v>
      </c>
      <c r="C27">
        <f>'Satama-alukset'!C29</f>
        <v>0</v>
      </c>
      <c r="D27">
        <f>'Satama-alukset'!D29</f>
        <v>0</v>
      </c>
      <c r="E27">
        <f>'Satama-alukset'!E29</f>
        <v>0</v>
      </c>
      <c r="F27">
        <f>'Satama-alukset'!F29</f>
        <v>0</v>
      </c>
      <c r="R27">
        <f>IF(C27='Satama-alukset_fx'!$B$50,'Satama-alukset_fx'!$F$50,IF(C27='Satama-alukset_fx'!$B$49,'Satama-alukset_fx'!$F$49,IF(C27='Satama-alukset_fx'!$B$51,'Satama-alukset_fx'!$F$51,IF(C27='Satama-alukset_fx'!$B$52,'Satama-alukset_fx'!$F$52,IF(C27='Satama-alukset_fx'!$B$53,'Satama-alukset_fx'!$F$53,IF(C27='Satama-alukset_fx'!$B$54,'Satama-alukset_fx'!$F$54,IF(C27='Satama-alukset_fx'!$B$55,'Satama-alukset_fx'!$F$55,0)))))))</f>
        <v>0</v>
      </c>
      <c r="S27">
        <f>IF(F27='Satama-alukset_fx'!$A$69,0,IF($D$3=2018,Energia_fx!$C$12,IF($D$3=2019,Energia_fx!$C$13,IF($D$3=2020,Energia_fx!$C$14,IF($D$3=2021,Energia_fx!$C$15,Energia_fx!$C$16)))))</f>
        <v>101</v>
      </c>
      <c r="T27">
        <f t="shared" si="1"/>
        <v>0</v>
      </c>
    </row>
    <row r="28" spans="1:20" x14ac:dyDescent="0.25">
      <c r="A28">
        <f>'Satama-alukset'!A30</f>
        <v>0</v>
      </c>
      <c r="B28">
        <f>'Satama-alukset'!B30</f>
        <v>0</v>
      </c>
      <c r="C28">
        <f>'Satama-alukset'!C30</f>
        <v>0</v>
      </c>
      <c r="D28">
        <f>'Satama-alukset'!D30</f>
        <v>0</v>
      </c>
      <c r="E28">
        <f>'Satama-alukset'!E30</f>
        <v>0</v>
      </c>
      <c r="F28">
        <f>'Satama-alukset'!F30</f>
        <v>0</v>
      </c>
      <c r="R28">
        <f>IF(C28='Satama-alukset_fx'!$B$50,'Satama-alukset_fx'!$F$50,IF(C28='Satama-alukset_fx'!$B$49,'Satama-alukset_fx'!$F$49,IF(C28='Satama-alukset_fx'!$B$51,'Satama-alukset_fx'!$F$51,IF(C28='Satama-alukset_fx'!$B$52,'Satama-alukset_fx'!$F$52,IF(C28='Satama-alukset_fx'!$B$53,'Satama-alukset_fx'!$F$53,IF(C28='Satama-alukset_fx'!$B$54,'Satama-alukset_fx'!$F$54,IF(C28='Satama-alukset_fx'!$B$55,'Satama-alukset_fx'!$F$55,0)))))))</f>
        <v>0</v>
      </c>
      <c r="S28">
        <f>IF(F28='Satama-alukset_fx'!$A$69,0,IF($D$3=2018,Energia_fx!$C$12,IF($D$3=2019,Energia_fx!$C$13,IF($D$3=2020,Energia_fx!$C$14,IF($D$3=2021,Energia_fx!$C$15,Energia_fx!$C$16)))))</f>
        <v>101</v>
      </c>
      <c r="T28">
        <f t="shared" si="1"/>
        <v>0</v>
      </c>
    </row>
    <row r="30" spans="1:20" ht="15.75" x14ac:dyDescent="0.25">
      <c r="A30" s="238" t="s">
        <v>428</v>
      </c>
      <c r="B30" s="239"/>
      <c r="C30" s="216"/>
      <c r="D30" s="216"/>
      <c r="E30" s="216"/>
    </row>
    <row r="31" spans="1:20" x14ac:dyDescent="0.25">
      <c r="A31" s="251" t="s">
        <v>409</v>
      </c>
      <c r="B31" s="236"/>
      <c r="C31" s="236"/>
    </row>
    <row r="32" spans="1:20" ht="48" x14ac:dyDescent="0.25">
      <c r="A32" s="217" t="s">
        <v>410</v>
      </c>
      <c r="B32" s="217" t="s">
        <v>411</v>
      </c>
      <c r="C32" s="217" t="s">
        <v>412</v>
      </c>
      <c r="D32" s="217" t="s">
        <v>315</v>
      </c>
      <c r="E32" s="217" t="s">
        <v>413</v>
      </c>
      <c r="F32" s="217" t="s">
        <v>414</v>
      </c>
      <c r="G32" s="217" t="s">
        <v>415</v>
      </c>
      <c r="H32" s="217" t="s">
        <v>416</v>
      </c>
      <c r="I32" s="217" t="s">
        <v>91</v>
      </c>
      <c r="K32" s="217" t="s">
        <v>417</v>
      </c>
      <c r="L32" s="217" t="s">
        <v>418</v>
      </c>
      <c r="M32" s="217" t="s">
        <v>419</v>
      </c>
      <c r="N32" s="217" t="s">
        <v>420</v>
      </c>
      <c r="O32" s="217" t="s">
        <v>864</v>
      </c>
      <c r="P32" s="217" t="s">
        <v>865</v>
      </c>
      <c r="Q32" s="217" t="s">
        <v>421</v>
      </c>
      <c r="R32" s="217" t="s">
        <v>422</v>
      </c>
      <c r="S32" s="217" t="s">
        <v>423</v>
      </c>
      <c r="T32" s="217" t="s">
        <v>93</v>
      </c>
    </row>
    <row r="33" spans="1:20" x14ac:dyDescent="0.25">
      <c r="A33">
        <f>'Satama-alukset'!A35</f>
        <v>0</v>
      </c>
      <c r="B33">
        <f>'Satama-alukset'!B35</f>
        <v>0</v>
      </c>
      <c r="C33">
        <f>'Satama-alukset'!C35</f>
        <v>0</v>
      </c>
      <c r="D33">
        <f>'Satama-alukset'!D35</f>
        <v>0</v>
      </c>
      <c r="E33">
        <f>'Satama-alukset'!E35</f>
        <v>0</v>
      </c>
      <c r="F33">
        <f>'Satama-alukset'!F35</f>
        <v>0</v>
      </c>
      <c r="G33">
        <f>'Satama-alukset'!G35</f>
        <v>0</v>
      </c>
      <c r="H33">
        <f>'Satama-alukset'!H35</f>
        <v>0</v>
      </c>
      <c r="I33">
        <f>'Satama-alukset'!I35</f>
        <v>0</v>
      </c>
      <c r="K33">
        <f>IF(D33="x",IF(A33='Satama-alukset_fx'!$A$30,'Satama-alukset_fx'!$B$30,IF(A33='Satama-alukset_fx'!$A$31,'Satama-alukset_fx'!$B$31,IF(A33='Satama-alukset_fx'!$A$32,'Satama-alukset_fx'!$B$32,IF(A33='Satama-alukset_fx'!$A$33,'Satama-alukset_fx'!$B$33,IF(A33='Satama-alukset_fx'!$A$34,'Satama-alukset_fx'!$B$34,IF(A33='Satama-alukset_fx'!$A$35,'Satama-alukset_fx'!$B$35,IF(A33='Satama-alukset_fx'!$A$36,'Satama-alukset_fx'!$B$36,IF(A33='Satama-alukset_fx'!$A$37,'Satama-alukset_fx'!$B$37,IF(A33='Satama-alukset_fx'!$A$38,'Satama-alukset_fx'!$B$38,0))))))))),D33)</f>
        <v>0</v>
      </c>
      <c r="L33">
        <f>IF(E33="x",IF(A33='Satama-alukset_fx'!$A$30,'Satama-alukset_fx'!$D$30,IF(A33='Satama-alukset_fx'!$A$31,'Satama-alukset_fx'!$D$31,IF(A33='Satama-alukset_fx'!$A$32,'Satama-alukset_fx'!$D$32,IF(A33='Satama-alukset_fx'!$A$33,'Satama-alukset_fx'!$D$33,IF(A33='Satama-alukset_fx'!$A$34,'Satama-alukset_fx'!$D$34,IF(A33='Satama-alukset_fx'!$A$35,'Satama-alukset_fx'!$D$35,IF(A33='Satama-alukset_fx'!$A$36,'Satama-alukset_fx'!$D$36,IF(A33='Satama-alukset_fx'!$A$37,'Satama-alukset_fx'!$D$37,IF(A33='Satama-alukset_fx'!$A$38,'Satama-alukset_fx'!$D$38,0))))))))),E33)</f>
        <v>0</v>
      </c>
      <c r="M33">
        <f>IF(A33='Satama-alukset_fx'!$A$14,'Satama-alukset_fx'!$B$14,IF(A33='Satama-alukset_fx'!$A$15,'Satama-alukset_fx'!$B$15,IF(A33='Satama-alukset_fx'!$A$16,'Satama-alukset_fx'!$B$16,IF(A33='Satama-alukset_fx'!$A$17,'Satama-alukset_fx'!$B$17,IF(A33='Satama-alukset_fx'!$A$18,'Satama-alukset_fx'!$B$18,IF(A33='Satama-alukset_fx'!$A$19,'Satama-alukset_fx'!$B$19,IF(A33='Satama-alukset_fx'!$A$20,'Satama-alukset_fx'!$B$20,IF(A33='Satama-alukset_fx'!$A$21,'Satama-alukset_fx'!$B$21,IF(A33='Satama-alukset_fx'!$A$22,'Satama-alukset_fx'!$B$22,0)))))))))</f>
        <v>0</v>
      </c>
      <c r="N33">
        <f>IF(A33='Satama-alukset_fx'!$A$14,'Satama-alukset_fx'!$C$14,IF(A33='Satama-alukset_fx'!$A$15,'Satama-alukset_fx'!$C$15,IF(A33='Satama-alukset_fx'!$A$16,'Satama-alukset_fx'!$C$16,IF(A33='Satama-alukset_fx'!$A$17,'Satama-alukset_fx'!$C$17,IF(A33='Satama-alukset_fx'!$A$18,'Satama-alukset_fx'!$C$18,IF(A33='Satama-alukset_fx'!$A$19,'Satama-alukset_fx'!$C$19,IF(A33='Satama-alukset_fx'!$A$20,'Satama-alukset_fx'!$C$20,IF(A33='Satama-alukset_fx'!$A$21,'Satama-alukset_fx'!$C$21,IF(A33='Satama-alukset_fx'!$A$22,'Satama-alukset_fx'!$C$22,0)))))))))</f>
        <v>0</v>
      </c>
      <c r="O33">
        <f>IF(F33="x",IF(A33='Satama-alukset_fx'!$A$30,'Satama-alukset_fx'!$C$30,IF(A33='Satama-alukset_fx'!$A$31,'Satama-alukset_fx'!$C$31,IF(A33='Satama-alukset_fx'!$A$32,'Satama-alukset_fx'!$C$32,IF(A33='Satama-alukset_fx'!$A$33,'Satama-alukset_fx'!$C$33,IF(A33='Satama-alukset_fx'!$A$34,'Satama-alukset_fx'!$C$34,IF(A33='Satama-alukset_fx'!$A$35,'Satama-alukset_fx'!$C$35,IF(A33='Satama-alukset_fx'!$A$36,'Satama-alukset_fx'!$C$36,IF(A33='Satama-alukset_fx'!$A$37,'Satama-alukset_fx'!$C$37,IF(A33='Satama-alukset_fx'!$A$38,'Satama-alukset_fx'!$C$38,0))))))))),F33)</f>
        <v>0</v>
      </c>
      <c r="P33">
        <f>IF(G33="x",IF(A33='Satama-alukset_fx'!$A$30,'Satama-alukset_fx'!$E$30,IF(A33='Satama-alukset_fx'!$A$31,'Satama-alukset_fx'!$E$31,IF(A33='Satama-alukset_fx'!$A$32,'Satama-alukset_fx'!$E$32,IF(A33='Satama-alukset_fx'!$A$33,'Satama-alukset_fx'!$E$33,IF(A33='Satama-alukset_fx'!$A$34,'Satama-alukset_fx'!$E$34,IF(A33='Satama-alukset_fx'!$A$35,'Satama-alukset_fx'!$E$35,IF(A33='Satama-alukset_fx'!$A$36,'Satama-alukset_fx'!$E$36,IF(A33='Satama-alukset_fx'!$A$37,'Satama-alukset_fx'!$E$37,IF(A33='Satama-alukset_fx'!$A$38,'Satama-alukset_fx'!$E$38,0))))))))),G33)</f>
        <v>0</v>
      </c>
      <c r="Q33">
        <f>IF(K33=0,0,IF(K33&lt;38,IF(C33&lt;1998,'Satama-alukset_fx'!$M$12,'Satama-alukset_fx'!$M$13),IF(K33&lt;90,IF(C33&lt;1997,'Satama-alukset_fx'!$M$14,'Satama-alukset_fx'!$M$15),IF(K33&lt;187,IF(C33&lt;1971,'Satama-alukset_fx'!$M$16,IF(C33&lt;1979,'Satama-alukset_fx'!$M$17,IF(C33&lt;1984,'Satama-alukset_fx'!$M$18,IF(C33&lt;1987,'Satama-alukset_fx'!$M$19,IF(C33&lt;1996,'Satama-alukset_fx'!$M$20,'Satama-alukset_fx'!$M$21))))),IF(K33&lt;560,IF(C33&lt;1971,'Satama-alukset_fx'!$M$22,IF(C33&lt;1979,'Satama-alukset_fx'!$M$23,IF(C33&lt;1984,'Satama-alukset_fx'!$M$24,IF(C33&lt;1987,'Satama-alukset_fx'!$M$25,IF(C33&lt;1995,'Satama-alukset_fx'!$M$26,'Satama-alukset_fx'!$M$27))))),IF(C33&lt;1971,'Satama-alukset_fx'!$M$28,IF(C33&lt;1979,'Satama-alukset_fx'!$M$29,IF(C33&lt;1984,'Satama-alukset_fx'!$M$30,IF(C33&lt;1987,'Satama-alukset_fx'!$M$31,IF(C33&lt;1999,'Satama-alukset_fx'!$M$32,'Satama-alukset_fx'!$M$33))))))))))</f>
        <v>0</v>
      </c>
      <c r="R33">
        <f>IF(E33=0,0,IF(E33&lt;38,IF(C33&lt;1998,'Satama-alukset_fx'!$M$38,'Satama-alukset_fx'!$M$39),IF(E33&lt;90,IF(C33&lt;1997,'Satama-alukset_fx'!$M$40,'Satama-alukset_fx'!$M$41),IF(E33&lt;131,IF(C33&lt;1971,'Satama-alukset_fx'!$M$42,IF(C33&lt;1979,'Satama-alukset_fx'!$M$43,IF(C33&lt;1984,'Satama-alukset_fx'!$M$44,IF(C33&lt;1987,'Satama-alukset_fx'!$M$45,IF(C33&lt;1996,'Satama-alukset_fx'!$M$46,'Satama-alukset_fx'!$M$47))))),IF(E33&lt;187,IF(C33&lt;1971,'Satama-alukset_fx'!$M$48,IF(C33&lt;1979,'Satama-alukset_fx'!$M$49,IF(C33&lt;1984,'Satama-alukset_fx'!$M$50,IF(C33&lt;1987,'Satama-alukset_fx'!$M$51,IF(C33&lt;1995,'Satama-alukset_fx'!$M$52,'Satama-alukset_fx'!$M$53))))),IF(E33&lt;560,IF(C33&lt;1971,'Satama-alukset_fx'!$M$54,IF(C33&lt;1979,'Satama-alukset_fx'!$M$55,IF(C33&lt;1984,'Satama-alukset_fx'!$M$56,IF(C33&lt;1987,'Satama-alukset_fx'!$M$57,IF(C33&lt;1995,'Satama-alukset_fx'!$M$58,'Satama-alukset_fx'!$M$59))))),IF(C33&lt;1971,'Satama-alukset_fx'!$M$60,IF(C33&lt;1979,'Satama-alukset_fx'!$M$61,IF(C33&lt;1984,'Satama-alukset_fx'!$M$62,IF(C33&lt;1987,'Satama-alukset_fx'!$M$64,IF(C33&lt;1999,'Satama-alukset_fx'!$M$65,'Satama-alukset_fx'!$M$66)))))))))))</f>
        <v>0</v>
      </c>
      <c r="S33">
        <f>IF(I33='Satama-alukset_fx'!$A$69,0,IF($D$3=2018,Energia_fx!$C$12,IF($D$3=2019,Energia_fx!$C$13,IF($D$3=2020,Energia_fx!$C$14,IF($D$3=2021,Energia_fx!$C$15,Energia_fx!$C$16)))))</f>
        <v>101</v>
      </c>
      <c r="T33">
        <f>((K33*M33*O33*Q33)+(L33*N33*P33*R33)+(H33*S33))/1000000</f>
        <v>0</v>
      </c>
    </row>
    <row r="34" spans="1:20" x14ac:dyDescent="0.25">
      <c r="A34">
        <f>'Satama-alukset'!A36</f>
        <v>0</v>
      </c>
      <c r="B34">
        <f>'Satama-alukset'!B36</f>
        <v>0</v>
      </c>
      <c r="C34">
        <f>'Satama-alukset'!C36</f>
        <v>0</v>
      </c>
      <c r="D34">
        <f>'Satama-alukset'!D36</f>
        <v>0</v>
      </c>
      <c r="E34">
        <f>'Satama-alukset'!E36</f>
        <v>0</v>
      </c>
      <c r="F34">
        <f>'Satama-alukset'!F36</f>
        <v>0</v>
      </c>
      <c r="G34">
        <f>'Satama-alukset'!G36</f>
        <v>0</v>
      </c>
      <c r="H34">
        <f>'Satama-alukset'!H36</f>
        <v>0</v>
      </c>
      <c r="I34">
        <f>'Satama-alukset'!I36</f>
        <v>0</v>
      </c>
      <c r="K34">
        <f>IF(D34="x",IF(A34='Satama-alukset_fx'!$A$30,'Satama-alukset_fx'!$B$30,IF(A34='Satama-alukset_fx'!$A$31,'Satama-alukset_fx'!$B$31,IF(A34='Satama-alukset_fx'!$A$32,'Satama-alukset_fx'!$B$32,IF(A34='Satama-alukset_fx'!$A$33,'Satama-alukset_fx'!$B$33,IF(A34='Satama-alukset_fx'!$A$34,'Satama-alukset_fx'!$B$34,IF(A34='Satama-alukset_fx'!$A$35,'Satama-alukset_fx'!$B$35,IF(A34='Satama-alukset_fx'!$A$36,'Satama-alukset_fx'!$B$36,IF(A34='Satama-alukset_fx'!$A$37,'Satama-alukset_fx'!$B$37,IF(A34='Satama-alukset_fx'!$A$38,'Satama-alukset_fx'!$B$38,0))))))))),D34)</f>
        <v>0</v>
      </c>
      <c r="L34">
        <f>IF(E34="x",IF(A34='Satama-alukset_fx'!$A$30,'Satama-alukset_fx'!$D$30,IF(A34='Satama-alukset_fx'!$A$31,'Satama-alukset_fx'!$D$31,IF(A34='Satama-alukset_fx'!$A$32,'Satama-alukset_fx'!$D$32,IF(A34='Satama-alukset_fx'!$A$33,'Satama-alukset_fx'!$D$33,IF(A34='Satama-alukset_fx'!$A$34,'Satama-alukset_fx'!$D$34,IF(A34='Satama-alukset_fx'!$A$35,'Satama-alukset_fx'!$D$35,IF(A34='Satama-alukset_fx'!$A$36,'Satama-alukset_fx'!$D$36,IF(A34='Satama-alukset_fx'!$A$37,'Satama-alukset_fx'!$D$37,IF(A34='Satama-alukset_fx'!$A$38,'Satama-alukset_fx'!$D$38,0))))))))),E34)</f>
        <v>0</v>
      </c>
      <c r="M34">
        <f>IF(A34='Satama-alukset_fx'!$A$14,'Satama-alukset_fx'!$B$14,IF(A34='Satama-alukset_fx'!$A$15,'Satama-alukset_fx'!$B$15,IF(A34='Satama-alukset_fx'!$A$16,'Satama-alukset_fx'!$B$16,IF(A34='Satama-alukset_fx'!$A$17,'Satama-alukset_fx'!$B$17,IF(A34='Satama-alukset_fx'!$A$18,'Satama-alukset_fx'!$B$18,IF(A34='Satama-alukset_fx'!$A$19,'Satama-alukset_fx'!$B$19,IF(A34='Satama-alukset_fx'!$A$20,'Satama-alukset_fx'!$B$20,IF(A34='Satama-alukset_fx'!$A$21,'Satama-alukset_fx'!$B$21,IF(A34='Satama-alukset_fx'!$A$22,'Satama-alukset_fx'!$B$22,0)))))))))</f>
        <v>0</v>
      </c>
      <c r="N34">
        <f>IF(A34='Satama-alukset_fx'!$A$14,'Satama-alukset_fx'!$C$14,IF(A34='Satama-alukset_fx'!$A$15,'Satama-alukset_fx'!$C$15,IF(A34='Satama-alukset_fx'!$A$16,'Satama-alukset_fx'!$C$16,IF(A34='Satama-alukset_fx'!$A$17,'Satama-alukset_fx'!$C$17,IF(A34='Satama-alukset_fx'!$A$18,'Satama-alukset_fx'!$C$18,IF(A34='Satama-alukset_fx'!$A$19,'Satama-alukset_fx'!$C$19,IF(A34='Satama-alukset_fx'!$A$20,'Satama-alukset_fx'!$C$20,IF(A34='Satama-alukset_fx'!$A$21,'Satama-alukset_fx'!$C$21,IF(A34='Satama-alukset_fx'!$A$22,'Satama-alukset_fx'!$C$22,0)))))))))</f>
        <v>0</v>
      </c>
      <c r="O34">
        <f>IF(F34="x",IF(A34='Satama-alukset_fx'!$A$30,'Satama-alukset_fx'!$C$30,IF(A34='Satama-alukset_fx'!$A$31,'Satama-alukset_fx'!$C$31,IF(A34='Satama-alukset_fx'!$A$32,'Satama-alukset_fx'!$C$32,IF(A34='Satama-alukset_fx'!$A$33,'Satama-alukset_fx'!$C$33,IF(A34='Satama-alukset_fx'!$A$34,'Satama-alukset_fx'!$C$34,IF(A34='Satama-alukset_fx'!$A$35,'Satama-alukset_fx'!$C$35,IF(A34='Satama-alukset_fx'!$A$36,'Satama-alukset_fx'!$C$36,IF(A34='Satama-alukset_fx'!$A$37,'Satama-alukset_fx'!$C$37,IF(A34='Satama-alukset_fx'!$A$38,'Satama-alukset_fx'!$C$38,0))))))))),F34)</f>
        <v>0</v>
      </c>
      <c r="P34">
        <f>IF(G34="x",IF(A34='Satama-alukset_fx'!$A$30,'Satama-alukset_fx'!$E$30,IF(A34='Satama-alukset_fx'!$A$31,'Satama-alukset_fx'!$E$31,IF(A34='Satama-alukset_fx'!$A$32,'Satama-alukset_fx'!$E$32,IF(A34='Satama-alukset_fx'!$A$33,'Satama-alukset_fx'!$E$33,IF(A34='Satama-alukset_fx'!$A$34,'Satama-alukset_fx'!$E$34,IF(A34='Satama-alukset_fx'!$A$35,'Satama-alukset_fx'!$E$35,IF(A34='Satama-alukset_fx'!$A$36,'Satama-alukset_fx'!$E$36,IF(A34='Satama-alukset_fx'!$A$37,'Satama-alukset_fx'!$E$37,IF(A34='Satama-alukset_fx'!$A$38,'Satama-alukset_fx'!$E$38,0))))))))),G34)</f>
        <v>0</v>
      </c>
      <c r="Q34">
        <f>IF(K34=0,0,IF(K34&lt;38,IF(C34&lt;1998,'Satama-alukset_fx'!$M$12,'Satama-alukset_fx'!$M$13),IF(K34&lt;90,IF(C34&lt;1997,'Satama-alukset_fx'!$M$14,'Satama-alukset_fx'!$M$15),IF(K34&lt;187,IF(C34&lt;1971,'Satama-alukset_fx'!$M$16,IF(C34&lt;1979,'Satama-alukset_fx'!$M$17,IF(C34&lt;1984,'Satama-alukset_fx'!$M$18,IF(C34&lt;1987,'Satama-alukset_fx'!$M$19,IF(C34&lt;1996,'Satama-alukset_fx'!$M$20,'Satama-alukset_fx'!$M$21))))),IF(K34&lt;560,IF(C34&lt;1971,'Satama-alukset_fx'!$M$22,IF(C34&lt;1979,'Satama-alukset_fx'!$M$23,IF(C34&lt;1984,'Satama-alukset_fx'!$M$24,IF(C34&lt;1987,'Satama-alukset_fx'!$M$25,IF(C34&lt;1995,'Satama-alukset_fx'!$M$26,'Satama-alukset_fx'!$M$27))))),IF(C34&lt;1971,'Satama-alukset_fx'!$M$28,IF(C34&lt;1979,'Satama-alukset_fx'!$M$29,IF(C34&lt;1984,'Satama-alukset_fx'!$M$30,IF(C34&lt;1987,'Satama-alukset_fx'!$M$31,IF(C34&lt;1999,'Satama-alukset_fx'!$M$32,'Satama-alukset_fx'!$M$33))))))))))</f>
        <v>0</v>
      </c>
      <c r="R34">
        <f>IF(E34=0,0,IF(E34&lt;38,IF(C34&lt;1998,'Satama-alukset_fx'!$M$38,'Satama-alukset_fx'!$M$39),IF(E34&lt;90,IF(C34&lt;1997,'Satama-alukset_fx'!$M$40,'Satama-alukset_fx'!$M$41),IF(E34&lt;131,IF(C34&lt;1971,'Satama-alukset_fx'!$M$42,IF(C34&lt;1979,'Satama-alukset_fx'!$M$43,IF(C34&lt;1984,'Satama-alukset_fx'!$M$44,IF(C34&lt;1987,'Satama-alukset_fx'!$M$45,IF(C34&lt;1996,'Satama-alukset_fx'!$M$46,'Satama-alukset_fx'!$M$47))))),IF(E34&lt;187,IF(C34&lt;1971,'Satama-alukset_fx'!$M$48,IF(C34&lt;1979,'Satama-alukset_fx'!$M$49,IF(C34&lt;1984,'Satama-alukset_fx'!$M$50,IF(C34&lt;1987,'Satama-alukset_fx'!$M$51,IF(C34&lt;1995,'Satama-alukset_fx'!$M$52,'Satama-alukset_fx'!$M$53))))),IF(E34&lt;560,IF(C34&lt;1971,'Satama-alukset_fx'!$M$54,IF(C34&lt;1979,'Satama-alukset_fx'!$M$55,IF(C34&lt;1984,'Satama-alukset_fx'!$M$56,IF(C34&lt;1987,'Satama-alukset_fx'!$M$57,IF(C34&lt;1995,'Satama-alukset_fx'!$M$58,'Satama-alukset_fx'!$M$59))))),IF(C34&lt;1971,'Satama-alukset_fx'!$M$60,IF(C34&lt;1979,'Satama-alukset_fx'!$M$61,IF(C34&lt;1984,'Satama-alukset_fx'!$M$62,IF(C34&lt;1987,'Satama-alukset_fx'!$M$64,IF(C34&lt;1999,'Satama-alukset_fx'!$M$65,'Satama-alukset_fx'!$M$66)))))))))))</f>
        <v>0</v>
      </c>
      <c r="S34">
        <f>IF(I34='Satama-alukset_fx'!$A$69,0,IF($D$3=2018,Energia_fx!$C$12,IF($D$3=2019,Energia_fx!$C$13,IF($D$3=2020,Energia_fx!$C$14,IF($D$3=2021,Energia_fx!$C$15,Energia_fx!$C$16)))))</f>
        <v>101</v>
      </c>
      <c r="T34">
        <f>((K34*M34*O34*Q34)+(L34*N34*P34*R34)+(H34*S34))/1000000</f>
        <v>0</v>
      </c>
    </row>
    <row r="35" spans="1:20" x14ac:dyDescent="0.25">
      <c r="A35">
        <f>'Satama-alukset'!A37</f>
        <v>0</v>
      </c>
      <c r="B35">
        <f>'Satama-alukset'!B37</f>
        <v>0</v>
      </c>
      <c r="C35">
        <f>'Satama-alukset'!C37</f>
        <v>0</v>
      </c>
      <c r="D35">
        <f>'Satama-alukset'!D37</f>
        <v>0</v>
      </c>
      <c r="E35">
        <f>'Satama-alukset'!E37</f>
        <v>0</v>
      </c>
      <c r="F35">
        <f>'Satama-alukset'!F37</f>
        <v>0</v>
      </c>
      <c r="G35">
        <f>'Satama-alukset'!G37</f>
        <v>0</v>
      </c>
      <c r="H35">
        <f>'Satama-alukset'!H37</f>
        <v>0</v>
      </c>
      <c r="I35">
        <f>'Satama-alukset'!I37</f>
        <v>0</v>
      </c>
      <c r="K35">
        <f>IF(D35="x",IF(A35='Satama-alukset_fx'!$A$30,'Satama-alukset_fx'!$B$30,IF(A35='Satama-alukset_fx'!$A$31,'Satama-alukset_fx'!$B$31,IF(A35='Satama-alukset_fx'!$A$32,'Satama-alukset_fx'!$B$32,IF(A35='Satama-alukset_fx'!$A$33,'Satama-alukset_fx'!$B$33,IF(A35='Satama-alukset_fx'!$A$34,'Satama-alukset_fx'!$B$34,IF(A35='Satama-alukset_fx'!$A$35,'Satama-alukset_fx'!$B$35,IF(A35='Satama-alukset_fx'!$A$36,'Satama-alukset_fx'!$B$36,IF(A35='Satama-alukset_fx'!$A$37,'Satama-alukset_fx'!$B$37,IF(A35='Satama-alukset_fx'!$A$38,'Satama-alukset_fx'!$B$38,0))))))))),D35)</f>
        <v>0</v>
      </c>
      <c r="L35">
        <f>IF(E35="x",IF(A35='Satama-alukset_fx'!$A$30,'Satama-alukset_fx'!$D$30,IF(A35='Satama-alukset_fx'!$A$31,'Satama-alukset_fx'!$D$31,IF(A35='Satama-alukset_fx'!$A$32,'Satama-alukset_fx'!$D$32,IF(A35='Satama-alukset_fx'!$A$33,'Satama-alukset_fx'!$D$33,IF(A35='Satama-alukset_fx'!$A$34,'Satama-alukset_fx'!$D$34,IF(A35='Satama-alukset_fx'!$A$35,'Satama-alukset_fx'!$D$35,IF(A35='Satama-alukset_fx'!$A$36,'Satama-alukset_fx'!$D$36,IF(A35='Satama-alukset_fx'!$A$37,'Satama-alukset_fx'!$D$37,IF(A35='Satama-alukset_fx'!$A$38,'Satama-alukset_fx'!$D$38,0))))))))),E35)</f>
        <v>0</v>
      </c>
      <c r="M35">
        <f>IF(A35='Satama-alukset_fx'!$A$14,'Satama-alukset_fx'!$B$14,IF(A35='Satama-alukset_fx'!$A$15,'Satama-alukset_fx'!$B$15,IF(A35='Satama-alukset_fx'!$A$16,'Satama-alukset_fx'!$B$16,IF(A35='Satama-alukset_fx'!$A$17,'Satama-alukset_fx'!$B$17,IF(A35='Satama-alukset_fx'!$A$18,'Satama-alukset_fx'!$B$18,IF(A35='Satama-alukset_fx'!$A$19,'Satama-alukset_fx'!$B$19,IF(A35='Satama-alukset_fx'!$A$20,'Satama-alukset_fx'!$B$20,IF(A35='Satama-alukset_fx'!$A$21,'Satama-alukset_fx'!$B$21,IF(A35='Satama-alukset_fx'!$A$22,'Satama-alukset_fx'!$B$22,0)))))))))</f>
        <v>0</v>
      </c>
      <c r="N35">
        <f>IF(A35='Satama-alukset_fx'!$A$14,'Satama-alukset_fx'!$C$14,IF(A35='Satama-alukset_fx'!$A$15,'Satama-alukset_fx'!$C$15,IF(A35='Satama-alukset_fx'!$A$16,'Satama-alukset_fx'!$C$16,IF(A35='Satama-alukset_fx'!$A$17,'Satama-alukset_fx'!$C$17,IF(A35='Satama-alukset_fx'!$A$18,'Satama-alukset_fx'!$C$18,IF(A35='Satama-alukset_fx'!$A$19,'Satama-alukset_fx'!$C$19,IF(A35='Satama-alukset_fx'!$A$20,'Satama-alukset_fx'!$C$20,IF(A35='Satama-alukset_fx'!$A$21,'Satama-alukset_fx'!$C$21,IF(A35='Satama-alukset_fx'!$A$22,'Satama-alukset_fx'!$C$22,0)))))))))</f>
        <v>0</v>
      </c>
      <c r="O35">
        <f>IF(F35="x",IF(A35='Satama-alukset_fx'!$A$30,'Satama-alukset_fx'!$C$30,IF(A35='Satama-alukset_fx'!$A$31,'Satama-alukset_fx'!$C$31,IF(A35='Satama-alukset_fx'!$A$32,'Satama-alukset_fx'!$C$32,IF(A35='Satama-alukset_fx'!$A$33,'Satama-alukset_fx'!$C$33,IF(A35='Satama-alukset_fx'!$A$34,'Satama-alukset_fx'!$C$34,IF(A35='Satama-alukset_fx'!$A$35,'Satama-alukset_fx'!$C$35,IF(A35='Satama-alukset_fx'!$A$36,'Satama-alukset_fx'!$C$36,IF(A35='Satama-alukset_fx'!$A$37,'Satama-alukset_fx'!$C$37,IF(A35='Satama-alukset_fx'!$A$38,'Satama-alukset_fx'!$C$38,0))))))))),F35)</f>
        <v>0</v>
      </c>
      <c r="P35">
        <f>IF(G35="x",IF(A35='Satama-alukset_fx'!$A$30,'Satama-alukset_fx'!$E$30,IF(A35='Satama-alukset_fx'!$A$31,'Satama-alukset_fx'!$E$31,IF(A35='Satama-alukset_fx'!$A$32,'Satama-alukset_fx'!$E$32,IF(A35='Satama-alukset_fx'!$A$33,'Satama-alukset_fx'!$E$33,IF(A35='Satama-alukset_fx'!$A$34,'Satama-alukset_fx'!$E$34,IF(A35='Satama-alukset_fx'!$A$35,'Satama-alukset_fx'!$E$35,IF(A35='Satama-alukset_fx'!$A$36,'Satama-alukset_fx'!$E$36,IF(A35='Satama-alukset_fx'!$A$37,'Satama-alukset_fx'!$E$37,IF(A35='Satama-alukset_fx'!$A$38,'Satama-alukset_fx'!$E$38,0))))))))),G35)</f>
        <v>0</v>
      </c>
      <c r="Q35">
        <f>IF(K35=0,0,IF(K35&lt;38,IF(C35&lt;1998,'Satama-alukset_fx'!$M$12,'Satama-alukset_fx'!$M$13),IF(K35&lt;90,IF(C35&lt;1997,'Satama-alukset_fx'!$M$14,'Satama-alukset_fx'!$M$15),IF(K35&lt;187,IF(C35&lt;1971,'Satama-alukset_fx'!$M$16,IF(C35&lt;1979,'Satama-alukset_fx'!$M$17,IF(C35&lt;1984,'Satama-alukset_fx'!$M$18,IF(C35&lt;1987,'Satama-alukset_fx'!$M$19,IF(C35&lt;1996,'Satama-alukset_fx'!$M$20,'Satama-alukset_fx'!$M$21))))),IF(K35&lt;560,IF(C35&lt;1971,'Satama-alukset_fx'!$M$22,IF(C35&lt;1979,'Satama-alukset_fx'!$M$23,IF(C35&lt;1984,'Satama-alukset_fx'!$M$24,IF(C35&lt;1987,'Satama-alukset_fx'!$M$25,IF(C35&lt;1995,'Satama-alukset_fx'!$M$26,'Satama-alukset_fx'!$M$27))))),IF(C35&lt;1971,'Satama-alukset_fx'!$M$28,IF(C35&lt;1979,'Satama-alukset_fx'!$M$29,IF(C35&lt;1984,'Satama-alukset_fx'!$M$30,IF(C35&lt;1987,'Satama-alukset_fx'!$M$31,IF(C35&lt;1999,'Satama-alukset_fx'!$M$32,'Satama-alukset_fx'!$M$33))))))))))</f>
        <v>0</v>
      </c>
      <c r="R35">
        <f>IF(E35=0,0,IF(E35&lt;38,IF(C35&lt;1998,'Satama-alukset_fx'!$M$38,'Satama-alukset_fx'!$M$39),IF(E35&lt;90,IF(C35&lt;1997,'Satama-alukset_fx'!$M$40,'Satama-alukset_fx'!$M$41),IF(E35&lt;131,IF(C35&lt;1971,'Satama-alukset_fx'!$M$42,IF(C35&lt;1979,'Satama-alukset_fx'!$M$43,IF(C35&lt;1984,'Satama-alukset_fx'!$M$44,IF(C35&lt;1987,'Satama-alukset_fx'!$M$45,IF(C35&lt;1996,'Satama-alukset_fx'!$M$46,'Satama-alukset_fx'!$M$47))))),IF(E35&lt;187,IF(C35&lt;1971,'Satama-alukset_fx'!$M$48,IF(C35&lt;1979,'Satama-alukset_fx'!$M$49,IF(C35&lt;1984,'Satama-alukset_fx'!$M$50,IF(C35&lt;1987,'Satama-alukset_fx'!$M$51,IF(C35&lt;1995,'Satama-alukset_fx'!$M$52,'Satama-alukset_fx'!$M$53))))),IF(E35&lt;560,IF(C35&lt;1971,'Satama-alukset_fx'!$M$54,IF(C35&lt;1979,'Satama-alukset_fx'!$M$55,IF(C35&lt;1984,'Satama-alukset_fx'!$M$56,IF(C35&lt;1987,'Satama-alukset_fx'!$M$57,IF(C35&lt;1995,'Satama-alukset_fx'!$M$58,'Satama-alukset_fx'!$M$59))))),IF(C35&lt;1971,'Satama-alukset_fx'!$M$60,IF(C35&lt;1979,'Satama-alukset_fx'!$M$61,IF(C35&lt;1984,'Satama-alukset_fx'!$M$62,IF(C35&lt;1987,'Satama-alukset_fx'!$M$64,IF(C35&lt;1999,'Satama-alukset_fx'!$M$65,'Satama-alukset_fx'!$M$66)))))))))))</f>
        <v>0</v>
      </c>
      <c r="S35">
        <f>IF(I35='Satama-alukset_fx'!$A$69,0,IF($D$3=2018,Energia_fx!$C$12,IF($D$3=2019,Energia_fx!$C$13,IF($D$3=2020,Energia_fx!$C$14,IF($D$3=2021,Energia_fx!$C$15,Energia_fx!$C$16)))))</f>
        <v>101</v>
      </c>
      <c r="T35">
        <f t="shared" ref="T35:T39" si="2">((K35*M35*O35*Q35)+(L35*N35*P35*R35)+(H35*S35))/1000000</f>
        <v>0</v>
      </c>
    </row>
    <row r="36" spans="1:20" x14ac:dyDescent="0.25">
      <c r="A36">
        <f>'Satama-alukset'!A38</f>
        <v>0</v>
      </c>
      <c r="B36">
        <f>'Satama-alukset'!B38</f>
        <v>0</v>
      </c>
      <c r="C36">
        <f>'Satama-alukset'!C38</f>
        <v>0</v>
      </c>
      <c r="D36">
        <f>'Satama-alukset'!D38</f>
        <v>0</v>
      </c>
      <c r="E36">
        <f>'Satama-alukset'!E38</f>
        <v>0</v>
      </c>
      <c r="F36">
        <f>'Satama-alukset'!F38</f>
        <v>0</v>
      </c>
      <c r="G36">
        <f>'Satama-alukset'!G38</f>
        <v>0</v>
      </c>
      <c r="H36">
        <f>'Satama-alukset'!H38</f>
        <v>0</v>
      </c>
      <c r="I36">
        <f>'Satama-alukset'!I38</f>
        <v>0</v>
      </c>
      <c r="K36">
        <f>IF(D36="x",IF(A36='Satama-alukset_fx'!$A$30,'Satama-alukset_fx'!$B$30,IF(A36='Satama-alukset_fx'!$A$31,'Satama-alukset_fx'!$B$31,IF(A36='Satama-alukset_fx'!$A$32,'Satama-alukset_fx'!$B$32,IF(A36='Satama-alukset_fx'!$A$33,'Satama-alukset_fx'!$B$33,IF(A36='Satama-alukset_fx'!$A$34,'Satama-alukset_fx'!$B$34,IF(A36='Satama-alukset_fx'!$A$35,'Satama-alukset_fx'!$B$35,IF(A36='Satama-alukset_fx'!$A$36,'Satama-alukset_fx'!$B$36,IF(A36='Satama-alukset_fx'!$A$37,'Satama-alukset_fx'!$B$37,IF(A36='Satama-alukset_fx'!$A$38,'Satama-alukset_fx'!$B$38,0))))))))),D36)</f>
        <v>0</v>
      </c>
      <c r="L36">
        <f>IF(E36="x",IF(A36='Satama-alukset_fx'!$A$30,'Satama-alukset_fx'!$D$30,IF(A36='Satama-alukset_fx'!$A$31,'Satama-alukset_fx'!$D$31,IF(A36='Satama-alukset_fx'!$A$32,'Satama-alukset_fx'!$D$32,IF(A36='Satama-alukset_fx'!$A$33,'Satama-alukset_fx'!$D$33,IF(A36='Satama-alukset_fx'!$A$34,'Satama-alukset_fx'!$D$34,IF(A36='Satama-alukset_fx'!$A$35,'Satama-alukset_fx'!$D$35,IF(A36='Satama-alukset_fx'!$A$36,'Satama-alukset_fx'!$D$36,IF(A36='Satama-alukset_fx'!$A$37,'Satama-alukset_fx'!$D$37,IF(A36='Satama-alukset_fx'!$A$38,'Satama-alukset_fx'!$D$38,0))))))))),E36)</f>
        <v>0</v>
      </c>
      <c r="M36">
        <f>IF(A36='Satama-alukset_fx'!$A$14,'Satama-alukset_fx'!$B$14,IF(A36='Satama-alukset_fx'!$A$15,'Satama-alukset_fx'!$B$15,IF(A36='Satama-alukset_fx'!$A$16,'Satama-alukset_fx'!$B$16,IF(A36='Satama-alukset_fx'!$A$17,'Satama-alukset_fx'!$B$17,IF(A36='Satama-alukset_fx'!$A$18,'Satama-alukset_fx'!$B$18,IF(A36='Satama-alukset_fx'!$A$19,'Satama-alukset_fx'!$B$19,IF(A36='Satama-alukset_fx'!$A$20,'Satama-alukset_fx'!$B$20,IF(A36='Satama-alukset_fx'!$A$21,'Satama-alukset_fx'!$B$21,IF(A36='Satama-alukset_fx'!$A$22,'Satama-alukset_fx'!$B$22,0)))))))))</f>
        <v>0</v>
      </c>
      <c r="N36">
        <f>IF(A36='Satama-alukset_fx'!$A$14,'Satama-alukset_fx'!$C$14,IF(A36='Satama-alukset_fx'!$A$15,'Satama-alukset_fx'!$C$15,IF(A36='Satama-alukset_fx'!$A$16,'Satama-alukset_fx'!$C$16,IF(A36='Satama-alukset_fx'!$A$17,'Satama-alukset_fx'!$C$17,IF(A36='Satama-alukset_fx'!$A$18,'Satama-alukset_fx'!$C$18,IF(A36='Satama-alukset_fx'!$A$19,'Satama-alukset_fx'!$C$19,IF(A36='Satama-alukset_fx'!$A$20,'Satama-alukset_fx'!$C$20,IF(A36='Satama-alukset_fx'!$A$21,'Satama-alukset_fx'!$C$21,IF(A36='Satama-alukset_fx'!$A$22,'Satama-alukset_fx'!$C$22,0)))))))))</f>
        <v>0</v>
      </c>
      <c r="O36">
        <f>IF(F36="x",IF(A36='Satama-alukset_fx'!$A$30,'Satama-alukset_fx'!$C$30,IF(A36='Satama-alukset_fx'!$A$31,'Satama-alukset_fx'!$C$31,IF(A36='Satama-alukset_fx'!$A$32,'Satama-alukset_fx'!$C$32,IF(A36='Satama-alukset_fx'!$A$33,'Satama-alukset_fx'!$C$33,IF(A36='Satama-alukset_fx'!$A$34,'Satama-alukset_fx'!$C$34,IF(A36='Satama-alukset_fx'!$A$35,'Satama-alukset_fx'!$C$35,IF(A36='Satama-alukset_fx'!$A$36,'Satama-alukset_fx'!$C$36,IF(A36='Satama-alukset_fx'!$A$37,'Satama-alukset_fx'!$C$37,IF(A36='Satama-alukset_fx'!$A$38,'Satama-alukset_fx'!$C$38,0))))))))),F36)</f>
        <v>0</v>
      </c>
      <c r="P36">
        <f>IF(G36="x",IF(A36='Satama-alukset_fx'!$A$30,'Satama-alukset_fx'!$E$30,IF(A36='Satama-alukset_fx'!$A$31,'Satama-alukset_fx'!$E$31,IF(A36='Satama-alukset_fx'!$A$32,'Satama-alukset_fx'!$E$32,IF(A36='Satama-alukset_fx'!$A$33,'Satama-alukset_fx'!$E$33,IF(A36='Satama-alukset_fx'!$A$34,'Satama-alukset_fx'!$E$34,IF(A36='Satama-alukset_fx'!$A$35,'Satama-alukset_fx'!$E$35,IF(A36='Satama-alukset_fx'!$A$36,'Satama-alukset_fx'!$E$36,IF(A36='Satama-alukset_fx'!$A$37,'Satama-alukset_fx'!$E$37,IF(A36='Satama-alukset_fx'!$A$38,'Satama-alukset_fx'!$E$38,0))))))))),G36)</f>
        <v>0</v>
      </c>
      <c r="Q36">
        <f>IF(K36=0,0,IF(K36&lt;38,IF(C36&lt;1998,'Satama-alukset_fx'!$M$12,'Satama-alukset_fx'!$M$13),IF(K36&lt;90,IF(C36&lt;1997,'Satama-alukset_fx'!$M$14,'Satama-alukset_fx'!$M$15),IF(K36&lt;187,IF(C36&lt;1971,'Satama-alukset_fx'!$M$16,IF(C36&lt;1979,'Satama-alukset_fx'!$M$17,IF(C36&lt;1984,'Satama-alukset_fx'!$M$18,IF(C36&lt;1987,'Satama-alukset_fx'!$M$19,IF(C36&lt;1996,'Satama-alukset_fx'!$M$20,'Satama-alukset_fx'!$M$21))))),IF(K36&lt;560,IF(C36&lt;1971,'Satama-alukset_fx'!$M$22,IF(C36&lt;1979,'Satama-alukset_fx'!$M$23,IF(C36&lt;1984,'Satama-alukset_fx'!$M$24,IF(C36&lt;1987,'Satama-alukset_fx'!$M$25,IF(C36&lt;1995,'Satama-alukset_fx'!$M$26,'Satama-alukset_fx'!$M$27))))),IF(C36&lt;1971,'Satama-alukset_fx'!$M$28,IF(C36&lt;1979,'Satama-alukset_fx'!$M$29,IF(C36&lt;1984,'Satama-alukset_fx'!$M$30,IF(C36&lt;1987,'Satama-alukset_fx'!$M$31,IF(C36&lt;1999,'Satama-alukset_fx'!$M$32,'Satama-alukset_fx'!$M$33))))))))))</f>
        <v>0</v>
      </c>
      <c r="R36">
        <f>IF(E36=0,0,IF(E36&lt;38,IF(C36&lt;1998,'Satama-alukset_fx'!$M$38,'Satama-alukset_fx'!$M$39),IF(E36&lt;90,IF(C36&lt;1997,'Satama-alukset_fx'!$M$40,'Satama-alukset_fx'!$M$41),IF(E36&lt;131,IF(C36&lt;1971,'Satama-alukset_fx'!$M$42,IF(C36&lt;1979,'Satama-alukset_fx'!$M$43,IF(C36&lt;1984,'Satama-alukset_fx'!$M$44,IF(C36&lt;1987,'Satama-alukset_fx'!$M$45,IF(C36&lt;1996,'Satama-alukset_fx'!$M$46,'Satama-alukset_fx'!$M$47))))),IF(E36&lt;187,IF(C36&lt;1971,'Satama-alukset_fx'!$M$48,IF(C36&lt;1979,'Satama-alukset_fx'!$M$49,IF(C36&lt;1984,'Satama-alukset_fx'!$M$50,IF(C36&lt;1987,'Satama-alukset_fx'!$M$51,IF(C36&lt;1995,'Satama-alukset_fx'!$M$52,'Satama-alukset_fx'!$M$53))))),IF(E36&lt;560,IF(C36&lt;1971,'Satama-alukset_fx'!$M$54,IF(C36&lt;1979,'Satama-alukset_fx'!$M$55,IF(C36&lt;1984,'Satama-alukset_fx'!$M$56,IF(C36&lt;1987,'Satama-alukset_fx'!$M$57,IF(C36&lt;1995,'Satama-alukset_fx'!$M$58,'Satama-alukset_fx'!$M$59))))),IF(C36&lt;1971,'Satama-alukset_fx'!$M$60,IF(C36&lt;1979,'Satama-alukset_fx'!$M$61,IF(C36&lt;1984,'Satama-alukset_fx'!$M$62,IF(C36&lt;1987,'Satama-alukset_fx'!$M$64,IF(C36&lt;1999,'Satama-alukset_fx'!$M$65,'Satama-alukset_fx'!$M$66)))))))))))</f>
        <v>0</v>
      </c>
      <c r="S36">
        <f>IF(I36='Satama-alukset_fx'!$A$69,0,IF($D$3=2018,Energia_fx!$C$12,IF($D$3=2019,Energia_fx!$C$13,IF($D$3=2020,Energia_fx!$C$14,IF($D$3=2021,Energia_fx!$C$15,Energia_fx!$C$16)))))</f>
        <v>101</v>
      </c>
      <c r="T36">
        <f t="shared" si="2"/>
        <v>0</v>
      </c>
    </row>
    <row r="37" spans="1:20" x14ac:dyDescent="0.25">
      <c r="A37">
        <f>'Satama-alukset'!A39</f>
        <v>0</v>
      </c>
      <c r="B37">
        <f>'Satama-alukset'!B39</f>
        <v>0</v>
      </c>
      <c r="C37">
        <f>'Satama-alukset'!C39</f>
        <v>0</v>
      </c>
      <c r="D37">
        <f>'Satama-alukset'!D39</f>
        <v>0</v>
      </c>
      <c r="E37">
        <f>'Satama-alukset'!E39</f>
        <v>0</v>
      </c>
      <c r="F37">
        <f>'Satama-alukset'!F39</f>
        <v>0</v>
      </c>
      <c r="G37">
        <f>'Satama-alukset'!G39</f>
        <v>0</v>
      </c>
      <c r="H37">
        <f>'Satama-alukset'!H39</f>
        <v>0</v>
      </c>
      <c r="I37">
        <f>'Satama-alukset'!I39</f>
        <v>0</v>
      </c>
      <c r="K37">
        <f>IF(D37="x",IF(A37='Satama-alukset_fx'!$A$30,'Satama-alukset_fx'!$B$30,IF(A37='Satama-alukset_fx'!$A$31,'Satama-alukset_fx'!$B$31,IF(A37='Satama-alukset_fx'!$A$32,'Satama-alukset_fx'!$B$32,IF(A37='Satama-alukset_fx'!$A$33,'Satama-alukset_fx'!$B$33,IF(A37='Satama-alukset_fx'!$A$34,'Satama-alukset_fx'!$B$34,IF(A37='Satama-alukset_fx'!$A$35,'Satama-alukset_fx'!$B$35,IF(A37='Satama-alukset_fx'!$A$36,'Satama-alukset_fx'!$B$36,IF(A37='Satama-alukset_fx'!$A$37,'Satama-alukset_fx'!$B$37,IF(A37='Satama-alukset_fx'!$A$38,'Satama-alukset_fx'!$B$38,0))))))))),D37)</f>
        <v>0</v>
      </c>
      <c r="L37">
        <f>IF(E37="x",IF(A37='Satama-alukset_fx'!$A$30,'Satama-alukset_fx'!$D$30,IF(A37='Satama-alukset_fx'!$A$31,'Satama-alukset_fx'!$D$31,IF(A37='Satama-alukset_fx'!$A$32,'Satama-alukset_fx'!$D$32,IF(A37='Satama-alukset_fx'!$A$33,'Satama-alukset_fx'!$D$33,IF(A37='Satama-alukset_fx'!$A$34,'Satama-alukset_fx'!$D$34,IF(A37='Satama-alukset_fx'!$A$35,'Satama-alukset_fx'!$D$35,IF(A37='Satama-alukset_fx'!$A$36,'Satama-alukset_fx'!$D$36,IF(A37='Satama-alukset_fx'!$A$37,'Satama-alukset_fx'!$D$37,IF(A37='Satama-alukset_fx'!$A$38,'Satama-alukset_fx'!$D$38,0))))))))),E37)</f>
        <v>0</v>
      </c>
      <c r="M37">
        <f>IF(A37='Satama-alukset_fx'!$A$14,'Satama-alukset_fx'!$B$14,IF(A37='Satama-alukset_fx'!$A$15,'Satama-alukset_fx'!$B$15,IF(A37='Satama-alukset_fx'!$A$16,'Satama-alukset_fx'!$B$16,IF(A37='Satama-alukset_fx'!$A$17,'Satama-alukset_fx'!$B$17,IF(A37='Satama-alukset_fx'!$A$18,'Satama-alukset_fx'!$B$18,IF(A37='Satama-alukset_fx'!$A$19,'Satama-alukset_fx'!$B$19,IF(A37='Satama-alukset_fx'!$A$20,'Satama-alukset_fx'!$B$20,IF(A37='Satama-alukset_fx'!$A$21,'Satama-alukset_fx'!$B$21,IF(A37='Satama-alukset_fx'!$A$22,'Satama-alukset_fx'!$B$22,0)))))))))</f>
        <v>0</v>
      </c>
      <c r="N37">
        <f>IF(A37='Satama-alukset_fx'!$A$14,'Satama-alukset_fx'!$C$14,IF(A37='Satama-alukset_fx'!$A$15,'Satama-alukset_fx'!$C$15,IF(A37='Satama-alukset_fx'!$A$16,'Satama-alukset_fx'!$C$16,IF(A37='Satama-alukset_fx'!$A$17,'Satama-alukset_fx'!$C$17,IF(A37='Satama-alukset_fx'!$A$18,'Satama-alukset_fx'!$C$18,IF(A37='Satama-alukset_fx'!$A$19,'Satama-alukset_fx'!$C$19,IF(A37='Satama-alukset_fx'!$A$20,'Satama-alukset_fx'!$C$20,IF(A37='Satama-alukset_fx'!$A$21,'Satama-alukset_fx'!$C$21,IF(A37='Satama-alukset_fx'!$A$22,'Satama-alukset_fx'!$C$22,0)))))))))</f>
        <v>0</v>
      </c>
      <c r="O37">
        <f>IF(F37="x",IF(A37='Satama-alukset_fx'!$A$30,'Satama-alukset_fx'!$C$30,IF(A37='Satama-alukset_fx'!$A$31,'Satama-alukset_fx'!$C$31,IF(A37='Satama-alukset_fx'!$A$32,'Satama-alukset_fx'!$C$32,IF(A37='Satama-alukset_fx'!$A$33,'Satama-alukset_fx'!$C$33,IF(A37='Satama-alukset_fx'!$A$34,'Satama-alukset_fx'!$C$34,IF(A37='Satama-alukset_fx'!$A$35,'Satama-alukset_fx'!$C$35,IF(A37='Satama-alukset_fx'!$A$36,'Satama-alukset_fx'!$C$36,IF(A37='Satama-alukset_fx'!$A$37,'Satama-alukset_fx'!$C$37,IF(A37='Satama-alukset_fx'!$A$38,'Satama-alukset_fx'!$C$38,0))))))))),F37)</f>
        <v>0</v>
      </c>
      <c r="P37">
        <f>IF(G37="x",IF(A37='Satama-alukset_fx'!$A$30,'Satama-alukset_fx'!$E$30,IF(A37='Satama-alukset_fx'!$A$31,'Satama-alukset_fx'!$E$31,IF(A37='Satama-alukset_fx'!$A$32,'Satama-alukset_fx'!$E$32,IF(A37='Satama-alukset_fx'!$A$33,'Satama-alukset_fx'!$E$33,IF(A37='Satama-alukset_fx'!$A$34,'Satama-alukset_fx'!$E$34,IF(A37='Satama-alukset_fx'!$A$35,'Satama-alukset_fx'!$E$35,IF(A37='Satama-alukset_fx'!$A$36,'Satama-alukset_fx'!$E$36,IF(A37='Satama-alukset_fx'!$A$37,'Satama-alukset_fx'!$E$37,IF(A37='Satama-alukset_fx'!$A$38,'Satama-alukset_fx'!$E$38,0))))))))),G37)</f>
        <v>0</v>
      </c>
      <c r="Q37">
        <f>IF(K37=0,0,IF(K37&lt;38,IF(C37&lt;1998,'Satama-alukset_fx'!$M$12,'Satama-alukset_fx'!$M$13),IF(K37&lt;90,IF(C37&lt;1997,'Satama-alukset_fx'!$M$14,'Satama-alukset_fx'!$M$15),IF(K37&lt;187,IF(C37&lt;1971,'Satama-alukset_fx'!$M$16,IF(C37&lt;1979,'Satama-alukset_fx'!$M$17,IF(C37&lt;1984,'Satama-alukset_fx'!$M$18,IF(C37&lt;1987,'Satama-alukset_fx'!$M$19,IF(C37&lt;1996,'Satama-alukset_fx'!$M$20,'Satama-alukset_fx'!$M$21))))),IF(K37&lt;560,IF(C37&lt;1971,'Satama-alukset_fx'!$M$22,IF(C37&lt;1979,'Satama-alukset_fx'!$M$23,IF(C37&lt;1984,'Satama-alukset_fx'!$M$24,IF(C37&lt;1987,'Satama-alukset_fx'!$M$25,IF(C37&lt;1995,'Satama-alukset_fx'!$M$26,'Satama-alukset_fx'!$M$27))))),IF(C37&lt;1971,'Satama-alukset_fx'!$M$28,IF(C37&lt;1979,'Satama-alukset_fx'!$M$29,IF(C37&lt;1984,'Satama-alukset_fx'!$M$30,IF(C37&lt;1987,'Satama-alukset_fx'!$M$31,IF(C37&lt;1999,'Satama-alukset_fx'!$M$32,'Satama-alukset_fx'!$M$33))))))))))</f>
        <v>0</v>
      </c>
      <c r="R37">
        <f>IF(E37=0,0,IF(E37&lt;38,IF(C37&lt;1998,'Satama-alukset_fx'!$M$38,'Satama-alukset_fx'!$M$39),IF(E37&lt;90,IF(C37&lt;1997,'Satama-alukset_fx'!$M$40,'Satama-alukset_fx'!$M$41),IF(E37&lt;131,IF(C37&lt;1971,'Satama-alukset_fx'!$M$42,IF(C37&lt;1979,'Satama-alukset_fx'!$M$43,IF(C37&lt;1984,'Satama-alukset_fx'!$M$44,IF(C37&lt;1987,'Satama-alukset_fx'!$M$45,IF(C37&lt;1996,'Satama-alukset_fx'!$M$46,'Satama-alukset_fx'!$M$47))))),IF(E37&lt;187,IF(C37&lt;1971,'Satama-alukset_fx'!$M$48,IF(C37&lt;1979,'Satama-alukset_fx'!$M$49,IF(C37&lt;1984,'Satama-alukset_fx'!$M$50,IF(C37&lt;1987,'Satama-alukset_fx'!$M$51,IF(C37&lt;1995,'Satama-alukset_fx'!$M$52,'Satama-alukset_fx'!$M$53))))),IF(E37&lt;560,IF(C37&lt;1971,'Satama-alukset_fx'!$M$54,IF(C37&lt;1979,'Satama-alukset_fx'!$M$55,IF(C37&lt;1984,'Satama-alukset_fx'!$M$56,IF(C37&lt;1987,'Satama-alukset_fx'!$M$57,IF(C37&lt;1995,'Satama-alukset_fx'!$M$58,'Satama-alukset_fx'!$M$59))))),IF(C37&lt;1971,'Satama-alukset_fx'!$M$60,IF(C37&lt;1979,'Satama-alukset_fx'!$M$61,IF(C37&lt;1984,'Satama-alukset_fx'!$M$62,IF(C37&lt;1987,'Satama-alukset_fx'!$M$64,IF(C37&lt;1999,'Satama-alukset_fx'!$M$65,'Satama-alukset_fx'!$M$66)))))))))))</f>
        <v>0</v>
      </c>
      <c r="S37">
        <f>IF(I37='Satama-alukset_fx'!$A$69,0,IF($D$3=2018,Energia_fx!$C$12,IF($D$3=2019,Energia_fx!$C$13,IF($D$3=2020,Energia_fx!$C$14,IF($D$3=2021,Energia_fx!$C$15,Energia_fx!$C$16)))))</f>
        <v>101</v>
      </c>
      <c r="T37">
        <f t="shared" si="2"/>
        <v>0</v>
      </c>
    </row>
    <row r="38" spans="1:20" x14ac:dyDescent="0.25">
      <c r="A38">
        <f>'Satama-alukset'!A40</f>
        <v>0</v>
      </c>
      <c r="B38">
        <f>'Satama-alukset'!B40</f>
        <v>0</v>
      </c>
      <c r="C38">
        <f>'Satama-alukset'!C40</f>
        <v>0</v>
      </c>
      <c r="D38">
        <f>'Satama-alukset'!D40</f>
        <v>0</v>
      </c>
      <c r="E38">
        <f>'Satama-alukset'!E40</f>
        <v>0</v>
      </c>
      <c r="F38">
        <f>'Satama-alukset'!F40</f>
        <v>0</v>
      </c>
      <c r="G38">
        <f>'Satama-alukset'!G40</f>
        <v>0</v>
      </c>
      <c r="H38">
        <f>'Satama-alukset'!H40</f>
        <v>0</v>
      </c>
      <c r="I38">
        <f>'Satama-alukset'!I40</f>
        <v>0</v>
      </c>
      <c r="K38">
        <f>IF(D38="x",IF(A38='Satama-alukset_fx'!$A$30,'Satama-alukset_fx'!$B$30,IF(A38='Satama-alukset_fx'!$A$31,'Satama-alukset_fx'!$B$31,IF(A38='Satama-alukset_fx'!$A$32,'Satama-alukset_fx'!$B$32,IF(A38='Satama-alukset_fx'!$A$33,'Satama-alukset_fx'!$B$33,IF(A38='Satama-alukset_fx'!$A$34,'Satama-alukset_fx'!$B$34,IF(A38='Satama-alukset_fx'!$A$35,'Satama-alukset_fx'!$B$35,IF(A38='Satama-alukset_fx'!$A$36,'Satama-alukset_fx'!$B$36,IF(A38='Satama-alukset_fx'!$A$37,'Satama-alukset_fx'!$B$37,IF(A38='Satama-alukset_fx'!$A$38,'Satama-alukset_fx'!$B$38,0))))))))),D38)</f>
        <v>0</v>
      </c>
      <c r="L38">
        <f>IF(E38="x",IF(A38='Satama-alukset_fx'!$A$30,'Satama-alukset_fx'!$D$30,IF(A38='Satama-alukset_fx'!$A$31,'Satama-alukset_fx'!$D$31,IF(A38='Satama-alukset_fx'!$A$32,'Satama-alukset_fx'!$D$32,IF(A38='Satama-alukset_fx'!$A$33,'Satama-alukset_fx'!$D$33,IF(A38='Satama-alukset_fx'!$A$34,'Satama-alukset_fx'!$D$34,IF(A38='Satama-alukset_fx'!$A$35,'Satama-alukset_fx'!$D$35,IF(A38='Satama-alukset_fx'!$A$36,'Satama-alukset_fx'!$D$36,IF(A38='Satama-alukset_fx'!$A$37,'Satama-alukset_fx'!$D$37,IF(A38='Satama-alukset_fx'!$A$38,'Satama-alukset_fx'!$D$38,0))))))))),E38)</f>
        <v>0</v>
      </c>
      <c r="M38">
        <f>IF(A38='Satama-alukset_fx'!$A$14,'Satama-alukset_fx'!$B$14,IF(A38='Satama-alukset_fx'!$A$15,'Satama-alukset_fx'!$B$15,IF(A38='Satama-alukset_fx'!$A$16,'Satama-alukset_fx'!$B$16,IF(A38='Satama-alukset_fx'!$A$17,'Satama-alukset_fx'!$B$17,IF(A38='Satama-alukset_fx'!$A$18,'Satama-alukset_fx'!$B$18,IF(A38='Satama-alukset_fx'!$A$19,'Satama-alukset_fx'!$B$19,IF(A38='Satama-alukset_fx'!$A$20,'Satama-alukset_fx'!$B$20,IF(A38='Satama-alukset_fx'!$A$21,'Satama-alukset_fx'!$B$21,IF(A38='Satama-alukset_fx'!$A$22,'Satama-alukset_fx'!$B$22,0)))))))))</f>
        <v>0</v>
      </c>
      <c r="N38">
        <f>IF(A38='Satama-alukset_fx'!$A$14,'Satama-alukset_fx'!$C$14,IF(A38='Satama-alukset_fx'!$A$15,'Satama-alukset_fx'!$C$15,IF(A38='Satama-alukset_fx'!$A$16,'Satama-alukset_fx'!$C$16,IF(A38='Satama-alukset_fx'!$A$17,'Satama-alukset_fx'!$C$17,IF(A38='Satama-alukset_fx'!$A$18,'Satama-alukset_fx'!$C$18,IF(A38='Satama-alukset_fx'!$A$19,'Satama-alukset_fx'!$C$19,IF(A38='Satama-alukset_fx'!$A$20,'Satama-alukset_fx'!$C$20,IF(A38='Satama-alukset_fx'!$A$21,'Satama-alukset_fx'!$C$21,IF(A38='Satama-alukset_fx'!$A$22,'Satama-alukset_fx'!$C$22,0)))))))))</f>
        <v>0</v>
      </c>
      <c r="O38">
        <f>IF(F38="x",IF(A38='Satama-alukset_fx'!$A$30,'Satama-alukset_fx'!$C$30,IF(A38='Satama-alukset_fx'!$A$31,'Satama-alukset_fx'!$C$31,IF(A38='Satama-alukset_fx'!$A$32,'Satama-alukset_fx'!$C$32,IF(A38='Satama-alukset_fx'!$A$33,'Satama-alukset_fx'!$C$33,IF(A38='Satama-alukset_fx'!$A$34,'Satama-alukset_fx'!$C$34,IF(A38='Satama-alukset_fx'!$A$35,'Satama-alukset_fx'!$C$35,IF(A38='Satama-alukset_fx'!$A$36,'Satama-alukset_fx'!$C$36,IF(A38='Satama-alukset_fx'!$A$37,'Satama-alukset_fx'!$C$37,IF(A38='Satama-alukset_fx'!$A$38,'Satama-alukset_fx'!$C$38,0))))))))),F38)</f>
        <v>0</v>
      </c>
      <c r="P38">
        <f>IF(G38="x",IF(A38='Satama-alukset_fx'!$A$30,'Satama-alukset_fx'!$E$30,IF(A38='Satama-alukset_fx'!$A$31,'Satama-alukset_fx'!$E$31,IF(A38='Satama-alukset_fx'!$A$32,'Satama-alukset_fx'!$E$32,IF(A38='Satama-alukset_fx'!$A$33,'Satama-alukset_fx'!$E$33,IF(A38='Satama-alukset_fx'!$A$34,'Satama-alukset_fx'!$E$34,IF(A38='Satama-alukset_fx'!$A$35,'Satama-alukset_fx'!$E$35,IF(A38='Satama-alukset_fx'!$A$36,'Satama-alukset_fx'!$E$36,IF(A38='Satama-alukset_fx'!$A$37,'Satama-alukset_fx'!$E$37,IF(A38='Satama-alukset_fx'!$A$38,'Satama-alukset_fx'!$E$38,0))))))))),G38)</f>
        <v>0</v>
      </c>
      <c r="Q38">
        <f>IF(K38=0,0,IF(K38&lt;38,IF(C38&lt;1998,'Satama-alukset_fx'!$M$12,'Satama-alukset_fx'!$M$13),IF(K38&lt;90,IF(C38&lt;1997,'Satama-alukset_fx'!$M$14,'Satama-alukset_fx'!$M$15),IF(K38&lt;187,IF(C38&lt;1971,'Satama-alukset_fx'!$M$16,IF(C38&lt;1979,'Satama-alukset_fx'!$M$17,IF(C38&lt;1984,'Satama-alukset_fx'!$M$18,IF(C38&lt;1987,'Satama-alukset_fx'!$M$19,IF(C38&lt;1996,'Satama-alukset_fx'!$M$20,'Satama-alukset_fx'!$M$21))))),IF(K38&lt;560,IF(C38&lt;1971,'Satama-alukset_fx'!$M$22,IF(C38&lt;1979,'Satama-alukset_fx'!$M$23,IF(C38&lt;1984,'Satama-alukset_fx'!$M$24,IF(C38&lt;1987,'Satama-alukset_fx'!$M$25,IF(C38&lt;1995,'Satama-alukset_fx'!$M$26,'Satama-alukset_fx'!$M$27))))),IF(C38&lt;1971,'Satama-alukset_fx'!$M$28,IF(C38&lt;1979,'Satama-alukset_fx'!$M$29,IF(C38&lt;1984,'Satama-alukset_fx'!$M$30,IF(C38&lt;1987,'Satama-alukset_fx'!$M$31,IF(C38&lt;1999,'Satama-alukset_fx'!$M$32,'Satama-alukset_fx'!$M$33))))))))))</f>
        <v>0</v>
      </c>
      <c r="R38">
        <f>IF(E38=0,0,IF(E38&lt;38,IF(C38&lt;1998,'Satama-alukset_fx'!$M$38,'Satama-alukset_fx'!$M$39),IF(E38&lt;90,IF(C38&lt;1997,'Satama-alukset_fx'!$M$40,'Satama-alukset_fx'!$M$41),IF(E38&lt;131,IF(C38&lt;1971,'Satama-alukset_fx'!$M$42,IF(C38&lt;1979,'Satama-alukset_fx'!$M$43,IF(C38&lt;1984,'Satama-alukset_fx'!$M$44,IF(C38&lt;1987,'Satama-alukset_fx'!$M$45,IF(C38&lt;1996,'Satama-alukset_fx'!$M$46,'Satama-alukset_fx'!$M$47))))),IF(E38&lt;187,IF(C38&lt;1971,'Satama-alukset_fx'!$M$48,IF(C38&lt;1979,'Satama-alukset_fx'!$M$49,IF(C38&lt;1984,'Satama-alukset_fx'!$M$50,IF(C38&lt;1987,'Satama-alukset_fx'!$M$51,IF(C38&lt;1995,'Satama-alukset_fx'!$M$52,'Satama-alukset_fx'!$M$53))))),IF(E38&lt;560,IF(C38&lt;1971,'Satama-alukset_fx'!$M$54,IF(C38&lt;1979,'Satama-alukset_fx'!$M$55,IF(C38&lt;1984,'Satama-alukset_fx'!$M$56,IF(C38&lt;1987,'Satama-alukset_fx'!$M$57,IF(C38&lt;1995,'Satama-alukset_fx'!$M$58,'Satama-alukset_fx'!$M$59))))),IF(C38&lt;1971,'Satama-alukset_fx'!$M$60,IF(C38&lt;1979,'Satama-alukset_fx'!$M$61,IF(C38&lt;1984,'Satama-alukset_fx'!$M$62,IF(C38&lt;1987,'Satama-alukset_fx'!$M$64,IF(C38&lt;1999,'Satama-alukset_fx'!$M$65,'Satama-alukset_fx'!$M$66)))))))))))</f>
        <v>0</v>
      </c>
      <c r="S38">
        <f>IF(I38='Satama-alukset_fx'!$A$69,0,IF($D$3=2018,Energia_fx!$C$12,IF($D$3=2019,Energia_fx!$C$13,IF($D$3=2020,Energia_fx!$C$14,IF($D$3=2021,Energia_fx!$C$15,Energia_fx!$C$16)))))</f>
        <v>101</v>
      </c>
      <c r="T38">
        <f t="shared" si="2"/>
        <v>0</v>
      </c>
    </row>
    <row r="39" spans="1:20" x14ac:dyDescent="0.25">
      <c r="A39">
        <f>'Satama-alukset'!A41</f>
        <v>0</v>
      </c>
      <c r="B39">
        <f>'Satama-alukset'!B41</f>
        <v>0</v>
      </c>
      <c r="C39">
        <f>'Satama-alukset'!C41</f>
        <v>0</v>
      </c>
      <c r="D39">
        <f>'Satama-alukset'!D41</f>
        <v>0</v>
      </c>
      <c r="E39">
        <f>'Satama-alukset'!E41</f>
        <v>0</v>
      </c>
      <c r="F39">
        <f>'Satama-alukset'!F41</f>
        <v>0</v>
      </c>
      <c r="G39">
        <f>'Satama-alukset'!G41</f>
        <v>0</v>
      </c>
      <c r="H39">
        <f>'Satama-alukset'!H41</f>
        <v>0</v>
      </c>
      <c r="I39">
        <f>'Satama-alukset'!I41</f>
        <v>0</v>
      </c>
      <c r="K39">
        <f>IF(D39="x",IF(A39='Satama-alukset_fx'!$A$30,'Satama-alukset_fx'!$B$30,IF(A39='Satama-alukset_fx'!$A$31,'Satama-alukset_fx'!$B$31,IF(A39='Satama-alukset_fx'!$A$32,'Satama-alukset_fx'!$B$32,IF(A39='Satama-alukset_fx'!$A$33,'Satama-alukset_fx'!$B$33,IF(A39='Satama-alukset_fx'!$A$34,'Satama-alukset_fx'!$B$34,IF(A39='Satama-alukset_fx'!$A$35,'Satama-alukset_fx'!$B$35,IF(A39='Satama-alukset_fx'!$A$36,'Satama-alukset_fx'!$B$36,IF(A39='Satama-alukset_fx'!$A$37,'Satama-alukset_fx'!$B$37,IF(A39='Satama-alukset_fx'!$A$38,'Satama-alukset_fx'!$B$38,0))))))))),D39)</f>
        <v>0</v>
      </c>
      <c r="L39">
        <f>IF(E39="x",IF(A39='Satama-alukset_fx'!$A$30,'Satama-alukset_fx'!$D$30,IF(A39='Satama-alukset_fx'!$A$31,'Satama-alukset_fx'!$D$31,IF(A39='Satama-alukset_fx'!$A$32,'Satama-alukset_fx'!$D$32,IF(A39='Satama-alukset_fx'!$A$33,'Satama-alukset_fx'!$D$33,IF(A39='Satama-alukset_fx'!$A$34,'Satama-alukset_fx'!$D$34,IF(A39='Satama-alukset_fx'!$A$35,'Satama-alukset_fx'!$D$35,IF(A39='Satama-alukset_fx'!$A$36,'Satama-alukset_fx'!$D$36,IF(A39='Satama-alukset_fx'!$A$37,'Satama-alukset_fx'!$D$37,IF(A39='Satama-alukset_fx'!$A$38,'Satama-alukset_fx'!$D$38,0))))))))),E39)</f>
        <v>0</v>
      </c>
      <c r="M39">
        <f>IF(A39='Satama-alukset_fx'!$A$14,'Satama-alukset_fx'!$B$14,IF(A39='Satama-alukset_fx'!$A$15,'Satama-alukset_fx'!$B$15,IF(A39='Satama-alukset_fx'!$A$16,'Satama-alukset_fx'!$B$16,IF(A39='Satama-alukset_fx'!$A$17,'Satama-alukset_fx'!$B$17,IF(A39='Satama-alukset_fx'!$A$18,'Satama-alukset_fx'!$B$18,IF(A39='Satama-alukset_fx'!$A$19,'Satama-alukset_fx'!$B$19,IF(A39='Satama-alukset_fx'!$A$20,'Satama-alukset_fx'!$B$20,IF(A39='Satama-alukset_fx'!$A$21,'Satama-alukset_fx'!$B$21,IF(A39='Satama-alukset_fx'!$A$22,'Satama-alukset_fx'!$B$22,0)))))))))</f>
        <v>0</v>
      </c>
      <c r="N39">
        <f>IF(A39='Satama-alukset_fx'!$A$14,'Satama-alukset_fx'!$C$14,IF(A39='Satama-alukset_fx'!$A$15,'Satama-alukset_fx'!$C$15,IF(A39='Satama-alukset_fx'!$A$16,'Satama-alukset_fx'!$C$16,IF(A39='Satama-alukset_fx'!$A$17,'Satama-alukset_fx'!$C$17,IF(A39='Satama-alukset_fx'!$A$18,'Satama-alukset_fx'!$C$18,IF(A39='Satama-alukset_fx'!$A$19,'Satama-alukset_fx'!$C$19,IF(A39='Satama-alukset_fx'!$A$20,'Satama-alukset_fx'!$C$20,IF(A39='Satama-alukset_fx'!$A$21,'Satama-alukset_fx'!$C$21,IF(A39='Satama-alukset_fx'!$A$22,'Satama-alukset_fx'!$C$22,0)))))))))</f>
        <v>0</v>
      </c>
      <c r="O39">
        <f>IF(F39="x",IF(A39='Satama-alukset_fx'!$A$30,'Satama-alukset_fx'!$C$30,IF(A39='Satama-alukset_fx'!$A$31,'Satama-alukset_fx'!$C$31,IF(A39='Satama-alukset_fx'!$A$32,'Satama-alukset_fx'!$C$32,IF(A39='Satama-alukset_fx'!$A$33,'Satama-alukset_fx'!$C$33,IF(A39='Satama-alukset_fx'!$A$34,'Satama-alukset_fx'!$C$34,IF(A39='Satama-alukset_fx'!$A$35,'Satama-alukset_fx'!$C$35,IF(A39='Satama-alukset_fx'!$A$36,'Satama-alukset_fx'!$C$36,IF(A39='Satama-alukset_fx'!$A$37,'Satama-alukset_fx'!$C$37,IF(A39='Satama-alukset_fx'!$A$38,'Satama-alukset_fx'!$C$38,0))))))))),F39)</f>
        <v>0</v>
      </c>
      <c r="P39">
        <f>IF(G39="x",IF(A39='Satama-alukset_fx'!$A$30,'Satama-alukset_fx'!$E$30,IF(A39='Satama-alukset_fx'!$A$31,'Satama-alukset_fx'!$E$31,IF(A39='Satama-alukset_fx'!$A$32,'Satama-alukset_fx'!$E$32,IF(A39='Satama-alukset_fx'!$A$33,'Satama-alukset_fx'!$E$33,IF(A39='Satama-alukset_fx'!$A$34,'Satama-alukset_fx'!$E$34,IF(A39='Satama-alukset_fx'!$A$35,'Satama-alukset_fx'!$E$35,IF(A39='Satama-alukset_fx'!$A$36,'Satama-alukset_fx'!$E$36,IF(A39='Satama-alukset_fx'!$A$37,'Satama-alukset_fx'!$E$37,IF(A39='Satama-alukset_fx'!$A$38,'Satama-alukset_fx'!$E$38,0))))))))),G39)</f>
        <v>0</v>
      </c>
      <c r="Q39">
        <f>IF(K39=0,0,IF(K39&lt;38,IF(C39&lt;1998,'Satama-alukset_fx'!$M$12,'Satama-alukset_fx'!$M$13),IF(K39&lt;90,IF(C39&lt;1997,'Satama-alukset_fx'!$M$14,'Satama-alukset_fx'!$M$15),IF(K39&lt;187,IF(C39&lt;1971,'Satama-alukset_fx'!$M$16,IF(C39&lt;1979,'Satama-alukset_fx'!$M$17,IF(C39&lt;1984,'Satama-alukset_fx'!$M$18,IF(C39&lt;1987,'Satama-alukset_fx'!$M$19,IF(C39&lt;1996,'Satama-alukset_fx'!$M$20,'Satama-alukset_fx'!$M$21))))),IF(K39&lt;560,IF(C39&lt;1971,'Satama-alukset_fx'!$M$22,IF(C39&lt;1979,'Satama-alukset_fx'!$M$23,IF(C39&lt;1984,'Satama-alukset_fx'!$M$24,IF(C39&lt;1987,'Satama-alukset_fx'!$M$25,IF(C39&lt;1995,'Satama-alukset_fx'!$M$26,'Satama-alukset_fx'!$M$27))))),IF(C39&lt;1971,'Satama-alukset_fx'!$M$28,IF(C39&lt;1979,'Satama-alukset_fx'!$M$29,IF(C39&lt;1984,'Satama-alukset_fx'!$M$30,IF(C39&lt;1987,'Satama-alukset_fx'!$M$31,IF(C39&lt;1999,'Satama-alukset_fx'!$M$32,'Satama-alukset_fx'!$M$33))))))))))</f>
        <v>0</v>
      </c>
      <c r="R39">
        <f>IF(E39=0,0,IF(E39&lt;38,IF(C39&lt;1998,'Satama-alukset_fx'!$M$38,'Satama-alukset_fx'!$M$39),IF(E39&lt;90,IF(C39&lt;1997,'Satama-alukset_fx'!$M$40,'Satama-alukset_fx'!$M$41),IF(E39&lt;131,IF(C39&lt;1971,'Satama-alukset_fx'!$M$42,IF(C39&lt;1979,'Satama-alukset_fx'!$M$43,IF(C39&lt;1984,'Satama-alukset_fx'!$M$44,IF(C39&lt;1987,'Satama-alukset_fx'!$M$45,IF(C39&lt;1996,'Satama-alukset_fx'!$M$46,'Satama-alukset_fx'!$M$47))))),IF(E39&lt;187,IF(C39&lt;1971,'Satama-alukset_fx'!$M$48,IF(C39&lt;1979,'Satama-alukset_fx'!$M$49,IF(C39&lt;1984,'Satama-alukset_fx'!$M$50,IF(C39&lt;1987,'Satama-alukset_fx'!$M$51,IF(C39&lt;1995,'Satama-alukset_fx'!$M$52,'Satama-alukset_fx'!$M$53))))),IF(E39&lt;560,IF(C39&lt;1971,'Satama-alukset_fx'!$M$54,IF(C39&lt;1979,'Satama-alukset_fx'!$M$55,IF(C39&lt;1984,'Satama-alukset_fx'!$M$56,IF(C39&lt;1987,'Satama-alukset_fx'!$M$57,IF(C39&lt;1995,'Satama-alukset_fx'!$M$58,'Satama-alukset_fx'!$M$59))))),IF(C39&lt;1971,'Satama-alukset_fx'!$M$60,IF(C39&lt;1979,'Satama-alukset_fx'!$M$61,IF(C39&lt;1984,'Satama-alukset_fx'!$M$62,IF(C39&lt;1987,'Satama-alukset_fx'!$M$64,IF(C39&lt;1999,'Satama-alukset_fx'!$M$65,'Satama-alukset_fx'!$M$66)))))))))))</f>
        <v>0</v>
      </c>
      <c r="S39">
        <f>IF(I39='Satama-alukset_fx'!$A$69,0,IF($D$3=2018,Energia_fx!$C$12,IF($D$3=2019,Energia_fx!$C$13,IF($D$3=2020,Energia_fx!$C$14,IF($D$3=2021,Energia_fx!$C$15,Energia_fx!$C$16)))))</f>
        <v>101</v>
      </c>
      <c r="T39">
        <f t="shared" si="2"/>
        <v>0</v>
      </c>
    </row>
    <row r="40" spans="1:20" x14ac:dyDescent="0.25">
      <c r="F40" t="s">
        <v>429</v>
      </c>
      <c r="R40" s="234"/>
    </row>
    <row r="41" spans="1:20" x14ac:dyDescent="0.25">
      <c r="A41" s="251" t="s">
        <v>424</v>
      </c>
      <c r="B41" s="236"/>
      <c r="C41" s="236"/>
    </row>
    <row r="42" spans="1:20" ht="24" x14ac:dyDescent="0.25">
      <c r="A42" s="217" t="s">
        <v>410</v>
      </c>
      <c r="B42" s="217" t="s">
        <v>411</v>
      </c>
      <c r="C42" s="217" t="s">
        <v>425</v>
      </c>
      <c r="D42" s="217" t="s">
        <v>426</v>
      </c>
      <c r="E42" s="217" t="s">
        <v>416</v>
      </c>
      <c r="F42" s="217" t="s">
        <v>91</v>
      </c>
      <c r="R42" s="217" t="s">
        <v>427</v>
      </c>
      <c r="S42" s="217" t="s">
        <v>423</v>
      </c>
      <c r="T42" s="217" t="s">
        <v>93</v>
      </c>
    </row>
    <row r="43" spans="1:20" x14ac:dyDescent="0.25">
      <c r="A43">
        <f>'Satama-alukset'!A45</f>
        <v>0</v>
      </c>
      <c r="B43">
        <f>'Satama-alukset'!B45</f>
        <v>0</v>
      </c>
      <c r="C43">
        <f>'Satama-alukset'!C45</f>
        <v>0</v>
      </c>
      <c r="D43">
        <f>'Satama-alukset'!D45</f>
        <v>0</v>
      </c>
      <c r="E43">
        <f>'Satama-alukset'!E45</f>
        <v>0</v>
      </c>
      <c r="F43">
        <f>'Satama-alukset'!F45</f>
        <v>0</v>
      </c>
      <c r="R43">
        <f>IF(C43='Satama-alukset_fx'!$B$50,'Satama-alukset_fx'!$F$50,IF(C43='Satama-alukset_fx'!$B$49,'Satama-alukset_fx'!$F$49,IF(C43='Satama-alukset_fx'!$B$51,'Satama-alukset_fx'!$F$51,IF(C43='Satama-alukset_fx'!$B$52,'Satama-alukset_fx'!$F$52,IF(C43='Satama-alukset_fx'!$B$53,'Satama-alukset_fx'!$F$53,IF(C43='Satama-alukset_fx'!$B$54,'Satama-alukset_fx'!$F$54,IF(C43='Satama-alukset_fx'!$B$55,'Satama-alukset_fx'!$F$55,0)))))))</f>
        <v>0</v>
      </c>
      <c r="S43">
        <f>IF(F43='Satama-alukset_fx'!$A$69,0,IF($D$3=2018,Energia_fx!$C$12,IF($D$3=2019,Energia_fx!$C$13,IF($D$3=2020,Energia_fx!$C$14,IF($D$3=2021,Energia_fx!$C$15,Energia_fx!$C$16)))))</f>
        <v>101</v>
      </c>
      <c r="T43">
        <f t="shared" ref="T43:T49" si="3">D43*R43+(E43*S43/1000000)</f>
        <v>0</v>
      </c>
    </row>
    <row r="44" spans="1:20" ht="18" customHeight="1" x14ac:dyDescent="0.25">
      <c r="A44">
        <f>'Satama-alukset'!A46</f>
        <v>0</v>
      </c>
      <c r="B44">
        <f>'Satama-alukset'!B46</f>
        <v>0</v>
      </c>
      <c r="C44">
        <f>'Satama-alukset'!C46</f>
        <v>0</v>
      </c>
      <c r="D44">
        <f>'Satama-alukset'!D46</f>
        <v>0</v>
      </c>
      <c r="E44">
        <f>'Satama-alukset'!E46</f>
        <v>0</v>
      </c>
      <c r="F44">
        <f>'Satama-alukset'!F46</f>
        <v>0</v>
      </c>
      <c r="R44">
        <f>IF(C44='Satama-alukset_fx'!$B$50,'Satama-alukset_fx'!$F$50,IF(C44='Satama-alukset_fx'!$B$49,'Satama-alukset_fx'!$F$49,IF(C44='Satama-alukset_fx'!$B$51,'Satama-alukset_fx'!$F$51,IF(C44='Satama-alukset_fx'!$B$52,'Satama-alukset_fx'!$F$52,IF(C44='Satama-alukset_fx'!$B$53,'Satama-alukset_fx'!$F$53,IF(C44='Satama-alukset_fx'!$B$54,'Satama-alukset_fx'!$F$54,IF(C44='Satama-alukset_fx'!$B$55,'Satama-alukset_fx'!$F$55,0)))))))</f>
        <v>0</v>
      </c>
      <c r="S44">
        <f>IF(F44='Satama-alukset_fx'!$A$69,0,IF($D$3=2018,Energia_fx!$C$12,IF($D$3=2019,Energia_fx!$C$13,IF($D$3=2020,Energia_fx!$C$14,IF($D$3=2021,Energia_fx!$C$15,Energia_fx!$C$16)))))</f>
        <v>101</v>
      </c>
      <c r="T44">
        <f t="shared" si="3"/>
        <v>0</v>
      </c>
    </row>
    <row r="45" spans="1:20" x14ac:dyDescent="0.25">
      <c r="A45">
        <f>'Satama-alukset'!A47</f>
        <v>0</v>
      </c>
      <c r="B45">
        <f>'Satama-alukset'!B47</f>
        <v>0</v>
      </c>
      <c r="C45">
        <f>'Satama-alukset'!C47</f>
        <v>0</v>
      </c>
      <c r="D45">
        <f>'Satama-alukset'!D47</f>
        <v>0</v>
      </c>
      <c r="E45">
        <f>'Satama-alukset'!E47</f>
        <v>0</v>
      </c>
      <c r="F45">
        <f>'Satama-alukset'!F47</f>
        <v>0</v>
      </c>
      <c r="R45">
        <f>IF(C45='Satama-alukset_fx'!$B$50,'Satama-alukset_fx'!$F$50,IF(C45='Satama-alukset_fx'!$B$49,'Satama-alukset_fx'!$F$49,IF(C45='Satama-alukset_fx'!$B$51,'Satama-alukset_fx'!$F$51,IF(C45='Satama-alukset_fx'!$B$52,'Satama-alukset_fx'!$F$52,IF(C45='Satama-alukset_fx'!$B$53,'Satama-alukset_fx'!$F$53,IF(C45='Satama-alukset_fx'!$B$54,'Satama-alukset_fx'!$F$54,IF(C45='Satama-alukset_fx'!$B$55,'Satama-alukset_fx'!$F$55,0)))))))</f>
        <v>0</v>
      </c>
      <c r="S45">
        <f>IF(F45='Satama-alukset_fx'!$A$69,0,IF($D$3=2018,Energia_fx!$C$12,IF($D$3=2019,Energia_fx!$C$13,IF($D$3=2020,Energia_fx!$C$14,IF($D$3=2021,Energia_fx!$C$15,Energia_fx!$C$16)))))</f>
        <v>101</v>
      </c>
      <c r="T45">
        <f t="shared" si="3"/>
        <v>0</v>
      </c>
    </row>
    <row r="46" spans="1:20" x14ac:dyDescent="0.25">
      <c r="A46">
        <f>'Satama-alukset'!A48</f>
        <v>0</v>
      </c>
      <c r="B46">
        <f>'Satama-alukset'!B48</f>
        <v>0</v>
      </c>
      <c r="C46">
        <f>'Satama-alukset'!C48</f>
        <v>0</v>
      </c>
      <c r="D46">
        <f>'Satama-alukset'!D48</f>
        <v>0</v>
      </c>
      <c r="E46">
        <f>'Satama-alukset'!E48</f>
        <v>0</v>
      </c>
      <c r="F46">
        <f>'Satama-alukset'!F48</f>
        <v>0</v>
      </c>
      <c r="R46">
        <f>IF(C46='Satama-alukset_fx'!$B$50,'Satama-alukset_fx'!$F$50,IF(C46='Satama-alukset_fx'!$B$49,'Satama-alukset_fx'!$F$49,IF(C46='Satama-alukset_fx'!$B$51,'Satama-alukset_fx'!$F$51,IF(C46='Satama-alukset_fx'!$B$52,'Satama-alukset_fx'!$F$52,IF(C46='Satama-alukset_fx'!$B$53,'Satama-alukset_fx'!$F$53,IF(C46='Satama-alukset_fx'!$B$54,'Satama-alukset_fx'!$F$54,IF(C46='Satama-alukset_fx'!$B$55,'Satama-alukset_fx'!$F$55,0)))))))</f>
        <v>0</v>
      </c>
      <c r="S46">
        <f>IF(F46='Satama-alukset_fx'!$A$69,0,IF($D$3=2018,Energia_fx!$C$12,IF($D$3=2019,Energia_fx!$C$13,IF($D$3=2020,Energia_fx!$C$14,IF($D$3=2021,Energia_fx!$C$15,Energia_fx!$C$16)))))</f>
        <v>101</v>
      </c>
      <c r="T46">
        <f t="shared" si="3"/>
        <v>0</v>
      </c>
    </row>
    <row r="47" spans="1:20" x14ac:dyDescent="0.25">
      <c r="A47">
        <f>'Satama-alukset'!A49</f>
        <v>0</v>
      </c>
      <c r="B47">
        <f>'Satama-alukset'!B49</f>
        <v>0</v>
      </c>
      <c r="C47">
        <f>'Satama-alukset'!C49</f>
        <v>0</v>
      </c>
      <c r="D47">
        <f>'Satama-alukset'!D49</f>
        <v>0</v>
      </c>
      <c r="E47">
        <f>'Satama-alukset'!E49</f>
        <v>0</v>
      </c>
      <c r="F47">
        <f>'Satama-alukset'!F49</f>
        <v>0</v>
      </c>
      <c r="R47">
        <f>IF(C47='Satama-alukset_fx'!$B$50,'Satama-alukset_fx'!$F$50,IF(C47='Satama-alukset_fx'!$B$49,'Satama-alukset_fx'!$F$49,IF(C47='Satama-alukset_fx'!$B$51,'Satama-alukset_fx'!$F$51,IF(C47='Satama-alukset_fx'!$B$52,'Satama-alukset_fx'!$F$52,IF(C47='Satama-alukset_fx'!$B$53,'Satama-alukset_fx'!$F$53,IF(C47='Satama-alukset_fx'!$B$54,'Satama-alukset_fx'!$F$54,IF(C47='Satama-alukset_fx'!$B$55,'Satama-alukset_fx'!$F$55,0)))))))</f>
        <v>0</v>
      </c>
      <c r="S47">
        <f>IF(F47='Satama-alukset_fx'!$A$69,0,IF($D$3=2018,Energia_fx!$C$12,IF($D$3=2019,Energia_fx!$C$13,IF($D$3=2020,Energia_fx!$C$14,IF($D$3=2021,Energia_fx!$C$15,Energia_fx!$C$16)))))</f>
        <v>101</v>
      </c>
      <c r="T47">
        <f t="shared" si="3"/>
        <v>0</v>
      </c>
    </row>
    <row r="48" spans="1:20" x14ac:dyDescent="0.25">
      <c r="A48">
        <f>'Satama-alukset'!A50</f>
        <v>0</v>
      </c>
      <c r="B48">
        <f>'Satama-alukset'!B50</f>
        <v>0</v>
      </c>
      <c r="C48">
        <f>'Satama-alukset'!C50</f>
        <v>0</v>
      </c>
      <c r="D48">
        <f>'Satama-alukset'!D50</f>
        <v>0</v>
      </c>
      <c r="E48">
        <f>'Satama-alukset'!E50</f>
        <v>0</v>
      </c>
      <c r="F48">
        <f>'Satama-alukset'!F50</f>
        <v>0</v>
      </c>
      <c r="R48">
        <f>IF(C48='Satama-alukset_fx'!$B$50,'Satama-alukset_fx'!$F$50,IF(C48='Satama-alukset_fx'!$B$49,'Satama-alukset_fx'!$F$49,IF(C48='Satama-alukset_fx'!$B$51,'Satama-alukset_fx'!$F$51,IF(C48='Satama-alukset_fx'!$B$52,'Satama-alukset_fx'!$F$52,IF(C48='Satama-alukset_fx'!$B$53,'Satama-alukset_fx'!$F$53,IF(C48='Satama-alukset_fx'!$B$54,'Satama-alukset_fx'!$F$54,IF(C48='Satama-alukset_fx'!$B$55,'Satama-alukset_fx'!$F$55,0)))))))</f>
        <v>0</v>
      </c>
      <c r="S48">
        <f>IF(F48='Satama-alukset_fx'!$A$69,0,IF($D$3=2018,Energia_fx!$C$12,IF($D$3=2019,Energia_fx!$C$13,IF($D$3=2020,Energia_fx!$C$14,IF($D$3=2021,Energia_fx!$C$15,Energia_fx!$C$16)))))</f>
        <v>101</v>
      </c>
      <c r="T48">
        <f t="shared" si="3"/>
        <v>0</v>
      </c>
    </row>
    <row r="49" spans="1:20" x14ac:dyDescent="0.25">
      <c r="A49">
        <f>'Satama-alukset'!A51</f>
        <v>0</v>
      </c>
      <c r="B49">
        <f>'Satama-alukset'!B51</f>
        <v>0</v>
      </c>
      <c r="C49">
        <f>'Satama-alukset'!C51</f>
        <v>0</v>
      </c>
      <c r="D49">
        <f>'Satama-alukset'!D51</f>
        <v>0</v>
      </c>
      <c r="E49">
        <f>'Satama-alukset'!E51</f>
        <v>0</v>
      </c>
      <c r="F49">
        <f>'Satama-alukset'!F51</f>
        <v>0</v>
      </c>
      <c r="R49">
        <f>IF(C49='Satama-alukset_fx'!$B$50,'Satama-alukset_fx'!$F$50,IF(C49='Satama-alukset_fx'!$B$49,'Satama-alukset_fx'!$F$49,IF(C49='Satama-alukset_fx'!$B$51,'Satama-alukset_fx'!$F$51,IF(C49='Satama-alukset_fx'!$B$52,'Satama-alukset_fx'!$F$52,IF(C49='Satama-alukset_fx'!$B$53,'Satama-alukset_fx'!$F$53,IF(C49='Satama-alukset_fx'!$B$54,'Satama-alukset_fx'!$F$54,IF(C49='Satama-alukset_fx'!$B$55,'Satama-alukset_fx'!$F$55,0)))))))</f>
        <v>0</v>
      </c>
      <c r="S49">
        <f>IF(F49='Satama-alukset_fx'!$A$69,0,IF($D$3=2018,Energia_fx!$C$12,IF($D$3=2019,Energia_fx!$C$13,IF($D$3=2020,Energia_fx!$C$14,IF($D$3=2021,Energia_fx!$C$15,Energia_fx!$C$16)))))</f>
        <v>101</v>
      </c>
      <c r="T49">
        <f t="shared" si="3"/>
        <v>0</v>
      </c>
    </row>
    <row r="50" spans="1:20" x14ac:dyDescent="0.25">
      <c r="F50" s="15"/>
    </row>
    <row r="51" spans="1:20" ht="15.75" x14ac:dyDescent="0.25">
      <c r="A51" s="238" t="s">
        <v>430</v>
      </c>
      <c r="B51" s="216"/>
      <c r="C51" s="216"/>
      <c r="D51" s="216"/>
      <c r="E51" s="216"/>
    </row>
    <row r="52" spans="1:20" x14ac:dyDescent="0.25">
      <c r="A52" s="251" t="s">
        <v>431</v>
      </c>
      <c r="B52" s="236"/>
      <c r="C52" s="236"/>
      <c r="F52" s="235"/>
    </row>
    <row r="53" spans="1:20" ht="48" x14ac:dyDescent="0.25">
      <c r="A53" s="217" t="s">
        <v>410</v>
      </c>
      <c r="B53" s="217" t="s">
        <v>432</v>
      </c>
      <c r="C53" s="217" t="s">
        <v>416</v>
      </c>
      <c r="D53" s="217" t="s">
        <v>91</v>
      </c>
      <c r="E53" s="217" t="s">
        <v>433</v>
      </c>
      <c r="R53" s="217" t="s">
        <v>434</v>
      </c>
      <c r="S53" s="217" t="s">
        <v>423</v>
      </c>
      <c r="T53" s="217" t="s">
        <v>93</v>
      </c>
    </row>
    <row r="54" spans="1:20" x14ac:dyDescent="0.25">
      <c r="A54">
        <f>'Satama-alukset'!A56</f>
        <v>0</v>
      </c>
      <c r="B54">
        <f>'Satama-alukset'!B56</f>
        <v>0</v>
      </c>
      <c r="C54">
        <f>'Satama-alukset'!C56</f>
        <v>0</v>
      </c>
      <c r="D54">
        <f>'Satama-alukset'!D56</f>
        <v>0</v>
      </c>
      <c r="E54">
        <f>'Satama-alukset'!E56</f>
        <v>0</v>
      </c>
      <c r="R54">
        <f>IF($D$3=2018,'Satama-alukset_fx'!$C$60,IF($D$3=2019,'Satama-alukset_fx'!$C$61,IF($D$3=2020,'Satama-alukset_fx'!$C$62,IF($D$3=2021,'Satama-alukset_fx'!$C$63,'Satama-alukset_fx'!$C$64))))</f>
        <v>0.16600000000000001</v>
      </c>
      <c r="S54">
        <f>IF(D54='Satama-alukset_fx'!$A$69,0,IF($D$3=2018,Energia_fx!$C$12,IF($D$3=2019,Energia_fx!$C$13,IF($D$3=2020,Energia_fx!$C$14,IF($D$3=2021,Energia_fx!$C$15,Energia_fx!$C$16)))))</f>
        <v>101</v>
      </c>
      <c r="T54">
        <f t="shared" ref="T54:T60" si="4">E54*R54+(C54*S54/1000000)</f>
        <v>0</v>
      </c>
    </row>
    <row r="55" spans="1:20" x14ac:dyDescent="0.25">
      <c r="A55">
        <f>'Satama-alukset'!A57</f>
        <v>0</v>
      </c>
      <c r="B55">
        <f>'Satama-alukset'!B57</f>
        <v>0</v>
      </c>
      <c r="C55">
        <f>'Satama-alukset'!C57</f>
        <v>0</v>
      </c>
      <c r="D55">
        <f>'Satama-alukset'!D57</f>
        <v>0</v>
      </c>
      <c r="E55">
        <f>'Satama-alukset'!E57</f>
        <v>0</v>
      </c>
      <c r="R55">
        <f>IF($D$3=2018,'Satama-alukset_fx'!$C$60,IF($D$3=2019,'Satama-alukset_fx'!$C$61,IF($D$3=2020,'Satama-alukset_fx'!$C$62,IF($D$3=2021,'Satama-alukset_fx'!$C$63,'Satama-alukset_fx'!$C$64))))</f>
        <v>0.16600000000000001</v>
      </c>
      <c r="S55">
        <f>IF(D55='Satama-alukset_fx'!$A$69,0,IF($D$3=2018,Energia_fx!$C$12,IF($D$3=2019,Energia_fx!$C$13,IF($D$3=2020,Energia_fx!$C$14,IF($D$3=2021,Energia_fx!$C$15,Energia_fx!$C$16)))))</f>
        <v>101</v>
      </c>
      <c r="T55">
        <f t="shared" si="4"/>
        <v>0</v>
      </c>
    </row>
    <row r="56" spans="1:20" x14ac:dyDescent="0.25">
      <c r="A56">
        <f>'Satama-alukset'!A58</f>
        <v>0</v>
      </c>
      <c r="B56">
        <f>'Satama-alukset'!B58</f>
        <v>0</v>
      </c>
      <c r="C56">
        <f>'Satama-alukset'!C58</f>
        <v>0</v>
      </c>
      <c r="D56">
        <f>'Satama-alukset'!D58</f>
        <v>0</v>
      </c>
      <c r="E56">
        <f>'Satama-alukset'!E58</f>
        <v>0</v>
      </c>
      <c r="R56">
        <f>IF($D$3=2018,'Satama-alukset_fx'!$C$60,IF($D$3=2019,'Satama-alukset_fx'!$C$61,IF($D$3=2020,'Satama-alukset_fx'!$C$62,IF($D$3=2021,'Satama-alukset_fx'!$C$63,'Satama-alukset_fx'!$C$64))))</f>
        <v>0.16600000000000001</v>
      </c>
      <c r="S56">
        <f>IF(D56='Satama-alukset_fx'!$A$69,0,IF($D$3=2018,Energia_fx!$C$12,IF($D$3=2019,Energia_fx!$C$13,IF($D$3=2020,Energia_fx!$C$14,IF($D$3=2021,Energia_fx!$C$15,Energia_fx!$C$16)))))</f>
        <v>101</v>
      </c>
      <c r="T56">
        <f t="shared" si="4"/>
        <v>0</v>
      </c>
    </row>
    <row r="57" spans="1:20" x14ac:dyDescent="0.25">
      <c r="A57">
        <f>'Satama-alukset'!A59</f>
        <v>0</v>
      </c>
      <c r="B57">
        <f>'Satama-alukset'!B59</f>
        <v>0</v>
      </c>
      <c r="C57">
        <f>'Satama-alukset'!C59</f>
        <v>0</v>
      </c>
      <c r="D57">
        <f>'Satama-alukset'!D59</f>
        <v>0</v>
      </c>
      <c r="E57">
        <f>'Satama-alukset'!E59</f>
        <v>0</v>
      </c>
      <c r="R57">
        <f>IF($D$3=2018,'Satama-alukset_fx'!$C$60,IF($D$3=2019,'Satama-alukset_fx'!$C$61,IF($D$3=2020,'Satama-alukset_fx'!$C$62,IF($D$3=2021,'Satama-alukset_fx'!$C$63,'Satama-alukset_fx'!$C$64))))</f>
        <v>0.16600000000000001</v>
      </c>
      <c r="S57">
        <f>IF(D57='Satama-alukset_fx'!$A$69,0,IF($D$3=2018,Energia_fx!$C$12,IF($D$3=2019,Energia_fx!$C$13,IF($D$3=2020,Energia_fx!$C$14,IF($D$3=2021,Energia_fx!$C$15,Energia_fx!$C$16)))))</f>
        <v>101</v>
      </c>
      <c r="T57">
        <f t="shared" si="4"/>
        <v>0</v>
      </c>
    </row>
    <row r="58" spans="1:20" x14ac:dyDescent="0.25">
      <c r="A58">
        <f>'Satama-alukset'!A60</f>
        <v>0</v>
      </c>
      <c r="B58">
        <f>'Satama-alukset'!B60</f>
        <v>0</v>
      </c>
      <c r="C58">
        <f>'Satama-alukset'!C60</f>
        <v>0</v>
      </c>
      <c r="D58">
        <f>'Satama-alukset'!D60</f>
        <v>0</v>
      </c>
      <c r="E58">
        <f>'Satama-alukset'!E60</f>
        <v>0</v>
      </c>
      <c r="R58">
        <f>IF($D$3=2018,'Satama-alukset_fx'!$C$60,IF($D$3=2019,'Satama-alukset_fx'!$C$61,IF($D$3=2020,'Satama-alukset_fx'!$C$62,IF($D$3=2021,'Satama-alukset_fx'!$C$63,'Satama-alukset_fx'!$C$64))))</f>
        <v>0.16600000000000001</v>
      </c>
      <c r="S58">
        <f>IF(D58='Satama-alukset_fx'!$A$69,0,IF($D$3=2018,Energia_fx!$C$12,IF($D$3=2019,Energia_fx!$C$13,IF($D$3=2020,Energia_fx!$C$14,IF($D$3=2021,Energia_fx!$C$15,Energia_fx!$C$16)))))</f>
        <v>101</v>
      </c>
      <c r="T58">
        <f t="shared" si="4"/>
        <v>0</v>
      </c>
    </row>
    <row r="59" spans="1:20" x14ac:dyDescent="0.25">
      <c r="A59">
        <f>'Satama-alukset'!A61</f>
        <v>0</v>
      </c>
      <c r="B59">
        <f>'Satama-alukset'!B61</f>
        <v>0</v>
      </c>
      <c r="C59">
        <f>'Satama-alukset'!C61</f>
        <v>0</v>
      </c>
      <c r="D59">
        <f>'Satama-alukset'!D61</f>
        <v>0</v>
      </c>
      <c r="E59">
        <f>'Satama-alukset'!E61</f>
        <v>0</v>
      </c>
      <c r="R59">
        <f>IF($D$3=2018,'Satama-alukset_fx'!$C$60,IF($D$3=2019,'Satama-alukset_fx'!$C$61,IF($D$3=2020,'Satama-alukset_fx'!$C$62,IF($D$3=2021,'Satama-alukset_fx'!$C$63,'Satama-alukset_fx'!$C$64))))</f>
        <v>0.16600000000000001</v>
      </c>
      <c r="S59">
        <f>IF(D59='Satama-alukset_fx'!$A$69,0,IF($D$3=2018,Energia_fx!$C$12,IF($D$3=2019,Energia_fx!$C$13,IF($D$3=2020,Energia_fx!$C$14,IF($D$3=2021,Energia_fx!$C$15,Energia_fx!$C$16)))))</f>
        <v>101</v>
      </c>
      <c r="T59">
        <f t="shared" si="4"/>
        <v>0</v>
      </c>
    </row>
    <row r="60" spans="1:20" x14ac:dyDescent="0.25">
      <c r="A60">
        <f>'Satama-alukset'!A62</f>
        <v>0</v>
      </c>
      <c r="B60">
        <f>'Satama-alukset'!B62</f>
        <v>0</v>
      </c>
      <c r="C60">
        <f>'Satama-alukset'!C62</f>
        <v>0</v>
      </c>
      <c r="D60">
        <f>'Satama-alukset'!D62</f>
        <v>0</v>
      </c>
      <c r="E60">
        <f>'Satama-alukset'!E62</f>
        <v>0</v>
      </c>
      <c r="R60">
        <f>IF($D$3=2018,'Satama-alukset_fx'!$C$60,IF($D$3=2019,'Satama-alukset_fx'!$C$61,IF($D$3=2020,'Satama-alukset_fx'!$C$62,IF($D$3=2021,'Satama-alukset_fx'!$C$63,'Satama-alukset_fx'!$C$64))))</f>
        <v>0.16600000000000001</v>
      </c>
      <c r="S60">
        <f>IF(D60='Satama-alukset_fx'!$A$69,0,IF($D$3=2018,Energia_fx!$C$12,IF($D$3=2019,Energia_fx!$C$13,IF($D$3=2020,Energia_fx!$C$14,IF($D$3=2021,Energia_fx!$C$15,Energia_fx!$C$16)))))</f>
        <v>101</v>
      </c>
      <c r="T60">
        <f t="shared" si="4"/>
        <v>0</v>
      </c>
    </row>
    <row r="63" spans="1:20" ht="19.5" thickBot="1" x14ac:dyDescent="0.35">
      <c r="R63" s="249" t="s">
        <v>435</v>
      </c>
      <c r="S63" s="243"/>
      <c r="T63" s="250">
        <f>SUM(T12:T18,T22:T28,T33:T39,T43:T49,T54:T60)</f>
        <v>0</v>
      </c>
    </row>
    <row r="64" spans="1:20" ht="15.75" thickTop="1" x14ac:dyDescent="0.25"/>
    <row r="65" spans="18:20" ht="19.5" thickBot="1" x14ac:dyDescent="0.35">
      <c r="R65" s="253" t="s">
        <v>436</v>
      </c>
      <c r="S65" s="47"/>
      <c r="T65" s="254">
        <f>SUM(T12:T18,T22:T28)</f>
        <v>0</v>
      </c>
    </row>
    <row r="66" spans="18:20" ht="15.75" thickTop="1" x14ac:dyDescent="0.25"/>
    <row r="67" spans="18:20" ht="19.5" thickBot="1" x14ac:dyDescent="0.35">
      <c r="R67" s="253" t="s">
        <v>437</v>
      </c>
      <c r="S67" s="47"/>
      <c r="T67" s="254">
        <f>SUM(T33:T39,T43:T49,T54:T60)</f>
        <v>0</v>
      </c>
    </row>
    <row r="68" spans="18:20" ht="15.7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F965C-B764-45BD-AE00-3E98CD57C24B}">
  <sheetPr>
    <tabColor theme="4" tint="0.59999389629810485"/>
  </sheetPr>
  <dimension ref="A1:R62"/>
  <sheetViews>
    <sheetView showGridLines="0" showRowColHeaders="0" zoomScaleNormal="100" workbookViewId="0">
      <pane ySplit="3" topLeftCell="A4" activePane="bottomLeft" state="frozen"/>
      <selection pane="bottomLeft" activeCell="J29" sqref="J29"/>
    </sheetView>
  </sheetViews>
  <sheetFormatPr defaultRowHeight="15" x14ac:dyDescent="0.25"/>
  <cols>
    <col min="1" max="1" width="19" customWidth="1"/>
    <col min="2" max="2" width="13.85546875" customWidth="1"/>
    <col min="3" max="3" width="27" customWidth="1"/>
    <col min="4" max="4" width="24" customWidth="1"/>
    <col min="5" max="5" width="18.28515625" customWidth="1"/>
    <col min="6" max="6" width="24.7109375" customWidth="1"/>
    <col min="7" max="8" width="17.140625" customWidth="1"/>
    <col min="9" max="9" width="23.28515625" customWidth="1"/>
    <col min="10" max="10" width="24.5703125" customWidth="1"/>
    <col min="11" max="11" width="32" customWidth="1"/>
    <col min="12" max="12" width="24.5703125" customWidth="1"/>
    <col min="13" max="13" width="28" customWidth="1"/>
    <col min="14" max="14" width="23.85546875" customWidth="1"/>
    <col min="15" max="15" width="28.42578125" customWidth="1"/>
    <col min="16" max="16" width="25.42578125" customWidth="1"/>
    <col min="17" max="17" width="24.5703125" customWidth="1"/>
    <col min="18" max="18" width="22.7109375" customWidth="1"/>
  </cols>
  <sheetData>
    <row r="1" spans="1:17" s="148" customFormat="1" ht="129" customHeight="1" x14ac:dyDescent="0.25"/>
    <row r="2" spans="1:17" s="40" customFormat="1" ht="35.25" customHeight="1" x14ac:dyDescent="0.4">
      <c r="A2" s="40" t="s">
        <v>326</v>
      </c>
      <c r="D2" s="41"/>
    </row>
    <row r="3" spans="1:17" s="200" customFormat="1" ht="27" customHeight="1" x14ac:dyDescent="0.3">
      <c r="A3" s="200" t="s">
        <v>84</v>
      </c>
      <c r="D3" s="200">
        <f>YHTEENVETO!D3</f>
        <v>2019</v>
      </c>
    </row>
    <row r="5" spans="1:17" x14ac:dyDescent="0.25">
      <c r="A5" s="5" t="s">
        <v>918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7" x14ac:dyDescent="0.25">
      <c r="A6" s="5" t="s">
        <v>898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7" x14ac:dyDescent="0.25">
      <c r="A7" s="5" t="s">
        <v>885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7" x14ac:dyDescent="0.25">
      <c r="A8" s="5" t="s">
        <v>438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7" x14ac:dyDescent="0.25">
      <c r="A9" s="5" t="s">
        <v>929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7" s="15" customFormat="1" ht="33" customHeight="1" x14ac:dyDescent="0.25"/>
    <row r="11" spans="1:17" ht="15.75" x14ac:dyDescent="0.25">
      <c r="A11" s="238" t="s">
        <v>408</v>
      </c>
      <c r="B11" s="216"/>
      <c r="C11" s="216"/>
      <c r="D11" s="216"/>
      <c r="E11" s="216"/>
      <c r="L11" s="245" t="s">
        <v>886</v>
      </c>
      <c r="M11" s="246"/>
      <c r="N11" s="246"/>
      <c r="O11" s="246"/>
    </row>
    <row r="12" spans="1:17" x14ac:dyDescent="0.25">
      <c r="A12" s="251" t="s">
        <v>409</v>
      </c>
      <c r="B12" s="236"/>
      <c r="C12" s="236"/>
      <c r="L12" s="5" t="s">
        <v>887</v>
      </c>
      <c r="M12" s="5"/>
      <c r="N12" s="5"/>
      <c r="O12" s="5"/>
      <c r="P12" s="5"/>
      <c r="Q12" s="5"/>
    </row>
    <row r="13" spans="1:17" ht="24" x14ac:dyDescent="0.25">
      <c r="A13" s="217" t="s">
        <v>410</v>
      </c>
      <c r="B13" s="217" t="s">
        <v>411</v>
      </c>
      <c r="C13" s="217" t="s">
        <v>412</v>
      </c>
      <c r="D13" s="217" t="s">
        <v>315</v>
      </c>
      <c r="E13" s="217" t="s">
        <v>413</v>
      </c>
      <c r="F13" s="217" t="s">
        <v>414</v>
      </c>
      <c r="G13" s="217" t="s">
        <v>415</v>
      </c>
      <c r="H13" s="217" t="s">
        <v>416</v>
      </c>
      <c r="I13" s="217" t="s">
        <v>91</v>
      </c>
      <c r="L13" s="5" t="s">
        <v>888</v>
      </c>
      <c r="M13" s="5"/>
      <c r="N13" s="5"/>
      <c r="O13" s="5"/>
      <c r="P13" s="5"/>
      <c r="Q13" s="5"/>
    </row>
    <row r="14" spans="1:17" x14ac:dyDescent="0.25">
      <c r="A14" s="20"/>
      <c r="B14" s="20"/>
      <c r="C14" s="20"/>
      <c r="D14" s="20"/>
      <c r="E14" s="20"/>
      <c r="F14" s="20"/>
      <c r="G14" s="20"/>
      <c r="H14" s="20"/>
      <c r="I14" s="20"/>
      <c r="L14" s="5" t="s">
        <v>439</v>
      </c>
      <c r="M14" s="5"/>
      <c r="N14" s="5"/>
      <c r="O14" s="5"/>
      <c r="P14" s="5"/>
      <c r="Q14" s="5"/>
    </row>
    <row r="15" spans="1:17" x14ac:dyDescent="0.25">
      <c r="A15" s="20"/>
      <c r="B15" s="20"/>
      <c r="C15" s="20"/>
      <c r="D15" s="20"/>
      <c r="E15" s="20"/>
      <c r="F15" s="20"/>
      <c r="G15" s="20"/>
      <c r="H15" s="20"/>
      <c r="I15" s="20"/>
      <c r="L15" s="5" t="s">
        <v>440</v>
      </c>
      <c r="M15" s="5"/>
      <c r="N15" s="5"/>
      <c r="O15" s="5"/>
      <c r="P15" s="5"/>
      <c r="Q15" s="5"/>
    </row>
    <row r="16" spans="1:17" x14ac:dyDescent="0.25">
      <c r="A16" s="20"/>
      <c r="B16" s="20"/>
      <c r="C16" s="20"/>
      <c r="D16" s="20"/>
      <c r="E16" s="20"/>
      <c r="F16" s="20"/>
      <c r="G16" s="20"/>
      <c r="H16" s="20"/>
      <c r="I16" s="20"/>
    </row>
    <row r="17" spans="1:18" x14ac:dyDescent="0.25">
      <c r="A17" s="20"/>
      <c r="B17" s="20"/>
      <c r="C17" s="20"/>
      <c r="D17" s="20"/>
      <c r="E17" s="20"/>
      <c r="F17" s="20"/>
      <c r="G17" s="20"/>
      <c r="H17" s="20"/>
      <c r="I17" s="20"/>
      <c r="L17" s="38" t="s">
        <v>441</v>
      </c>
    </row>
    <row r="18" spans="1:18" ht="24" x14ac:dyDescent="0.25">
      <c r="A18" s="20"/>
      <c r="B18" s="20"/>
      <c r="C18" s="20"/>
      <c r="D18" s="20"/>
      <c r="E18" s="20"/>
      <c r="F18" s="20"/>
      <c r="G18" s="20"/>
      <c r="H18" s="20"/>
      <c r="I18" s="20"/>
      <c r="L18" s="217" t="s">
        <v>442</v>
      </c>
      <c r="M18" s="217" t="s">
        <v>443</v>
      </c>
      <c r="N18" s="217" t="s">
        <v>444</v>
      </c>
      <c r="O18" s="217" t="s">
        <v>445</v>
      </c>
      <c r="P18" s="217" t="s">
        <v>446</v>
      </c>
      <c r="Q18" s="217" t="s">
        <v>447</v>
      </c>
      <c r="R18" s="217" t="s">
        <v>448</v>
      </c>
    </row>
    <row r="19" spans="1:18" x14ac:dyDescent="0.25">
      <c r="A19" s="20"/>
      <c r="B19" s="20"/>
      <c r="C19" s="20"/>
      <c r="D19" s="20"/>
      <c r="E19" s="20"/>
      <c r="F19" s="20"/>
      <c r="G19" s="20"/>
      <c r="H19" s="20"/>
      <c r="I19" s="20"/>
      <c r="L19" s="20"/>
      <c r="M19" s="20"/>
      <c r="N19" s="304">
        <f>COUNTIF(Alukset_Käynnit!$I$20:$I$708,"&lt;"&amp;M19)-COUNTIF(Alukset_Käynnit!$I$20:$I$708,"&lt;"&amp;L19)</f>
        <v>0</v>
      </c>
      <c r="O19" s="20"/>
      <c r="P19" s="20"/>
      <c r="Q19" s="148">
        <f>N19*P19</f>
        <v>0</v>
      </c>
      <c r="R19" s="148">
        <f>Q19*1.06</f>
        <v>0</v>
      </c>
    </row>
    <row r="20" spans="1:18" x14ac:dyDescent="0.25">
      <c r="A20" s="20"/>
      <c r="B20" s="20"/>
      <c r="C20" s="20"/>
      <c r="D20" s="20"/>
      <c r="E20" s="20"/>
      <c r="F20" s="20"/>
      <c r="G20" s="20"/>
      <c r="H20" s="20"/>
      <c r="I20" s="20"/>
      <c r="L20" s="20"/>
      <c r="M20" s="20"/>
      <c r="N20" s="304">
        <f>COUNTIF(Alukset_Käynnit!$I$20:$I$708,"&lt;"&amp;M20)-COUNTIF(Alukset_Käynnit!$I$20:$I$708,"&lt;"&amp;L20)</f>
        <v>0</v>
      </c>
      <c r="O20" s="20"/>
      <c r="P20" s="20"/>
      <c r="Q20" s="148">
        <f t="shared" ref="Q20:Q23" si="0">N20*P20</f>
        <v>0</v>
      </c>
      <c r="R20" s="148">
        <f t="shared" ref="R20:R23" si="1">Q20*1.06</f>
        <v>0</v>
      </c>
    </row>
    <row r="21" spans="1:18" x14ac:dyDescent="0.25">
      <c r="L21" s="20"/>
      <c r="M21" s="20"/>
      <c r="N21" s="304">
        <f>COUNTIF(Alukset_Käynnit!$I$20:$I$708,"&lt;"&amp;M21)-COUNTIF(Alukset_Käynnit!$I$20:$I$708,"&lt;"&amp;L21)</f>
        <v>0</v>
      </c>
      <c r="O21" s="20"/>
      <c r="P21" s="20"/>
      <c r="Q21" s="148">
        <f t="shared" si="0"/>
        <v>0</v>
      </c>
      <c r="R21" s="148">
        <f t="shared" si="1"/>
        <v>0</v>
      </c>
    </row>
    <row r="22" spans="1:18" x14ac:dyDescent="0.25">
      <c r="A22" s="251" t="s">
        <v>449</v>
      </c>
      <c r="B22" s="236"/>
      <c r="C22" s="236"/>
      <c r="L22" s="20"/>
      <c r="M22" s="20"/>
      <c r="N22" s="304">
        <f>COUNTIF(Alukset_Käynnit!$I$20:$I$708,"&lt;"&amp;M22)-COUNTIF(Alukset_Käynnit!$I$20:$I$708,"&lt;"&amp;L22)</f>
        <v>0</v>
      </c>
      <c r="O22" s="20"/>
      <c r="P22" s="20"/>
      <c r="Q22" s="148">
        <f t="shared" si="0"/>
        <v>0</v>
      </c>
      <c r="R22" s="148">
        <f t="shared" si="1"/>
        <v>0</v>
      </c>
    </row>
    <row r="23" spans="1:18" ht="24" x14ac:dyDescent="0.25">
      <c r="A23" s="217" t="s">
        <v>410</v>
      </c>
      <c r="B23" s="217" t="s">
        <v>411</v>
      </c>
      <c r="C23" s="217" t="s">
        <v>425</v>
      </c>
      <c r="D23" s="217" t="s">
        <v>426</v>
      </c>
      <c r="E23" s="217" t="s">
        <v>450</v>
      </c>
      <c r="F23" s="217" t="s">
        <v>91</v>
      </c>
      <c r="L23" s="20"/>
      <c r="M23" s="20"/>
      <c r="N23" s="304">
        <f>COUNTIF(Alukset_Käynnit!$I$20:$I$708,"&lt;"&amp;M23)-COUNTIF(Alukset_Käynnit!$I$20:$I$708,"&lt;"&amp;L23)</f>
        <v>0</v>
      </c>
      <c r="O23" s="20"/>
      <c r="P23" s="20"/>
      <c r="Q23" s="148">
        <f t="shared" si="0"/>
        <v>0</v>
      </c>
      <c r="R23" s="148">
        <f t="shared" si="1"/>
        <v>0</v>
      </c>
    </row>
    <row r="24" spans="1:18" x14ac:dyDescent="0.25">
      <c r="A24" s="20"/>
      <c r="B24" s="20"/>
      <c r="C24" s="20"/>
      <c r="D24" s="20"/>
      <c r="E24" s="20"/>
      <c r="F24" s="20"/>
    </row>
    <row r="25" spans="1:18" x14ac:dyDescent="0.25">
      <c r="A25" s="20"/>
      <c r="B25" s="20"/>
      <c r="C25" s="20"/>
      <c r="D25" s="20"/>
      <c r="E25" s="20"/>
      <c r="F25" s="20"/>
      <c r="L25" s="38" t="s">
        <v>451</v>
      </c>
    </row>
    <row r="26" spans="1:18" ht="24" x14ac:dyDescent="0.25">
      <c r="A26" s="20"/>
      <c r="B26" s="20"/>
      <c r="C26" s="20"/>
      <c r="D26" s="20"/>
      <c r="E26" s="20"/>
      <c r="F26" s="20"/>
      <c r="L26" s="217" t="s">
        <v>452</v>
      </c>
      <c r="M26" s="217" t="s">
        <v>453</v>
      </c>
      <c r="N26" s="217" t="s">
        <v>454</v>
      </c>
      <c r="O26" s="217" t="s">
        <v>455</v>
      </c>
    </row>
    <row r="27" spans="1:18" x14ac:dyDescent="0.25">
      <c r="A27" s="20"/>
      <c r="B27" s="20"/>
      <c r="C27" s="20"/>
      <c r="D27" s="20"/>
      <c r="E27" s="20"/>
      <c r="F27" s="20"/>
      <c r="L27" s="20"/>
      <c r="M27" s="20"/>
      <c r="N27" s="148">
        <f>L27*M27</f>
        <v>0</v>
      </c>
      <c r="O27" s="148">
        <f>N27*1.06</f>
        <v>0</v>
      </c>
    </row>
    <row r="28" spans="1:18" x14ac:dyDescent="0.25">
      <c r="A28" s="20"/>
      <c r="B28" s="20"/>
      <c r="C28" s="20"/>
      <c r="D28" s="20"/>
      <c r="E28" s="20"/>
      <c r="F28" s="20"/>
    </row>
    <row r="29" spans="1:18" x14ac:dyDescent="0.25">
      <c r="A29" s="20"/>
      <c r="B29" s="20"/>
      <c r="C29" s="20"/>
      <c r="D29" s="20"/>
      <c r="E29" s="20"/>
      <c r="F29" s="20"/>
    </row>
    <row r="30" spans="1:18" x14ac:dyDescent="0.25">
      <c r="A30" s="20"/>
      <c r="B30" s="20"/>
      <c r="C30" s="20"/>
      <c r="D30" s="20"/>
      <c r="E30" s="20"/>
      <c r="F30" s="20"/>
    </row>
    <row r="32" spans="1:18" ht="15.75" x14ac:dyDescent="0.25">
      <c r="A32" s="238" t="s">
        <v>428</v>
      </c>
      <c r="B32" s="239"/>
      <c r="C32" s="216"/>
      <c r="D32" s="216"/>
      <c r="E32" s="216"/>
    </row>
    <row r="33" spans="1:12" x14ac:dyDescent="0.25">
      <c r="A33" s="251" t="s">
        <v>409</v>
      </c>
      <c r="B33" s="236"/>
      <c r="C33" s="236"/>
    </row>
    <row r="34" spans="1:12" ht="24" x14ac:dyDescent="0.25">
      <c r="A34" s="217" t="s">
        <v>410</v>
      </c>
      <c r="B34" s="217" t="s">
        <v>411</v>
      </c>
      <c r="C34" s="217" t="s">
        <v>412</v>
      </c>
      <c r="D34" s="217" t="s">
        <v>315</v>
      </c>
      <c r="E34" s="217" t="s">
        <v>413</v>
      </c>
      <c r="F34" s="217" t="s">
        <v>414</v>
      </c>
      <c r="G34" s="217" t="s">
        <v>415</v>
      </c>
      <c r="H34" s="217" t="s">
        <v>416</v>
      </c>
      <c r="I34" s="217" t="s">
        <v>91</v>
      </c>
      <c r="L34" s="217"/>
    </row>
    <row r="35" spans="1:12" x14ac:dyDescent="0.25">
      <c r="A35" s="20"/>
      <c r="B35" s="20"/>
      <c r="C35" s="20"/>
      <c r="D35" s="20"/>
      <c r="E35" s="20"/>
      <c r="F35" s="20"/>
      <c r="G35" s="20"/>
      <c r="H35" s="20"/>
      <c r="I35" s="20"/>
      <c r="L35" s="206"/>
    </row>
    <row r="36" spans="1:12" x14ac:dyDescent="0.25">
      <c r="A36" s="20"/>
      <c r="B36" s="20"/>
      <c r="C36" s="20"/>
      <c r="D36" s="20"/>
      <c r="E36" s="20"/>
      <c r="F36" s="20"/>
      <c r="G36" s="20"/>
      <c r="H36" s="20"/>
      <c r="I36" s="20"/>
      <c r="L36" s="206"/>
    </row>
    <row r="37" spans="1:12" x14ac:dyDescent="0.25">
      <c r="A37" s="20"/>
      <c r="B37" s="20"/>
      <c r="C37" s="20"/>
      <c r="D37" s="20"/>
      <c r="E37" s="20"/>
      <c r="F37" s="20"/>
      <c r="G37" s="20"/>
      <c r="H37" s="20"/>
      <c r="I37" s="20"/>
    </row>
    <row r="38" spans="1:12" x14ac:dyDescent="0.25">
      <c r="A38" s="20"/>
      <c r="B38" s="20"/>
      <c r="C38" s="20"/>
      <c r="D38" s="20"/>
      <c r="E38" s="20"/>
      <c r="F38" s="20"/>
      <c r="G38" s="20"/>
      <c r="H38" s="20"/>
      <c r="I38" s="20"/>
    </row>
    <row r="39" spans="1:12" x14ac:dyDescent="0.25">
      <c r="A39" s="20"/>
      <c r="B39" s="20"/>
      <c r="C39" s="20"/>
      <c r="D39" s="20"/>
      <c r="E39" s="20"/>
      <c r="F39" s="20"/>
      <c r="G39" s="20"/>
      <c r="H39" s="20"/>
      <c r="I39" s="20"/>
    </row>
    <row r="40" spans="1:12" x14ac:dyDescent="0.25">
      <c r="A40" s="20"/>
      <c r="B40" s="20"/>
      <c r="C40" s="20"/>
      <c r="D40" s="20"/>
      <c r="E40" s="20"/>
      <c r="F40" s="20"/>
      <c r="G40" s="20"/>
      <c r="H40" s="20"/>
      <c r="I40" s="20"/>
    </row>
    <row r="41" spans="1:12" x14ac:dyDescent="0.25">
      <c r="A41" s="20"/>
      <c r="B41" s="20"/>
      <c r="C41" s="20"/>
      <c r="D41" s="20"/>
      <c r="E41" s="20"/>
      <c r="F41" s="20"/>
      <c r="G41" s="20"/>
      <c r="H41" s="20"/>
      <c r="I41" s="20"/>
    </row>
    <row r="42" spans="1:12" x14ac:dyDescent="0.25">
      <c r="F42" t="s">
        <v>429</v>
      </c>
      <c r="L42" s="234"/>
    </row>
    <row r="43" spans="1:12" x14ac:dyDescent="0.25">
      <c r="A43" s="251" t="s">
        <v>449</v>
      </c>
      <c r="B43" s="236"/>
      <c r="C43" s="236"/>
    </row>
    <row r="44" spans="1:12" ht="24" x14ac:dyDescent="0.25">
      <c r="A44" s="217" t="s">
        <v>410</v>
      </c>
      <c r="B44" s="217" t="s">
        <v>411</v>
      </c>
      <c r="C44" s="217" t="s">
        <v>425</v>
      </c>
      <c r="D44" s="217" t="s">
        <v>426</v>
      </c>
      <c r="E44" s="217" t="s">
        <v>416</v>
      </c>
      <c r="F44" s="217" t="s">
        <v>91</v>
      </c>
    </row>
    <row r="45" spans="1:12" x14ac:dyDescent="0.25">
      <c r="A45" s="20"/>
      <c r="B45" s="20"/>
      <c r="C45" s="20"/>
      <c r="D45" s="20"/>
      <c r="E45" s="20"/>
      <c r="F45" s="20"/>
    </row>
    <row r="46" spans="1:12" ht="18" customHeight="1" x14ac:dyDescent="0.25">
      <c r="A46" s="20"/>
      <c r="B46" s="20"/>
      <c r="C46" s="20"/>
      <c r="D46" s="20"/>
      <c r="E46" s="20"/>
      <c r="F46" s="20"/>
    </row>
    <row r="47" spans="1:12" x14ac:dyDescent="0.25">
      <c r="A47" s="20"/>
      <c r="B47" s="20"/>
      <c r="C47" s="20"/>
      <c r="D47" s="20"/>
      <c r="E47" s="20"/>
      <c r="F47" s="20"/>
    </row>
    <row r="48" spans="1:12" x14ac:dyDescent="0.25">
      <c r="A48" s="20"/>
      <c r="B48" s="20"/>
      <c r="C48" s="20"/>
      <c r="D48" s="20"/>
      <c r="E48" s="20"/>
      <c r="F48" s="20"/>
    </row>
    <row r="49" spans="1:7" x14ac:dyDescent="0.25">
      <c r="A49" s="20"/>
      <c r="B49" s="20"/>
      <c r="C49" s="20"/>
      <c r="D49" s="20"/>
      <c r="E49" s="20"/>
      <c r="F49" s="20"/>
    </row>
    <row r="50" spans="1:7" x14ac:dyDescent="0.25">
      <c r="A50" s="20"/>
      <c r="B50" s="20"/>
      <c r="C50" s="20"/>
      <c r="D50" s="20"/>
      <c r="E50" s="20"/>
      <c r="F50" s="20"/>
    </row>
    <row r="51" spans="1:7" x14ac:dyDescent="0.25">
      <c r="A51" s="20"/>
      <c r="B51" s="20"/>
      <c r="C51" s="20"/>
      <c r="D51" s="20"/>
      <c r="E51" s="20"/>
      <c r="F51" s="20"/>
    </row>
    <row r="52" spans="1:7" x14ac:dyDescent="0.25">
      <c r="F52" s="15"/>
    </row>
    <row r="53" spans="1:7" ht="15.75" x14ac:dyDescent="0.25">
      <c r="A53" s="238" t="s">
        <v>430</v>
      </c>
      <c r="B53" s="216"/>
      <c r="C53" s="216"/>
      <c r="D53" s="216"/>
      <c r="E53" s="216"/>
    </row>
    <row r="54" spans="1:7" x14ac:dyDescent="0.25">
      <c r="A54" s="251" t="s">
        <v>431</v>
      </c>
      <c r="B54" s="236"/>
      <c r="C54" s="236"/>
      <c r="F54" s="235"/>
      <c r="G54" t="s">
        <v>429</v>
      </c>
    </row>
    <row r="55" spans="1:7" ht="48" x14ac:dyDescent="0.25">
      <c r="A55" s="217" t="s">
        <v>410</v>
      </c>
      <c r="B55" s="217" t="s">
        <v>432</v>
      </c>
      <c r="C55" s="217" t="s">
        <v>416</v>
      </c>
      <c r="D55" s="217" t="s">
        <v>91</v>
      </c>
      <c r="E55" s="217" t="s">
        <v>433</v>
      </c>
    </row>
    <row r="56" spans="1:7" x14ac:dyDescent="0.25">
      <c r="A56" s="20"/>
      <c r="B56" s="20"/>
      <c r="C56" s="20"/>
      <c r="D56" s="20"/>
      <c r="E56" s="20"/>
    </row>
    <row r="57" spans="1:7" x14ac:dyDescent="0.25">
      <c r="A57" s="20"/>
      <c r="B57" s="20"/>
      <c r="C57" s="20"/>
      <c r="D57" s="20"/>
      <c r="E57" s="20"/>
    </row>
    <row r="58" spans="1:7" x14ac:dyDescent="0.25">
      <c r="A58" s="20"/>
      <c r="B58" s="20"/>
      <c r="C58" s="20"/>
      <c r="D58" s="20"/>
      <c r="E58" s="20"/>
    </row>
    <row r="59" spans="1:7" x14ac:dyDescent="0.25">
      <c r="A59" s="20"/>
      <c r="B59" s="20"/>
      <c r="C59" s="20"/>
      <c r="D59" s="20"/>
      <c r="E59" s="20"/>
    </row>
    <row r="60" spans="1:7" x14ac:dyDescent="0.25">
      <c r="A60" s="20"/>
      <c r="B60" s="20"/>
      <c r="C60" s="20"/>
      <c r="D60" s="20"/>
      <c r="E60" s="20"/>
    </row>
    <row r="61" spans="1:7" x14ac:dyDescent="0.25">
      <c r="A61" s="20"/>
      <c r="B61" s="20"/>
      <c r="C61" s="20"/>
      <c r="D61" s="20"/>
      <c r="E61" s="20"/>
    </row>
    <row r="62" spans="1:7" x14ac:dyDescent="0.25">
      <c r="A62" s="20"/>
      <c r="B62" s="20"/>
      <c r="C62" s="20"/>
      <c r="D62" s="20"/>
      <c r="E62" s="20"/>
    </row>
  </sheetData>
  <pageMargins left="0.7" right="0.7" top="0.75" bottom="0.75" header="0.3" footer="0.3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69A5FB4-350D-4FAB-89BE-E887F4E61280}">
          <x14:formula1>
            <xm:f>'Satama-alukset_fx'!$B$49:$B$55</xm:f>
          </x14:formula1>
          <xm:sqref>C45:C51 C24:C30</xm:sqref>
        </x14:dataValidation>
        <x14:dataValidation type="list" allowBlank="1" showInputMessage="1" showErrorMessage="1" xr:uid="{007BEEEF-780A-430C-9809-A5562ABAFFB7}">
          <x14:formula1>
            <xm:f>'Satama-alukset_fx'!$A$69:$A$70</xm:f>
          </x14:formula1>
          <xm:sqref>I14:I20 F24:F30 I35:I41 F45:F51 D56:D62</xm:sqref>
        </x14:dataValidation>
        <x14:dataValidation type="list" allowBlank="1" showInputMessage="1" showErrorMessage="1" xr:uid="{0CD04758-6CFA-47B8-8146-B0813C915CCE}">
          <x14:formula1>
            <xm:f>'Satama-alukset_fx'!$E$14:$E$22</xm:f>
          </x14:formula1>
          <xm:sqref>A14:A20 A45:A51 A35:A41 A24:A30</xm:sqref>
        </x14:dataValidation>
        <x14:dataValidation type="list" allowBlank="1" showInputMessage="1" showErrorMessage="1" xr:uid="{D20A5108-925B-4661-B844-F6FCE2E93BB2}">
          <x14:formula1>
            <xm:f>'Satama-alukset_fx'!$E$59:$E$61</xm:f>
          </x14:formula1>
          <xm:sqref>A56:A62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B1B1F-9DA2-4DCB-8E97-A7E403587562}">
  <sheetPr codeName="Sheet3">
    <tabColor theme="7"/>
    <pageSetUpPr fitToPage="1"/>
  </sheetPr>
  <dimension ref="A1:S27"/>
  <sheetViews>
    <sheetView workbookViewId="0">
      <pane ySplit="2" topLeftCell="A3" activePane="bottomLeft" state="frozen"/>
      <selection activeCell="F29" sqref="F28:F29"/>
      <selection pane="bottomLeft" activeCell="F29" sqref="F28:F29"/>
    </sheetView>
  </sheetViews>
  <sheetFormatPr defaultRowHeight="15" x14ac:dyDescent="0.25"/>
  <cols>
    <col min="1" max="1" width="24.7109375" customWidth="1"/>
    <col min="2" max="2" width="25" customWidth="1"/>
    <col min="8" max="8" width="19.42578125" style="15" customWidth="1"/>
    <col min="9" max="9" width="20.5703125" customWidth="1"/>
    <col min="10" max="10" width="19" customWidth="1"/>
    <col min="11" max="11" width="16.85546875" customWidth="1"/>
    <col min="12" max="12" width="8.28515625" customWidth="1"/>
    <col min="13" max="13" width="28.42578125" customWidth="1"/>
    <col min="14" max="14" width="13.42578125" customWidth="1"/>
    <col min="15" max="15" width="15.5703125" customWidth="1"/>
    <col min="16" max="17" width="12.28515625" customWidth="1"/>
    <col min="18" max="18" width="11.42578125" customWidth="1"/>
    <col min="19" max="19" width="12.7109375" customWidth="1"/>
    <col min="20" max="20" width="11.5703125" customWidth="1"/>
  </cols>
  <sheetData>
    <row r="1" spans="1:19" s="148" customFormat="1" ht="129" customHeight="1" x14ac:dyDescent="0.25">
      <c r="H1" s="154"/>
    </row>
    <row r="2" spans="1:19" s="61" customFormat="1" ht="35.25" customHeight="1" x14ac:dyDescent="0.4">
      <c r="A2" s="61" t="s">
        <v>872</v>
      </c>
      <c r="H2" s="76"/>
    </row>
    <row r="3" spans="1:19" ht="15.75" thickBot="1" x14ac:dyDescent="0.3"/>
    <row r="4" spans="1:19" ht="18.75" x14ac:dyDescent="0.3">
      <c r="A4" s="48" t="s">
        <v>873</v>
      </c>
      <c r="M4" s="7" t="s">
        <v>104</v>
      </c>
      <c r="N4" s="8" t="s">
        <v>105</v>
      </c>
      <c r="O4" s="8" t="s">
        <v>106</v>
      </c>
      <c r="P4" s="9" t="s">
        <v>107</v>
      </c>
    </row>
    <row r="5" spans="1:19" ht="15.75" thickBot="1" x14ac:dyDescent="0.3">
      <c r="M5" s="10"/>
      <c r="N5" s="11">
        <v>1</v>
      </c>
      <c r="O5" s="11">
        <v>25</v>
      </c>
      <c r="P5" s="12">
        <v>298</v>
      </c>
    </row>
    <row r="6" spans="1:19" ht="15.75" thickBot="1" x14ac:dyDescent="0.3"/>
    <row r="7" spans="1:19" ht="15.75" x14ac:dyDescent="0.25">
      <c r="H7" s="396" t="s">
        <v>456</v>
      </c>
      <c r="I7" s="77" t="s">
        <v>457</v>
      </c>
      <c r="J7" s="23"/>
      <c r="K7" s="24"/>
      <c r="M7" s="67" t="s">
        <v>458</v>
      </c>
      <c r="N7" s="23"/>
      <c r="O7" s="23"/>
      <c r="P7" s="23"/>
      <c r="Q7" s="23"/>
      <c r="R7" s="24"/>
    </row>
    <row r="8" spans="1:19" ht="29.25" customHeight="1" x14ac:dyDescent="0.3">
      <c r="A8" s="187" t="s">
        <v>459</v>
      </c>
      <c r="H8" s="406" t="s">
        <v>460</v>
      </c>
      <c r="I8" s="407"/>
      <c r="J8" s="407"/>
      <c r="K8" s="408"/>
      <c r="M8" s="55" t="s">
        <v>390</v>
      </c>
      <c r="N8" s="50" t="s">
        <v>105</v>
      </c>
      <c r="O8" s="50" t="s">
        <v>106</v>
      </c>
      <c r="P8" s="50" t="s">
        <v>106</v>
      </c>
      <c r="Q8" s="50" t="s">
        <v>107</v>
      </c>
      <c r="R8" s="56" t="s">
        <v>107</v>
      </c>
      <c r="S8" s="50" t="s">
        <v>170</v>
      </c>
    </row>
    <row r="9" spans="1:19" ht="30" x14ac:dyDescent="0.25">
      <c r="H9" s="72"/>
      <c r="I9" s="45" t="s">
        <v>461</v>
      </c>
      <c r="J9" s="45" t="s">
        <v>462</v>
      </c>
      <c r="K9" s="56" t="s">
        <v>170</v>
      </c>
      <c r="M9" s="64"/>
      <c r="N9" s="17" t="s">
        <v>391</v>
      </c>
      <c r="O9" s="17" t="s">
        <v>463</v>
      </c>
      <c r="P9" s="17" t="s">
        <v>391</v>
      </c>
      <c r="Q9" s="17" t="s">
        <v>464</v>
      </c>
      <c r="R9" s="65" t="s">
        <v>391</v>
      </c>
      <c r="S9" s="17" t="s">
        <v>391</v>
      </c>
    </row>
    <row r="10" spans="1:19" ht="15.75" x14ac:dyDescent="0.25">
      <c r="A10" s="47" t="s">
        <v>465</v>
      </c>
      <c r="H10" s="73"/>
      <c r="I10" s="17" t="s">
        <v>330</v>
      </c>
      <c r="J10" s="17"/>
      <c r="K10" s="65" t="s">
        <v>466</v>
      </c>
      <c r="M10" s="147" t="s">
        <v>393</v>
      </c>
      <c r="N10" s="161">
        <v>2.2717929999999998E-3</v>
      </c>
      <c r="O10" s="148">
        <v>1.4618999999999999E-6</v>
      </c>
      <c r="P10" s="148">
        <f t="shared" ref="P10:P16" si="0">O10*$O$5</f>
        <v>3.6547499999999995E-5</v>
      </c>
      <c r="Q10" s="148">
        <v>1.0490239999999999E-7</v>
      </c>
      <c r="R10" s="149">
        <f t="shared" ref="R10:R16" si="1">Q10*$P$5</f>
        <v>3.1260915199999995E-5</v>
      </c>
      <c r="S10" s="240">
        <f>N10+P10+R10</f>
        <v>2.3396014151999996E-3</v>
      </c>
    </row>
    <row r="11" spans="1:19" ht="30" x14ac:dyDescent="0.25">
      <c r="A11" s="125"/>
      <c r="H11" s="62" t="s">
        <v>467</v>
      </c>
      <c r="K11" s="28"/>
      <c r="M11" s="27" t="s">
        <v>394</v>
      </c>
      <c r="N11" s="75">
        <v>2.6764919999999999E-3</v>
      </c>
      <c r="O11" s="20">
        <v>1.677E-7</v>
      </c>
      <c r="P11" s="20">
        <f t="shared" si="0"/>
        <v>4.1925000000000001E-6</v>
      </c>
      <c r="Q11" s="20">
        <v>1.4086799999999999E-7</v>
      </c>
      <c r="R11" s="26">
        <f t="shared" si="1"/>
        <v>4.1978663999999993E-5</v>
      </c>
      <c r="S11" s="240">
        <f t="shared" ref="S11:S16" si="2">N11+P11+R11</f>
        <v>2.7226631639999999E-3</v>
      </c>
    </row>
    <row r="12" spans="1:19" x14ac:dyDescent="0.25">
      <c r="A12" s="5" t="s">
        <v>468</v>
      </c>
      <c r="B12" s="5"/>
      <c r="C12" s="5"/>
      <c r="D12" s="5"/>
      <c r="H12" s="66" t="s">
        <v>469</v>
      </c>
      <c r="I12" s="20">
        <v>99</v>
      </c>
      <c r="J12" s="20">
        <v>0.26</v>
      </c>
      <c r="K12" s="26">
        <v>2673</v>
      </c>
      <c r="M12" s="147" t="s">
        <v>395</v>
      </c>
      <c r="N12" s="161">
        <v>1.6117E-3</v>
      </c>
      <c r="O12" s="148">
        <v>2.9326000000000001E-6</v>
      </c>
      <c r="P12" s="148">
        <f t="shared" si="0"/>
        <v>7.3314999999999999E-5</v>
      </c>
      <c r="Q12" s="148">
        <v>5.1083999999999994E-9</v>
      </c>
      <c r="R12" s="149">
        <f t="shared" si="1"/>
        <v>1.5223031999999998E-6</v>
      </c>
      <c r="S12" s="240">
        <f t="shared" si="2"/>
        <v>1.6865373031999999E-3</v>
      </c>
    </row>
    <row r="13" spans="1:19" ht="15.75" thickBot="1" x14ac:dyDescent="0.3">
      <c r="A13" s="5" t="s">
        <v>470</v>
      </c>
      <c r="B13" s="5"/>
      <c r="C13" s="5"/>
      <c r="D13" s="5"/>
      <c r="H13" s="156" t="s">
        <v>471</v>
      </c>
      <c r="I13" s="148">
        <v>88</v>
      </c>
      <c r="J13" s="148">
        <v>0.3</v>
      </c>
      <c r="K13" s="149">
        <v>2672</v>
      </c>
      <c r="M13" s="27" t="s">
        <v>396</v>
      </c>
      <c r="N13" s="75">
        <v>2.5193759999999998E-3</v>
      </c>
      <c r="O13" s="74">
        <v>4.3799999999999998E-7</v>
      </c>
      <c r="P13" s="74">
        <f t="shared" si="0"/>
        <v>1.095E-5</v>
      </c>
      <c r="Q13" s="20">
        <v>2.1024E-8</v>
      </c>
      <c r="R13" s="26">
        <f t="shared" si="1"/>
        <v>6.2651520000000001E-6</v>
      </c>
      <c r="S13" s="240">
        <f t="shared" si="2"/>
        <v>2.5365911519999998E-3</v>
      </c>
    </row>
    <row r="14" spans="1:19" x14ac:dyDescent="0.25">
      <c r="A14" s="67" t="s">
        <v>51</v>
      </c>
      <c r="B14" s="105"/>
      <c r="H14" s="66" t="s">
        <v>472</v>
      </c>
      <c r="I14" s="20">
        <v>74</v>
      </c>
      <c r="J14" s="20">
        <v>0.33</v>
      </c>
      <c r="K14" s="26">
        <v>2672</v>
      </c>
      <c r="M14" s="147" t="s">
        <v>397</v>
      </c>
      <c r="N14" s="161">
        <v>2.9466599999999998E-3</v>
      </c>
      <c r="O14" s="162">
        <v>4.0200000000000003E-7</v>
      </c>
      <c r="P14" s="162">
        <f t="shared" si="0"/>
        <v>1.005E-5</v>
      </c>
      <c r="Q14" s="148">
        <v>2.412E-8</v>
      </c>
      <c r="R14" s="149">
        <f t="shared" si="1"/>
        <v>7.1877599999999998E-6</v>
      </c>
      <c r="S14" s="240">
        <f t="shared" si="2"/>
        <v>2.9638977600000001E-3</v>
      </c>
    </row>
    <row r="15" spans="1:19" x14ac:dyDescent="0.25">
      <c r="A15" s="55" t="s">
        <v>337</v>
      </c>
      <c r="B15" s="56" t="s">
        <v>54</v>
      </c>
      <c r="H15" s="157" t="s">
        <v>473</v>
      </c>
      <c r="I15" s="148">
        <v>67</v>
      </c>
      <c r="J15" s="148">
        <v>0.28999999999999998</v>
      </c>
      <c r="K15" s="149">
        <v>2675</v>
      </c>
      <c r="M15" s="27" t="s">
        <v>398</v>
      </c>
      <c r="N15" s="75">
        <v>5.3182800000000003E-4</v>
      </c>
      <c r="O15" s="74">
        <v>4.4159999999999997E-6</v>
      </c>
      <c r="P15" s="74">
        <f t="shared" si="0"/>
        <v>1.104E-4</v>
      </c>
      <c r="Q15" s="20">
        <v>2.8439999999999999E-8</v>
      </c>
      <c r="R15" s="26">
        <f t="shared" si="1"/>
        <v>8.4751199999999992E-6</v>
      </c>
      <c r="S15" s="240">
        <f t="shared" si="2"/>
        <v>6.5070312000000004E-4</v>
      </c>
    </row>
    <row r="16" spans="1:19" ht="30.75" thickBot="1" x14ac:dyDescent="0.3">
      <c r="A16" s="132">
        <v>2018</v>
      </c>
      <c r="B16" s="133">
        <v>119</v>
      </c>
      <c r="H16" s="66" t="s">
        <v>474</v>
      </c>
      <c r="I16" s="20">
        <v>89</v>
      </c>
      <c r="J16" s="20">
        <v>0.36</v>
      </c>
      <c r="K16" s="26">
        <v>2672</v>
      </c>
      <c r="M16" s="150" t="s">
        <v>399</v>
      </c>
      <c r="N16" s="159">
        <v>1.2117600000000001E-3</v>
      </c>
      <c r="O16" s="160">
        <v>4.4159999999999997E-6</v>
      </c>
      <c r="P16" s="160">
        <f t="shared" si="0"/>
        <v>1.104E-4</v>
      </c>
      <c r="Q16" s="151">
        <v>6.4799999999999998E-8</v>
      </c>
      <c r="R16" s="152">
        <f t="shared" si="1"/>
        <v>1.9310400000000001E-5</v>
      </c>
      <c r="S16" s="240">
        <f t="shared" si="2"/>
        <v>1.3414704000000001E-3</v>
      </c>
    </row>
    <row r="17" spans="1:13" x14ac:dyDescent="0.25">
      <c r="A17" s="156">
        <v>2019</v>
      </c>
      <c r="B17" s="163">
        <v>101</v>
      </c>
      <c r="H17" s="63"/>
      <c r="K17" s="28"/>
      <c r="M17" s="71"/>
    </row>
    <row r="18" spans="1:13" ht="30.75" thickBot="1" x14ac:dyDescent="0.3">
      <c r="A18" s="134">
        <v>2020</v>
      </c>
      <c r="B18" s="135">
        <v>72</v>
      </c>
      <c r="H18" s="62" t="s">
        <v>475</v>
      </c>
      <c r="K18" s="28"/>
    </row>
    <row r="19" spans="1:13" ht="30" x14ac:dyDescent="0.25">
      <c r="H19" s="156" t="s">
        <v>476</v>
      </c>
      <c r="I19" s="148">
        <v>30</v>
      </c>
      <c r="J19" s="148">
        <v>0.3</v>
      </c>
      <c r="K19" s="149">
        <v>2243</v>
      </c>
    </row>
    <row r="20" spans="1:13" ht="30" x14ac:dyDescent="0.25">
      <c r="A20" s="42" t="s">
        <v>91</v>
      </c>
      <c r="H20" s="66" t="s">
        <v>477</v>
      </c>
      <c r="I20" s="20">
        <v>30</v>
      </c>
      <c r="J20" s="20">
        <v>0.3</v>
      </c>
      <c r="K20" s="26">
        <v>1518</v>
      </c>
    </row>
    <row r="21" spans="1:13" ht="30.75" thickBot="1" x14ac:dyDescent="0.3">
      <c r="A21" t="s">
        <v>55</v>
      </c>
      <c r="H21" s="158" t="s">
        <v>478</v>
      </c>
      <c r="I21" s="151">
        <v>10</v>
      </c>
      <c r="J21" s="151">
        <v>0.5</v>
      </c>
      <c r="K21" s="152">
        <v>2271</v>
      </c>
    </row>
    <row r="22" spans="1:13" x14ac:dyDescent="0.25">
      <c r="A22" t="s">
        <v>57</v>
      </c>
    </row>
    <row r="25" spans="1:13" x14ac:dyDescent="0.25">
      <c r="H25"/>
    </row>
    <row r="26" spans="1:13" x14ac:dyDescent="0.25">
      <c r="H26"/>
    </row>
    <row r="27" spans="1:13" x14ac:dyDescent="0.25">
      <c r="H27"/>
    </row>
  </sheetData>
  <mergeCells count="1">
    <mergeCell ref="H8:K8"/>
  </mergeCells>
  <pageMargins left="0.7" right="0.7" top="0.75" bottom="0.75" header="0.3" footer="0.3"/>
  <pageSetup paperSize="9" scale="54" orientation="landscape" verticalDpi="0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E5C9A-5CCF-4AB3-8955-0DA4200FF5F9}">
  <sheetPr>
    <tabColor theme="7"/>
  </sheetPr>
  <dimension ref="A1:N49"/>
  <sheetViews>
    <sheetView workbookViewId="0">
      <pane ySplit="3" topLeftCell="A4" activePane="bottomLeft" state="frozen"/>
      <selection activeCell="F29" sqref="F28:F29"/>
      <selection pane="bottomLeft" activeCell="F29" sqref="F28:F29"/>
    </sheetView>
  </sheetViews>
  <sheetFormatPr defaultRowHeight="15" x14ac:dyDescent="0.25"/>
  <cols>
    <col min="1" max="2" width="27.5703125" customWidth="1"/>
    <col min="3" max="3" width="13.140625" customWidth="1"/>
    <col min="4" max="7" width="27.5703125" customWidth="1"/>
    <col min="8" max="8" width="26.85546875" customWidth="1"/>
    <col min="9" max="9" width="18.5703125" customWidth="1"/>
    <col min="10" max="10" width="22.7109375" customWidth="1"/>
    <col min="11" max="11" width="19.85546875" customWidth="1"/>
    <col min="12" max="13" width="18.28515625" customWidth="1"/>
    <col min="14" max="14" width="24" customWidth="1"/>
    <col min="15" max="15" width="18.28515625" customWidth="1"/>
  </cols>
  <sheetData>
    <row r="1" spans="1:12" s="148" customFormat="1" ht="129" customHeight="1" x14ac:dyDescent="0.25"/>
    <row r="2" spans="1:12" s="61" customFormat="1" ht="35.25" customHeight="1" x14ac:dyDescent="0.4">
      <c r="A2" s="61" t="s">
        <v>872</v>
      </c>
      <c r="K2" s="76"/>
    </row>
    <row r="3" spans="1:12" s="200" customFormat="1" ht="27" customHeight="1" x14ac:dyDescent="0.3">
      <c r="A3" s="200" t="s">
        <v>84</v>
      </c>
      <c r="C3" s="200">
        <f>YHTEENVETO!D3</f>
        <v>2019</v>
      </c>
    </row>
    <row r="5" spans="1:12" x14ac:dyDescent="0.25">
      <c r="A5" s="5" t="s">
        <v>479</v>
      </c>
      <c r="B5" s="5"/>
      <c r="C5" s="5"/>
      <c r="D5" s="5"/>
      <c r="E5" s="5"/>
      <c r="F5" s="5"/>
    </row>
    <row r="6" spans="1:12" x14ac:dyDescent="0.25">
      <c r="A6" s="5" t="s">
        <v>480</v>
      </c>
      <c r="B6" s="5"/>
      <c r="C6" s="5"/>
      <c r="D6" s="5"/>
      <c r="E6" s="5"/>
      <c r="F6" s="5"/>
    </row>
    <row r="9" spans="1:12" ht="15.75" x14ac:dyDescent="0.25">
      <c r="A9" s="238" t="s">
        <v>481</v>
      </c>
      <c r="B9" s="216"/>
      <c r="C9" s="216"/>
      <c r="D9" s="216"/>
      <c r="E9" s="216"/>
    </row>
    <row r="10" spans="1:12" x14ac:dyDescent="0.25">
      <c r="A10" s="251" t="s">
        <v>449</v>
      </c>
      <c r="B10" s="236"/>
    </row>
    <row r="11" spans="1:12" ht="24" x14ac:dyDescent="0.25">
      <c r="A11" s="217" t="s">
        <v>482</v>
      </c>
      <c r="B11" s="217" t="s">
        <v>483</v>
      </c>
      <c r="C11" s="217" t="s">
        <v>484</v>
      </c>
      <c r="D11" s="217" t="s">
        <v>485</v>
      </c>
      <c r="E11" s="217" t="s">
        <v>425</v>
      </c>
      <c r="F11" s="217" t="s">
        <v>486</v>
      </c>
      <c r="G11" s="217" t="s">
        <v>91</v>
      </c>
      <c r="H11" s="217" t="s">
        <v>90</v>
      </c>
      <c r="J11" s="217" t="s">
        <v>427</v>
      </c>
      <c r="K11" s="217" t="s">
        <v>423</v>
      </c>
      <c r="L11" s="217" t="s">
        <v>93</v>
      </c>
    </row>
    <row r="12" spans="1:12" x14ac:dyDescent="0.25">
      <c r="A12" s="15">
        <f>LKL!A16</f>
        <v>0</v>
      </c>
      <c r="B12" s="15">
        <f>LKL!B16</f>
        <v>0</v>
      </c>
      <c r="C12" s="15">
        <f>LKL!C16</f>
        <v>0</v>
      </c>
      <c r="D12" s="15">
        <f>LKL!D16</f>
        <v>0</v>
      </c>
      <c r="E12" s="15">
        <f>LKL!E16</f>
        <v>0</v>
      </c>
      <c r="F12">
        <f>LKL!F16</f>
        <v>0</v>
      </c>
      <c r="G12">
        <f>LKL!G16</f>
        <v>0</v>
      </c>
      <c r="H12">
        <f>LKL!H16</f>
        <v>0</v>
      </c>
      <c r="J12">
        <f>IF(E12=LKL_fx!$M$10,LKL_fx!$S$10,IF(E12=LKL_fx!$M$11,LKL_fx!$S$11,IF(E12=LKL_fx!$M$12,LKL_fx!$S$12,IF(E12=LKL_fx!$M$13,LKL_fx!$S$13,IF(E12=LKL_fx!$M$14,LKL_fx!$S$14,IF(E12=LKL_fx!$M$15,LKL_fx!$S$15,IF(E12=LKL_fx!$M$16,LKL_fx!$S$16,0)))))))</f>
        <v>0</v>
      </c>
      <c r="K12">
        <f>IF(G12=LKL_fx!$A$21,0,IF($C$3=2018,Energia_fx!$C$12,IF($C$3=2019,Energia_fx!$C$13,IF($C$3=2020,Energia_fx!$C$14,IF($C$3=2021,Energia_fx!$C$15,Energia_fx!$C$16)))))</f>
        <v>101</v>
      </c>
      <c r="L12">
        <f>F12*J12+H12*K12/1000000</f>
        <v>0</v>
      </c>
    </row>
    <row r="13" spans="1:12" x14ac:dyDescent="0.25">
      <c r="A13" s="15">
        <f>LKL!A17</f>
        <v>0</v>
      </c>
      <c r="B13" s="15">
        <f>LKL!B17</f>
        <v>0</v>
      </c>
      <c r="C13" s="15">
        <f>LKL!C17</f>
        <v>0</v>
      </c>
      <c r="D13" s="15">
        <f>LKL!D17</f>
        <v>0</v>
      </c>
      <c r="E13" s="15">
        <f>LKL!E17</f>
        <v>0</v>
      </c>
      <c r="F13">
        <f>LKL!F17</f>
        <v>0</v>
      </c>
      <c r="G13">
        <f>LKL!G17</f>
        <v>0</v>
      </c>
      <c r="H13">
        <f>LKL!H17</f>
        <v>0</v>
      </c>
      <c r="J13">
        <f>IF(E13=LKL_fx!$M$10,LKL_fx!$S$10,IF(E13=LKL_fx!$M$11,LKL_fx!$S$11,IF(E13=LKL_fx!$M$12,LKL_fx!$S$12,IF(E13=LKL_fx!$M$13,LKL_fx!$S$13,IF(E13=LKL_fx!$M$14,LKL_fx!$S$14,IF(E13=LKL_fx!$M$15,LKL_fx!$S$15,IF(E13=LKL_fx!$M$16,LKL_fx!$S$16,0)))))))</f>
        <v>0</v>
      </c>
      <c r="K13">
        <f>IF(G13=LKL_fx!$A$21,0,IF($C$3=2018,Energia_fx!$C$12,IF($C$3=2019,Energia_fx!$C$13,IF($C$3=2020,Energia_fx!$C$14,IF($C$3=2021,Energia_fx!$C$15,Energia_fx!$C$16)))))</f>
        <v>101</v>
      </c>
      <c r="L13">
        <f t="shared" ref="L13:L26" si="0">F13*J13+H13*K13/1000000</f>
        <v>0</v>
      </c>
    </row>
    <row r="14" spans="1:12" x14ac:dyDescent="0.25">
      <c r="A14" s="15">
        <f>LKL!A18</f>
        <v>0</v>
      </c>
      <c r="B14" s="15">
        <f>LKL!B18</f>
        <v>0</v>
      </c>
      <c r="C14" s="15">
        <f>LKL!C18</f>
        <v>0</v>
      </c>
      <c r="D14" s="15">
        <f>LKL!D18</f>
        <v>0</v>
      </c>
      <c r="E14" s="15">
        <f>LKL!E18</f>
        <v>0</v>
      </c>
      <c r="F14">
        <f>LKL!F18</f>
        <v>0</v>
      </c>
      <c r="G14">
        <f>LKL!G18</f>
        <v>0</v>
      </c>
      <c r="H14">
        <f>LKL!H18</f>
        <v>0</v>
      </c>
      <c r="J14">
        <f>IF(E14=LKL_fx!$M$10,LKL_fx!$S$10,IF(E14=LKL_fx!$M$11,LKL_fx!$S$11,IF(E14=LKL_fx!$M$12,LKL_fx!$S$12,IF(E14=LKL_fx!$M$13,LKL_fx!$S$13,IF(E14=LKL_fx!$M$14,LKL_fx!$S$14,IF(E14=LKL_fx!$M$15,LKL_fx!$S$15,IF(E14=LKL_fx!$M$16,LKL_fx!$S$16,0)))))))</f>
        <v>0</v>
      </c>
      <c r="K14">
        <f>IF(G14=LKL_fx!$A$21,0,IF($C$3=2018,Energia_fx!$C$12,IF($C$3=2019,Energia_fx!$C$13,IF($C$3=2020,Energia_fx!$C$14,IF($C$3=2021,Energia_fx!$C$15,Energia_fx!$C$16)))))</f>
        <v>101</v>
      </c>
      <c r="L14">
        <f t="shared" si="0"/>
        <v>0</v>
      </c>
    </row>
    <row r="15" spans="1:12" x14ac:dyDescent="0.25">
      <c r="A15" s="15">
        <f>LKL!A19</f>
        <v>0</v>
      </c>
      <c r="B15" s="15">
        <f>LKL!B19</f>
        <v>0</v>
      </c>
      <c r="C15" s="15">
        <f>LKL!C19</f>
        <v>0</v>
      </c>
      <c r="D15" s="15">
        <f>LKL!D19</f>
        <v>0</v>
      </c>
      <c r="E15" s="15">
        <f>LKL!E19</f>
        <v>0</v>
      </c>
      <c r="F15">
        <f>LKL!F19</f>
        <v>0</v>
      </c>
      <c r="G15">
        <f>LKL!G19</f>
        <v>0</v>
      </c>
      <c r="H15">
        <f>LKL!H19</f>
        <v>0</v>
      </c>
      <c r="J15">
        <f>IF(E15=LKL_fx!$M$10,LKL_fx!$S$10,IF(E15=LKL_fx!$M$11,LKL_fx!$S$11,IF(E15=LKL_fx!$M$12,LKL_fx!$S$12,IF(E15=LKL_fx!$M$13,LKL_fx!$S$13,IF(E15=LKL_fx!$M$14,LKL_fx!$S$14,IF(E15=LKL_fx!$M$15,LKL_fx!$S$15,IF(E15=LKL_fx!$M$16,LKL_fx!$S$16,0)))))))</f>
        <v>0</v>
      </c>
      <c r="K15">
        <f>IF(G15=LKL_fx!$A$21,0,IF($C$3=2018,Energia_fx!$C$12,IF($C$3=2019,Energia_fx!$C$13,IF($C$3=2020,Energia_fx!$C$14,IF($C$3=2021,Energia_fx!$C$15,Energia_fx!$C$16)))))</f>
        <v>101</v>
      </c>
      <c r="L15">
        <f t="shared" si="0"/>
        <v>0</v>
      </c>
    </row>
    <row r="16" spans="1:12" x14ac:dyDescent="0.25">
      <c r="A16" s="15">
        <f>LKL!A20</f>
        <v>0</v>
      </c>
      <c r="B16" s="15">
        <f>LKL!B20</f>
        <v>0</v>
      </c>
      <c r="C16" s="15">
        <f>LKL!C20</f>
        <v>0</v>
      </c>
      <c r="D16" s="15">
        <f>LKL!D20</f>
        <v>0</v>
      </c>
      <c r="E16" s="15">
        <f>LKL!E20</f>
        <v>0</v>
      </c>
      <c r="F16">
        <f>LKL!F20</f>
        <v>0</v>
      </c>
      <c r="G16">
        <f>LKL!G20</f>
        <v>0</v>
      </c>
      <c r="H16">
        <f>LKL!H20</f>
        <v>0</v>
      </c>
      <c r="J16">
        <f>IF(E16=LKL_fx!$M$10,LKL_fx!$S$10,IF(E16=LKL_fx!$M$11,LKL_fx!$S$11,IF(E16=LKL_fx!$M$12,LKL_fx!$S$12,IF(E16=LKL_fx!$M$13,LKL_fx!$S$13,IF(E16=LKL_fx!$M$14,LKL_fx!$S$14,IF(E16=LKL_fx!$M$15,LKL_fx!$S$15,IF(E16=LKL_fx!$M$16,LKL_fx!$S$16,0)))))))</f>
        <v>0</v>
      </c>
      <c r="K16">
        <f>IF(G16=LKL_fx!$A$21,0,IF($C$3=2018,Energia_fx!$C$12,IF($C$3=2019,Energia_fx!$C$13,IF($C$3=2020,Energia_fx!$C$14,IF($C$3=2021,Energia_fx!$C$15,Energia_fx!$C$16)))))</f>
        <v>101</v>
      </c>
      <c r="L16">
        <f t="shared" si="0"/>
        <v>0</v>
      </c>
    </row>
    <row r="17" spans="1:14" x14ac:dyDescent="0.25">
      <c r="A17" s="15">
        <f>LKL!A21</f>
        <v>0</v>
      </c>
      <c r="B17" s="15">
        <f>LKL!B21</f>
        <v>0</v>
      </c>
      <c r="C17" s="15">
        <f>LKL!C21</f>
        <v>0</v>
      </c>
      <c r="D17" s="15">
        <f>LKL!D21</f>
        <v>0</v>
      </c>
      <c r="E17" s="15">
        <f>LKL!E21</f>
        <v>0</v>
      </c>
      <c r="F17">
        <f>LKL!F21</f>
        <v>0</v>
      </c>
      <c r="G17">
        <f>LKL!G21</f>
        <v>0</v>
      </c>
      <c r="H17">
        <f>LKL!H21</f>
        <v>0</v>
      </c>
      <c r="J17">
        <f>IF(E17=LKL_fx!$M$10,LKL_fx!$S$10,IF(E17=LKL_fx!$M$11,LKL_fx!$S$11,IF(E17=LKL_fx!$M$12,LKL_fx!$S$12,IF(E17=LKL_fx!$M$13,LKL_fx!$S$13,IF(E17=LKL_fx!$M$14,LKL_fx!$S$14,IF(E17=LKL_fx!$M$15,LKL_fx!$S$15,IF(E17=LKL_fx!$M$16,LKL_fx!$S$16,0)))))))</f>
        <v>0</v>
      </c>
      <c r="K17">
        <f>IF(G17=LKL_fx!$A$21,0,IF($C$3=2018,Energia_fx!$C$12,IF($C$3=2019,Energia_fx!$C$13,IF($C$3=2020,Energia_fx!$C$14,IF($C$3=2021,Energia_fx!$C$15,Energia_fx!$C$16)))))</f>
        <v>101</v>
      </c>
      <c r="L17">
        <f t="shared" si="0"/>
        <v>0</v>
      </c>
    </row>
    <row r="18" spans="1:14" x14ac:dyDescent="0.25">
      <c r="A18" s="15">
        <f>LKL!A22</f>
        <v>0</v>
      </c>
      <c r="B18" s="15">
        <f>LKL!B22</f>
        <v>0</v>
      </c>
      <c r="C18" s="15">
        <f>LKL!C22</f>
        <v>0</v>
      </c>
      <c r="D18" s="15">
        <f>LKL!D22</f>
        <v>0</v>
      </c>
      <c r="E18" s="15">
        <f>LKL!E22</f>
        <v>0</v>
      </c>
      <c r="F18">
        <f>LKL!F22</f>
        <v>0</v>
      </c>
      <c r="G18">
        <f>LKL!G22</f>
        <v>0</v>
      </c>
      <c r="H18">
        <f>LKL!H22</f>
        <v>0</v>
      </c>
      <c r="J18">
        <f>IF(E18=LKL_fx!$M$10,LKL_fx!$S$10,IF(E18=LKL_fx!$M$11,LKL_fx!$S$11,IF(E18=LKL_fx!$M$12,LKL_fx!$S$12,IF(E18=LKL_fx!$M$13,LKL_fx!$S$13,IF(E18=LKL_fx!$M$14,LKL_fx!$S$14,IF(E18=LKL_fx!$M$15,LKL_fx!$S$15,IF(E18=LKL_fx!$M$16,LKL_fx!$S$16,0)))))))</f>
        <v>0</v>
      </c>
      <c r="K18">
        <f>IF(G18=LKL_fx!$A$21,0,IF($C$3=2018,Energia_fx!$C$12,IF($C$3=2019,Energia_fx!$C$13,IF($C$3=2020,Energia_fx!$C$14,IF($C$3=2021,Energia_fx!$C$15,Energia_fx!$C$16)))))</f>
        <v>101</v>
      </c>
      <c r="L18">
        <f t="shared" si="0"/>
        <v>0</v>
      </c>
    </row>
    <row r="19" spans="1:14" x14ac:dyDescent="0.25">
      <c r="A19" s="15">
        <f>LKL!A23</f>
        <v>0</v>
      </c>
      <c r="B19" s="15">
        <f>LKL!B23</f>
        <v>0</v>
      </c>
      <c r="C19" s="15">
        <f>LKL!C23</f>
        <v>0</v>
      </c>
      <c r="D19" s="15">
        <f>LKL!D23</f>
        <v>0</v>
      </c>
      <c r="E19" s="15">
        <f>LKL!E23</f>
        <v>0</v>
      </c>
      <c r="F19">
        <f>LKL!F23</f>
        <v>0</v>
      </c>
      <c r="G19">
        <f>LKL!G23</f>
        <v>0</v>
      </c>
      <c r="H19">
        <f>LKL!H23</f>
        <v>0</v>
      </c>
      <c r="J19">
        <f>IF(E19=LKL_fx!$M$10,LKL_fx!$S$10,IF(E19=LKL_fx!$M$11,LKL_fx!$S$11,IF(E19=LKL_fx!$M$12,LKL_fx!$S$12,IF(E19=LKL_fx!$M$13,LKL_fx!$S$13,IF(E19=LKL_fx!$M$14,LKL_fx!$S$14,IF(E19=LKL_fx!$M$15,LKL_fx!$S$15,IF(E19=LKL_fx!$M$16,LKL_fx!$S$16,0)))))))</f>
        <v>0</v>
      </c>
      <c r="K19">
        <f>IF(G19=LKL_fx!$A$21,0,IF($C$3=2018,Energia_fx!$C$12,IF($C$3=2019,Energia_fx!$C$13,IF($C$3=2020,Energia_fx!$C$14,IF($C$3=2021,Energia_fx!$C$15,Energia_fx!$C$16)))))</f>
        <v>101</v>
      </c>
      <c r="L19">
        <f t="shared" si="0"/>
        <v>0</v>
      </c>
    </row>
    <row r="20" spans="1:14" x14ac:dyDescent="0.25">
      <c r="A20" s="15">
        <f>LKL!A24</f>
        <v>0</v>
      </c>
      <c r="B20" s="15">
        <f>LKL!B24</f>
        <v>0</v>
      </c>
      <c r="C20" s="15">
        <f>LKL!C24</f>
        <v>0</v>
      </c>
      <c r="D20" s="15">
        <f>LKL!D24</f>
        <v>0</v>
      </c>
      <c r="E20" s="15">
        <f>LKL!E24</f>
        <v>0</v>
      </c>
      <c r="F20">
        <f>LKL!F24</f>
        <v>0</v>
      </c>
      <c r="G20">
        <f>LKL!G24</f>
        <v>0</v>
      </c>
      <c r="H20">
        <f>LKL!H24</f>
        <v>0</v>
      </c>
      <c r="J20">
        <f>IF(E20=LKL_fx!$M$10,LKL_fx!$S$10,IF(E20=LKL_fx!$M$11,LKL_fx!$S$11,IF(E20=LKL_fx!$M$12,LKL_fx!$S$12,IF(E20=LKL_fx!$M$13,LKL_fx!$S$13,IF(E20=LKL_fx!$M$14,LKL_fx!$S$14,IF(E20=LKL_fx!$M$15,LKL_fx!$S$15,IF(E20=LKL_fx!$M$16,LKL_fx!$S$16,0)))))))</f>
        <v>0</v>
      </c>
      <c r="K20">
        <f>IF(G20=LKL_fx!$A$21,0,IF($C$3=2018,Energia_fx!$C$12,IF($C$3=2019,Energia_fx!$C$13,IF($C$3=2020,Energia_fx!$C$14,IF($C$3=2021,Energia_fx!$C$15,Energia_fx!$C$16)))))</f>
        <v>101</v>
      </c>
      <c r="L20">
        <f t="shared" si="0"/>
        <v>0</v>
      </c>
    </row>
    <row r="21" spans="1:14" x14ac:dyDescent="0.25">
      <c r="A21" s="15">
        <f>LKL!A25</f>
        <v>0</v>
      </c>
      <c r="B21" s="15">
        <f>LKL!B25</f>
        <v>0</v>
      </c>
      <c r="C21" s="15">
        <f>LKL!C25</f>
        <v>0</v>
      </c>
      <c r="D21" s="15">
        <f>LKL!D25</f>
        <v>0</v>
      </c>
      <c r="E21" s="15">
        <f>LKL!E25</f>
        <v>0</v>
      </c>
      <c r="F21">
        <f>LKL!F25</f>
        <v>0</v>
      </c>
      <c r="G21">
        <f>LKL!G25</f>
        <v>0</v>
      </c>
      <c r="H21">
        <f>LKL!H25</f>
        <v>0</v>
      </c>
      <c r="J21">
        <f>IF(E21=LKL_fx!$M$10,LKL_fx!$S$10,IF(E21=LKL_fx!$M$11,LKL_fx!$S$11,IF(E21=LKL_fx!$M$12,LKL_fx!$S$12,IF(E21=LKL_fx!$M$13,LKL_fx!$S$13,IF(E21=LKL_fx!$M$14,LKL_fx!$S$14,IF(E21=LKL_fx!$M$15,LKL_fx!$S$15,IF(E21=LKL_fx!$M$16,LKL_fx!$S$16,0)))))))</f>
        <v>0</v>
      </c>
      <c r="K21">
        <f>IF(G21=LKL_fx!$A$21,0,IF($C$3=2018,Energia_fx!$C$12,IF($C$3=2019,Energia_fx!$C$13,IF($C$3=2020,Energia_fx!$C$14,IF($C$3=2021,Energia_fx!$C$15,Energia_fx!$C$16)))))</f>
        <v>101</v>
      </c>
      <c r="L21">
        <f t="shared" si="0"/>
        <v>0</v>
      </c>
    </row>
    <row r="22" spans="1:14" x14ac:dyDescent="0.25">
      <c r="A22" s="15">
        <f>LKL!A26</f>
        <v>0</v>
      </c>
      <c r="B22" s="15">
        <f>LKL!B26</f>
        <v>0</v>
      </c>
      <c r="C22" s="15">
        <f>LKL!C26</f>
        <v>0</v>
      </c>
      <c r="D22" s="15">
        <f>LKL!D26</f>
        <v>0</v>
      </c>
      <c r="E22" s="15">
        <f>LKL!E26</f>
        <v>0</v>
      </c>
      <c r="F22">
        <f>LKL!F26</f>
        <v>0</v>
      </c>
      <c r="G22">
        <f>LKL!G26</f>
        <v>0</v>
      </c>
      <c r="H22">
        <f>LKL!H26</f>
        <v>0</v>
      </c>
      <c r="J22">
        <f>IF(E22=LKL_fx!$M$10,LKL_fx!$S$10,IF(E22=LKL_fx!$M$11,LKL_fx!$S$11,IF(E22=LKL_fx!$M$12,LKL_fx!$S$12,IF(E22=LKL_fx!$M$13,LKL_fx!$S$13,IF(E22=LKL_fx!$M$14,LKL_fx!$S$14,IF(E22=LKL_fx!$M$15,LKL_fx!$S$15,IF(E22=LKL_fx!$M$16,LKL_fx!$S$16,0)))))))</f>
        <v>0</v>
      </c>
      <c r="K22">
        <f>IF(G22=LKL_fx!$A$21,0,IF($C$3=2018,Energia_fx!$C$12,IF($C$3=2019,Energia_fx!$C$13,IF($C$3=2020,Energia_fx!$C$14,IF($C$3=2021,Energia_fx!$C$15,Energia_fx!$C$16)))))</f>
        <v>101</v>
      </c>
      <c r="L22">
        <f t="shared" si="0"/>
        <v>0</v>
      </c>
    </row>
    <row r="23" spans="1:14" x14ac:dyDescent="0.25">
      <c r="A23" s="15">
        <f>LKL!A27</f>
        <v>0</v>
      </c>
      <c r="B23" s="15">
        <f>LKL!B27</f>
        <v>0</v>
      </c>
      <c r="C23" s="15">
        <f>LKL!C27</f>
        <v>0</v>
      </c>
      <c r="D23" s="15">
        <f>LKL!D27</f>
        <v>0</v>
      </c>
      <c r="E23" s="15">
        <f>LKL!E27</f>
        <v>0</v>
      </c>
      <c r="F23">
        <f>LKL!F27</f>
        <v>0</v>
      </c>
      <c r="G23">
        <f>LKL!G27</f>
        <v>0</v>
      </c>
      <c r="H23">
        <f>LKL!H27</f>
        <v>0</v>
      </c>
      <c r="J23">
        <f>IF(E23=LKL_fx!$M$10,LKL_fx!$S$10,IF(E23=LKL_fx!$M$11,LKL_fx!$S$11,IF(E23=LKL_fx!$M$12,LKL_fx!$S$12,IF(E23=LKL_fx!$M$13,LKL_fx!$S$13,IF(E23=LKL_fx!$M$14,LKL_fx!$S$14,IF(E23=LKL_fx!$M$15,LKL_fx!$S$15,IF(E23=LKL_fx!$M$16,LKL_fx!$S$16,0)))))))</f>
        <v>0</v>
      </c>
      <c r="K23">
        <f>IF(G23=LKL_fx!$A$21,0,IF($C$3=2018,Energia_fx!$C$12,IF($C$3=2019,Energia_fx!$C$13,IF($C$3=2020,Energia_fx!$C$14,IF($C$3=2021,Energia_fx!$C$15,Energia_fx!$C$16)))))</f>
        <v>101</v>
      </c>
      <c r="L23">
        <f t="shared" si="0"/>
        <v>0</v>
      </c>
    </row>
    <row r="24" spans="1:14" x14ac:dyDescent="0.25">
      <c r="A24" s="15">
        <f>LKL!A28</f>
        <v>0</v>
      </c>
      <c r="B24" s="15">
        <f>LKL!B28</f>
        <v>0</v>
      </c>
      <c r="C24" s="15">
        <f>LKL!C28</f>
        <v>0</v>
      </c>
      <c r="D24" s="15">
        <f>LKL!D28</f>
        <v>0</v>
      </c>
      <c r="E24" s="15">
        <f>LKL!E28</f>
        <v>0</v>
      </c>
      <c r="F24">
        <f>LKL!F28</f>
        <v>0</v>
      </c>
      <c r="G24">
        <f>LKL!G28</f>
        <v>0</v>
      </c>
      <c r="H24">
        <f>LKL!H28</f>
        <v>0</v>
      </c>
      <c r="J24">
        <f>IF(E24=LKL_fx!$M$10,LKL_fx!$S$10,IF(E24=LKL_fx!$M$11,LKL_fx!$S$11,IF(E24=LKL_fx!$M$12,LKL_fx!$S$12,IF(E24=LKL_fx!$M$13,LKL_fx!$S$13,IF(E24=LKL_fx!$M$14,LKL_fx!$S$14,IF(E24=LKL_fx!$M$15,LKL_fx!$S$15,IF(E24=LKL_fx!$M$16,LKL_fx!$S$16,0)))))))</f>
        <v>0</v>
      </c>
      <c r="K24">
        <f>IF(G24=LKL_fx!$A$21,0,IF($C$3=2018,Energia_fx!$C$12,IF($C$3=2019,Energia_fx!$C$13,IF($C$3=2020,Energia_fx!$C$14,IF($C$3=2021,Energia_fx!$C$15,Energia_fx!$C$16)))))</f>
        <v>101</v>
      </c>
      <c r="L24">
        <f t="shared" si="0"/>
        <v>0</v>
      </c>
    </row>
    <row r="25" spans="1:14" x14ac:dyDescent="0.25">
      <c r="A25" s="15">
        <f>LKL!A29</f>
        <v>0</v>
      </c>
      <c r="B25" s="15">
        <f>LKL!B29</f>
        <v>0</v>
      </c>
      <c r="C25" s="15">
        <f>LKL!C29</f>
        <v>0</v>
      </c>
      <c r="D25" s="15">
        <f>LKL!D29</f>
        <v>0</v>
      </c>
      <c r="E25" s="15">
        <f>LKL!E29</f>
        <v>0</v>
      </c>
      <c r="F25">
        <f>LKL!F29</f>
        <v>0</v>
      </c>
      <c r="G25">
        <f>LKL!G29</f>
        <v>0</v>
      </c>
      <c r="H25">
        <f>LKL!H29</f>
        <v>0</v>
      </c>
      <c r="J25">
        <f>IF(E25=LKL_fx!$M$10,LKL_fx!$S$10,IF(E25=LKL_fx!$M$11,LKL_fx!$S$11,IF(E25=LKL_fx!$M$12,LKL_fx!$S$12,IF(E25=LKL_fx!$M$13,LKL_fx!$S$13,IF(E25=LKL_fx!$M$14,LKL_fx!$S$14,IF(E25=LKL_fx!$M$15,LKL_fx!$S$15,IF(E25=LKL_fx!$M$16,LKL_fx!$S$16,0)))))))</f>
        <v>0</v>
      </c>
      <c r="K25">
        <f>IF(G25=LKL_fx!$A$21,0,IF($C$3=2018,Energia_fx!$C$12,IF($C$3=2019,Energia_fx!$C$13,IF($C$3=2020,Energia_fx!$C$14,IF($C$3=2021,Energia_fx!$C$15,Energia_fx!$C$16)))))</f>
        <v>101</v>
      </c>
      <c r="L25">
        <f t="shared" si="0"/>
        <v>0</v>
      </c>
    </row>
    <row r="26" spans="1:14" ht="15.75" x14ac:dyDescent="0.25">
      <c r="A26" s="15">
        <f>LKL!A30</f>
        <v>0</v>
      </c>
      <c r="B26" s="15">
        <f>LKL!B30</f>
        <v>0</v>
      </c>
      <c r="C26" s="15">
        <f>LKL!C30</f>
        <v>0</v>
      </c>
      <c r="D26" s="15">
        <f>LKL!D30</f>
        <v>0</v>
      </c>
      <c r="E26" s="15">
        <f>LKL!E30</f>
        <v>0</v>
      </c>
      <c r="F26">
        <f>LKL!F30</f>
        <v>0</v>
      </c>
      <c r="G26">
        <f>LKL!G30</f>
        <v>0</v>
      </c>
      <c r="H26">
        <f>LKL!H30</f>
        <v>0</v>
      </c>
      <c r="J26">
        <f>IF(E26=LKL_fx!$M$10,LKL_fx!$S$10,IF(E26=LKL_fx!$M$11,LKL_fx!$S$11,IF(E26=LKL_fx!$M$12,LKL_fx!$S$12,IF(E26=LKL_fx!$M$13,LKL_fx!$S$13,IF(E26=LKL_fx!$M$14,LKL_fx!$S$14,IF(E26=LKL_fx!$M$15,LKL_fx!$S$15,IF(E26=LKL_fx!$M$16,LKL_fx!$S$16,0)))))))</f>
        <v>0</v>
      </c>
      <c r="K26">
        <f>IF(G26=LKL_fx!$A$21,0,IF($C$3=2018,Energia_fx!$C$12,IF($C$3=2019,Energia_fx!$C$13,IF($C$3=2020,Energia_fx!$C$14,IF($C$3=2021,Energia_fx!$C$15,Energia_fx!$C$16)))))</f>
        <v>101</v>
      </c>
      <c r="L26">
        <f t="shared" si="0"/>
        <v>0</v>
      </c>
      <c r="N26" s="253" t="s">
        <v>487</v>
      </c>
    </row>
    <row r="27" spans="1:14" ht="19.5" thickBot="1" x14ac:dyDescent="0.35">
      <c r="H27" s="206"/>
      <c r="N27" s="255">
        <f>SUM(L12:L26)</f>
        <v>0</v>
      </c>
    </row>
    <row r="28" spans="1:14" ht="16.5" thickTop="1" x14ac:dyDescent="0.25">
      <c r="A28" s="238" t="s">
        <v>488</v>
      </c>
      <c r="B28" s="216"/>
      <c r="C28" s="216"/>
      <c r="D28" s="216"/>
      <c r="E28" s="216"/>
    </row>
    <row r="29" spans="1:14" x14ac:dyDescent="0.25">
      <c r="A29" s="251" t="s">
        <v>449</v>
      </c>
      <c r="B29" s="236"/>
    </row>
    <row r="30" spans="1:14" ht="24" x14ac:dyDescent="0.25">
      <c r="A30" s="217" t="s">
        <v>482</v>
      </c>
      <c r="B30" s="217" t="s">
        <v>483</v>
      </c>
      <c r="C30" s="217" t="s">
        <v>484</v>
      </c>
      <c r="D30" s="217" t="s">
        <v>485</v>
      </c>
      <c r="E30" s="217" t="s">
        <v>425</v>
      </c>
      <c r="F30" s="217" t="s">
        <v>486</v>
      </c>
      <c r="G30" s="217" t="s">
        <v>91</v>
      </c>
      <c r="H30" s="217" t="s">
        <v>90</v>
      </c>
      <c r="J30" s="217" t="s">
        <v>427</v>
      </c>
      <c r="K30" s="217" t="s">
        <v>423</v>
      </c>
      <c r="L30" s="217" t="s">
        <v>93</v>
      </c>
    </row>
    <row r="31" spans="1:14" x14ac:dyDescent="0.25">
      <c r="A31">
        <f>LKL!A35</f>
        <v>0</v>
      </c>
      <c r="B31">
        <f>LKL!B35</f>
        <v>0</v>
      </c>
      <c r="C31">
        <f>LKL!C35</f>
        <v>0</v>
      </c>
      <c r="D31">
        <f>LKL!D35</f>
        <v>0</v>
      </c>
      <c r="E31">
        <f>LKL!E35</f>
        <v>0</v>
      </c>
      <c r="F31">
        <f>LKL!F35</f>
        <v>0</v>
      </c>
      <c r="G31">
        <f>LKL!G35</f>
        <v>0</v>
      </c>
      <c r="H31">
        <f>LKL!H35</f>
        <v>0</v>
      </c>
      <c r="J31">
        <f>IF(E31=LKL_fx!$M$10,LKL_fx!$S$10,IF(E31=LKL_fx!$M$11,LKL_fx!$S$11,IF(E31=LKL_fx!$M$12,LKL_fx!$S$12,IF(E31=LKL_fx!$M$13,LKL_fx!$S$13,IF(E31=LKL_fx!$M$14,LKL_fx!$S$14,IF(E31=LKL_fx!$M$15,LKL_fx!$S$15,IF(E31=LKL_fx!$M$16,LKL_fx!$S$16,0)))))))</f>
        <v>0</v>
      </c>
      <c r="K31">
        <f>IF(G31=LKL_fx!$A$21,0,IF($C$3=2018,Energia_fx!$C$12,IF($C$3=2019,Energia_fx!$C$13,IF($C$3=2020,Energia_fx!$C$14,IF($C$3=2021,Energia_fx!$C$15,Energia_fx!$C$16)))))</f>
        <v>101</v>
      </c>
      <c r="L31">
        <f>F31*J31+H31*K31/1000000</f>
        <v>0</v>
      </c>
    </row>
    <row r="32" spans="1:14" x14ac:dyDescent="0.25">
      <c r="A32">
        <f>LKL!A36</f>
        <v>0</v>
      </c>
      <c r="B32">
        <f>LKL!B36</f>
        <v>0</v>
      </c>
      <c r="C32">
        <f>LKL!C36</f>
        <v>0</v>
      </c>
      <c r="D32">
        <f>LKL!D36</f>
        <v>0</v>
      </c>
      <c r="E32">
        <f>LKL!E36</f>
        <v>0</v>
      </c>
      <c r="F32">
        <f>LKL!F36</f>
        <v>0</v>
      </c>
      <c r="G32">
        <f>LKL!G36</f>
        <v>0</v>
      </c>
      <c r="H32">
        <f>LKL!H36</f>
        <v>0</v>
      </c>
      <c r="J32">
        <f>IF(E32=LKL_fx!$M$10,LKL_fx!$S$10,IF(E32=LKL_fx!$M$11,LKL_fx!$S$11,IF(E32=LKL_fx!$M$12,LKL_fx!$S$12,IF(E32=LKL_fx!$M$13,LKL_fx!$S$13,IF(E32=LKL_fx!$M$14,LKL_fx!$S$14,IF(E32=LKL_fx!$M$15,LKL_fx!$S$15,IF(E32=LKL_fx!$M$16,LKL_fx!$S$16,0)))))))</f>
        <v>0</v>
      </c>
      <c r="K32">
        <f>IF(G32=LKL_fx!$A$21,0,IF($C$3=2018,Energia_fx!$C$12,IF($C$3=2019,Energia_fx!$C$13,IF($C$3=2020,Energia_fx!$C$14,IF($C$3=2021,Energia_fx!$C$15,Energia_fx!$C$16)))))</f>
        <v>101</v>
      </c>
      <c r="L32">
        <f t="shared" ref="L32:L45" si="1">F32*J32+H32*K32/1000000</f>
        <v>0</v>
      </c>
    </row>
    <row r="33" spans="1:14" x14ac:dyDescent="0.25">
      <c r="A33">
        <f>LKL!A37</f>
        <v>0</v>
      </c>
      <c r="B33">
        <f>LKL!B37</f>
        <v>0</v>
      </c>
      <c r="C33">
        <f>LKL!C37</f>
        <v>0</v>
      </c>
      <c r="D33">
        <f>LKL!D37</f>
        <v>0</v>
      </c>
      <c r="E33">
        <f>LKL!E37</f>
        <v>0</v>
      </c>
      <c r="F33">
        <f>LKL!F37</f>
        <v>0</v>
      </c>
      <c r="G33">
        <f>LKL!G37</f>
        <v>0</v>
      </c>
      <c r="H33">
        <f>LKL!H37</f>
        <v>0</v>
      </c>
      <c r="J33">
        <f>IF(E33=LKL_fx!$M$10,LKL_fx!$S$10,IF(E33=LKL_fx!$M$11,LKL_fx!$S$11,IF(E33=LKL_fx!$M$12,LKL_fx!$S$12,IF(E33=LKL_fx!$M$13,LKL_fx!$S$13,IF(E33=LKL_fx!$M$14,LKL_fx!$S$14,IF(E33=LKL_fx!$M$15,LKL_fx!$S$15,IF(E33=LKL_fx!$M$16,LKL_fx!$S$16,0)))))))</f>
        <v>0</v>
      </c>
      <c r="K33">
        <f>IF(G33=LKL_fx!$A$21,0,IF($C$3=2018,Energia_fx!$C$12,IF($C$3=2019,Energia_fx!$C$13,IF($C$3=2020,Energia_fx!$C$14,IF($C$3=2021,Energia_fx!$C$15,Energia_fx!$C$16)))))</f>
        <v>101</v>
      </c>
      <c r="L33">
        <f t="shared" si="1"/>
        <v>0</v>
      </c>
    </row>
    <row r="34" spans="1:14" x14ac:dyDescent="0.25">
      <c r="A34">
        <f>LKL!A38</f>
        <v>0</v>
      </c>
      <c r="B34">
        <f>LKL!B38</f>
        <v>0</v>
      </c>
      <c r="C34">
        <f>LKL!C38</f>
        <v>0</v>
      </c>
      <c r="D34">
        <f>LKL!D38</f>
        <v>0</v>
      </c>
      <c r="E34">
        <f>LKL!E38</f>
        <v>0</v>
      </c>
      <c r="F34">
        <f>LKL!F38</f>
        <v>0</v>
      </c>
      <c r="G34">
        <f>LKL!G38</f>
        <v>0</v>
      </c>
      <c r="H34">
        <f>LKL!H38</f>
        <v>0</v>
      </c>
      <c r="J34">
        <f>IF(E34=LKL_fx!$M$10,LKL_fx!$S$10,IF(E34=LKL_fx!$M$11,LKL_fx!$S$11,IF(E34=LKL_fx!$M$12,LKL_fx!$S$12,IF(E34=LKL_fx!$M$13,LKL_fx!$S$13,IF(E34=LKL_fx!$M$14,LKL_fx!$S$14,IF(E34=LKL_fx!$M$15,LKL_fx!$S$15,IF(E34=LKL_fx!$M$16,LKL_fx!$S$16,0)))))))</f>
        <v>0</v>
      </c>
      <c r="K34">
        <f>IF(G34=LKL_fx!$A$21,0,IF($C$3=2018,Energia_fx!$C$12,IF($C$3=2019,Energia_fx!$C$13,IF($C$3=2020,Energia_fx!$C$14,IF($C$3=2021,Energia_fx!$C$15,Energia_fx!$C$16)))))</f>
        <v>101</v>
      </c>
      <c r="L34">
        <f t="shared" si="1"/>
        <v>0</v>
      </c>
    </row>
    <row r="35" spans="1:14" x14ac:dyDescent="0.25">
      <c r="A35">
        <f>LKL!A39</f>
        <v>0</v>
      </c>
      <c r="B35">
        <f>LKL!B39</f>
        <v>0</v>
      </c>
      <c r="C35">
        <f>LKL!C39</f>
        <v>0</v>
      </c>
      <c r="D35">
        <f>LKL!D39</f>
        <v>0</v>
      </c>
      <c r="E35">
        <f>LKL!E39</f>
        <v>0</v>
      </c>
      <c r="F35">
        <f>LKL!F39</f>
        <v>0</v>
      </c>
      <c r="G35">
        <f>LKL!G39</f>
        <v>0</v>
      </c>
      <c r="H35">
        <f>LKL!H39</f>
        <v>0</v>
      </c>
      <c r="J35">
        <f>IF(E35=LKL_fx!$M$10,LKL_fx!$S$10,IF(E35=LKL_fx!$M$11,LKL_fx!$S$11,IF(E35=LKL_fx!$M$12,LKL_fx!$S$12,IF(E35=LKL_fx!$M$13,LKL_fx!$S$13,IF(E35=LKL_fx!$M$14,LKL_fx!$S$14,IF(E35=LKL_fx!$M$15,LKL_fx!$S$15,IF(E35=LKL_fx!$M$16,LKL_fx!$S$16,0)))))))</f>
        <v>0</v>
      </c>
      <c r="K35">
        <f>IF(G35=LKL_fx!$A$21,0,IF($C$3=2018,Energia_fx!$C$12,IF($C$3=2019,Energia_fx!$C$13,IF($C$3=2020,Energia_fx!$C$14,IF($C$3=2021,Energia_fx!$C$15,Energia_fx!$C$16)))))</f>
        <v>101</v>
      </c>
      <c r="L35">
        <f t="shared" si="1"/>
        <v>0</v>
      </c>
    </row>
    <row r="36" spans="1:14" x14ac:dyDescent="0.25">
      <c r="A36">
        <f>LKL!A40</f>
        <v>0</v>
      </c>
      <c r="B36">
        <f>LKL!B40</f>
        <v>0</v>
      </c>
      <c r="C36">
        <f>LKL!C40</f>
        <v>0</v>
      </c>
      <c r="D36">
        <f>LKL!D40</f>
        <v>0</v>
      </c>
      <c r="E36">
        <f>LKL!E40</f>
        <v>0</v>
      </c>
      <c r="F36">
        <f>LKL!F40</f>
        <v>0</v>
      </c>
      <c r="G36">
        <f>LKL!G40</f>
        <v>0</v>
      </c>
      <c r="H36">
        <f>LKL!H40</f>
        <v>0</v>
      </c>
      <c r="J36">
        <f>IF(E36=LKL_fx!$M$10,LKL_fx!$S$10,IF(E36=LKL_fx!$M$11,LKL_fx!$S$11,IF(E36=LKL_fx!$M$12,LKL_fx!$S$12,IF(E36=LKL_fx!$M$13,LKL_fx!$S$13,IF(E36=LKL_fx!$M$14,LKL_fx!$S$14,IF(E36=LKL_fx!$M$15,LKL_fx!$S$15,IF(E36=LKL_fx!$M$16,LKL_fx!$S$16,0)))))))</f>
        <v>0</v>
      </c>
      <c r="K36">
        <f>IF(G36=LKL_fx!$A$21,0,IF($C$3=2018,Energia_fx!$C$12,IF($C$3=2019,Energia_fx!$C$13,IF($C$3=2020,Energia_fx!$C$14,IF($C$3=2021,Energia_fx!$C$15,Energia_fx!$C$16)))))</f>
        <v>101</v>
      </c>
      <c r="L36">
        <f t="shared" si="1"/>
        <v>0</v>
      </c>
    </row>
    <row r="37" spans="1:14" x14ac:dyDescent="0.25">
      <c r="A37">
        <f>LKL!A41</f>
        <v>0</v>
      </c>
      <c r="B37">
        <f>LKL!B41</f>
        <v>0</v>
      </c>
      <c r="C37">
        <f>LKL!C41</f>
        <v>0</v>
      </c>
      <c r="D37">
        <f>LKL!D41</f>
        <v>0</v>
      </c>
      <c r="E37">
        <f>LKL!E41</f>
        <v>0</v>
      </c>
      <c r="F37">
        <f>LKL!F41</f>
        <v>0</v>
      </c>
      <c r="G37">
        <f>LKL!G41</f>
        <v>0</v>
      </c>
      <c r="H37">
        <f>LKL!H41</f>
        <v>0</v>
      </c>
      <c r="J37">
        <f>IF(E37=LKL_fx!$M$10,LKL_fx!$S$10,IF(E37=LKL_fx!$M$11,LKL_fx!$S$11,IF(E37=LKL_fx!$M$12,LKL_fx!$S$12,IF(E37=LKL_fx!$M$13,LKL_fx!$S$13,IF(E37=LKL_fx!$M$14,LKL_fx!$S$14,IF(E37=LKL_fx!$M$15,LKL_fx!$S$15,IF(E37=LKL_fx!$M$16,LKL_fx!$S$16,0)))))))</f>
        <v>0</v>
      </c>
      <c r="K37">
        <f>IF(G37=LKL_fx!$A$21,0,IF($C$3=2018,Energia_fx!$C$12,IF($C$3=2019,Energia_fx!$C$13,IF($C$3=2020,Energia_fx!$C$14,IF($C$3=2021,Energia_fx!$C$15,Energia_fx!$C$16)))))</f>
        <v>101</v>
      </c>
      <c r="L37">
        <f t="shared" si="1"/>
        <v>0</v>
      </c>
    </row>
    <row r="38" spans="1:14" x14ac:dyDescent="0.25">
      <c r="A38">
        <f>LKL!A42</f>
        <v>0</v>
      </c>
      <c r="B38">
        <f>LKL!B42</f>
        <v>0</v>
      </c>
      <c r="C38">
        <f>LKL!C42</f>
        <v>0</v>
      </c>
      <c r="D38">
        <f>LKL!D42</f>
        <v>0</v>
      </c>
      <c r="E38">
        <f>LKL!E42</f>
        <v>0</v>
      </c>
      <c r="F38">
        <f>LKL!F42</f>
        <v>0</v>
      </c>
      <c r="G38">
        <f>LKL!G42</f>
        <v>0</v>
      </c>
      <c r="H38">
        <f>LKL!H42</f>
        <v>0</v>
      </c>
      <c r="J38">
        <f>IF(E38=LKL_fx!$M$10,LKL_fx!$S$10,IF(E38=LKL_fx!$M$11,LKL_fx!$S$11,IF(E38=LKL_fx!$M$12,LKL_fx!$S$12,IF(E38=LKL_fx!$M$13,LKL_fx!$S$13,IF(E38=LKL_fx!$M$14,LKL_fx!$S$14,IF(E38=LKL_fx!$M$15,LKL_fx!$S$15,IF(E38=LKL_fx!$M$16,LKL_fx!$S$16,0)))))))</f>
        <v>0</v>
      </c>
      <c r="K38">
        <f>IF(G38=LKL_fx!$A$21,0,IF($C$3=2018,Energia_fx!$C$12,IF($C$3=2019,Energia_fx!$C$13,IF($C$3=2020,Energia_fx!$C$14,IF($C$3=2021,Energia_fx!$C$15,Energia_fx!$C$16)))))</f>
        <v>101</v>
      </c>
      <c r="L38">
        <f t="shared" si="1"/>
        <v>0</v>
      </c>
    </row>
    <row r="39" spans="1:14" x14ac:dyDescent="0.25">
      <c r="A39">
        <f>LKL!A43</f>
        <v>0</v>
      </c>
      <c r="B39">
        <f>LKL!B43</f>
        <v>0</v>
      </c>
      <c r="C39">
        <f>LKL!C43</f>
        <v>0</v>
      </c>
      <c r="D39">
        <f>LKL!D43</f>
        <v>0</v>
      </c>
      <c r="E39">
        <f>LKL!E43</f>
        <v>0</v>
      </c>
      <c r="F39">
        <f>LKL!F43</f>
        <v>0</v>
      </c>
      <c r="G39">
        <f>LKL!G43</f>
        <v>0</v>
      </c>
      <c r="H39">
        <f>LKL!H43</f>
        <v>0</v>
      </c>
      <c r="J39">
        <f>IF(E39=LKL_fx!$M$10,LKL_fx!$S$10,IF(E39=LKL_fx!$M$11,LKL_fx!$S$11,IF(E39=LKL_fx!$M$12,LKL_fx!$S$12,IF(E39=LKL_fx!$M$13,LKL_fx!$S$13,IF(E39=LKL_fx!$M$14,LKL_fx!$S$14,IF(E39=LKL_fx!$M$15,LKL_fx!$S$15,IF(E39=LKL_fx!$M$16,LKL_fx!$S$16,0)))))))</f>
        <v>0</v>
      </c>
      <c r="K39">
        <f>IF(G39=LKL_fx!$A$21,0,IF($C$3=2018,Energia_fx!$C$12,IF($C$3=2019,Energia_fx!$C$13,IF($C$3=2020,Energia_fx!$C$14,IF($C$3=2021,Energia_fx!$C$15,Energia_fx!$C$16)))))</f>
        <v>101</v>
      </c>
      <c r="L39">
        <f t="shared" si="1"/>
        <v>0</v>
      </c>
    </row>
    <row r="40" spans="1:14" x14ac:dyDescent="0.25">
      <c r="A40">
        <f>LKL!A44</f>
        <v>0</v>
      </c>
      <c r="B40">
        <f>LKL!B44</f>
        <v>0</v>
      </c>
      <c r="C40">
        <f>LKL!C44</f>
        <v>0</v>
      </c>
      <c r="D40">
        <f>LKL!D44</f>
        <v>0</v>
      </c>
      <c r="E40">
        <f>LKL!E44</f>
        <v>0</v>
      </c>
      <c r="F40">
        <f>LKL!F44</f>
        <v>0</v>
      </c>
      <c r="G40">
        <f>LKL!G44</f>
        <v>0</v>
      </c>
      <c r="H40">
        <f>LKL!H44</f>
        <v>0</v>
      </c>
      <c r="J40">
        <f>IF(E40=LKL_fx!$M$10,LKL_fx!$S$10,IF(E40=LKL_fx!$M$11,LKL_fx!$S$11,IF(E40=LKL_fx!$M$12,LKL_fx!$S$12,IF(E40=LKL_fx!$M$13,LKL_fx!$S$13,IF(E40=LKL_fx!$M$14,LKL_fx!$S$14,IF(E40=LKL_fx!$M$15,LKL_fx!$S$15,IF(E40=LKL_fx!$M$16,LKL_fx!$S$16,0)))))))</f>
        <v>0</v>
      </c>
      <c r="K40">
        <f>IF(G40=LKL_fx!$A$21,0,IF($C$3=2018,Energia_fx!$C$12,IF($C$3=2019,Energia_fx!$C$13,IF($C$3=2020,Energia_fx!$C$14,IF($C$3=2021,Energia_fx!$C$15,Energia_fx!$C$16)))))</f>
        <v>101</v>
      </c>
      <c r="L40">
        <f t="shared" si="1"/>
        <v>0</v>
      </c>
    </row>
    <row r="41" spans="1:14" x14ac:dyDescent="0.25">
      <c r="A41">
        <f>LKL!A45</f>
        <v>0</v>
      </c>
      <c r="B41">
        <f>LKL!B45</f>
        <v>0</v>
      </c>
      <c r="C41">
        <f>LKL!C45</f>
        <v>0</v>
      </c>
      <c r="D41">
        <f>LKL!D45</f>
        <v>0</v>
      </c>
      <c r="E41">
        <f>LKL!E45</f>
        <v>0</v>
      </c>
      <c r="F41">
        <f>LKL!F45</f>
        <v>0</v>
      </c>
      <c r="G41">
        <f>LKL!G45</f>
        <v>0</v>
      </c>
      <c r="H41">
        <f>LKL!H45</f>
        <v>0</v>
      </c>
      <c r="J41">
        <f>IF(E41=LKL_fx!$M$10,LKL_fx!$S$10,IF(E41=LKL_fx!$M$11,LKL_fx!$S$11,IF(E41=LKL_fx!$M$12,LKL_fx!$S$12,IF(E41=LKL_fx!$M$13,LKL_fx!$S$13,IF(E41=LKL_fx!$M$14,LKL_fx!$S$14,IF(E41=LKL_fx!$M$15,LKL_fx!$S$15,IF(E41=LKL_fx!$M$16,LKL_fx!$S$16,0)))))))</f>
        <v>0</v>
      </c>
      <c r="K41">
        <f>IF(G41=LKL_fx!$A$21,0,IF($C$3=2018,Energia_fx!$C$12,IF($C$3=2019,Energia_fx!$C$13,IF($C$3=2020,Energia_fx!$C$14,IF($C$3=2021,Energia_fx!$C$15,Energia_fx!$C$16)))))</f>
        <v>101</v>
      </c>
      <c r="L41">
        <f t="shared" si="1"/>
        <v>0</v>
      </c>
    </row>
    <row r="42" spans="1:14" x14ac:dyDescent="0.25">
      <c r="A42">
        <f>LKL!A46</f>
        <v>0</v>
      </c>
      <c r="B42">
        <f>LKL!B46</f>
        <v>0</v>
      </c>
      <c r="C42">
        <f>LKL!C46</f>
        <v>0</v>
      </c>
      <c r="D42">
        <f>LKL!D46</f>
        <v>0</v>
      </c>
      <c r="E42">
        <f>LKL!E46</f>
        <v>0</v>
      </c>
      <c r="F42">
        <f>LKL!F46</f>
        <v>0</v>
      </c>
      <c r="G42">
        <f>LKL!G46</f>
        <v>0</v>
      </c>
      <c r="H42">
        <f>LKL!H46</f>
        <v>0</v>
      </c>
      <c r="J42">
        <f>IF(E42=LKL_fx!$M$10,LKL_fx!$S$10,IF(E42=LKL_fx!$M$11,LKL_fx!$S$11,IF(E42=LKL_fx!$M$12,LKL_fx!$S$12,IF(E42=LKL_fx!$M$13,LKL_fx!$S$13,IF(E42=LKL_fx!$M$14,LKL_fx!$S$14,IF(E42=LKL_fx!$M$15,LKL_fx!$S$15,IF(E42=LKL_fx!$M$16,LKL_fx!$S$16,0)))))))</f>
        <v>0</v>
      </c>
      <c r="K42">
        <f>IF(G42=LKL_fx!$A$21,0,IF($C$3=2018,Energia_fx!$C$12,IF($C$3=2019,Energia_fx!$C$13,IF($C$3=2020,Energia_fx!$C$14,IF($C$3=2021,Energia_fx!$C$15,Energia_fx!$C$16)))))</f>
        <v>101</v>
      </c>
      <c r="L42">
        <f t="shared" si="1"/>
        <v>0</v>
      </c>
    </row>
    <row r="43" spans="1:14" x14ac:dyDescent="0.25">
      <c r="A43">
        <f>LKL!A47</f>
        <v>0</v>
      </c>
      <c r="B43">
        <f>LKL!B47</f>
        <v>0</v>
      </c>
      <c r="C43">
        <f>LKL!C47</f>
        <v>0</v>
      </c>
      <c r="D43">
        <f>LKL!D47</f>
        <v>0</v>
      </c>
      <c r="E43">
        <f>LKL!E47</f>
        <v>0</v>
      </c>
      <c r="F43">
        <f>LKL!F47</f>
        <v>0</v>
      </c>
      <c r="G43">
        <f>LKL!G47</f>
        <v>0</v>
      </c>
      <c r="H43">
        <f>LKL!H47</f>
        <v>0</v>
      </c>
      <c r="J43">
        <f>IF(E43=LKL_fx!$M$10,LKL_fx!$S$10,IF(E43=LKL_fx!$M$11,LKL_fx!$S$11,IF(E43=LKL_fx!$M$12,LKL_fx!$S$12,IF(E43=LKL_fx!$M$13,LKL_fx!$S$13,IF(E43=LKL_fx!$M$14,LKL_fx!$S$14,IF(E43=LKL_fx!$M$15,LKL_fx!$S$15,IF(E43=LKL_fx!$M$16,LKL_fx!$S$16,0)))))))</f>
        <v>0</v>
      </c>
      <c r="K43">
        <f>IF(G43=LKL_fx!$A$21,0,IF($C$3=2018,Energia_fx!$C$12,IF($C$3=2019,Energia_fx!$C$13,IF($C$3=2020,Energia_fx!$C$14,IF($C$3=2021,Energia_fx!$C$15,Energia_fx!$C$16)))))</f>
        <v>101</v>
      </c>
      <c r="L43">
        <f t="shared" si="1"/>
        <v>0</v>
      </c>
    </row>
    <row r="44" spans="1:14" x14ac:dyDescent="0.25">
      <c r="A44">
        <f>LKL!A48</f>
        <v>0</v>
      </c>
      <c r="B44">
        <f>LKL!B48</f>
        <v>0</v>
      </c>
      <c r="C44">
        <f>LKL!C48</f>
        <v>0</v>
      </c>
      <c r="D44">
        <f>LKL!D48</f>
        <v>0</v>
      </c>
      <c r="E44">
        <f>LKL!E48</f>
        <v>0</v>
      </c>
      <c r="F44">
        <f>LKL!F48</f>
        <v>0</v>
      </c>
      <c r="G44">
        <f>LKL!G48</f>
        <v>0</v>
      </c>
      <c r="H44">
        <f>LKL!H48</f>
        <v>0</v>
      </c>
      <c r="J44">
        <f>IF(E44=LKL_fx!$M$10,LKL_fx!$S$10,IF(E44=LKL_fx!$M$11,LKL_fx!$S$11,IF(E44=LKL_fx!$M$12,LKL_fx!$S$12,IF(E44=LKL_fx!$M$13,LKL_fx!$S$13,IF(E44=LKL_fx!$M$14,LKL_fx!$S$14,IF(E44=LKL_fx!$M$15,LKL_fx!$S$15,IF(E44=LKL_fx!$M$16,LKL_fx!$S$16,0)))))))</f>
        <v>0</v>
      </c>
      <c r="K44">
        <f>IF(G44=LKL_fx!$A$21,0,IF($C$3=2018,Energia_fx!$C$12,IF($C$3=2019,Energia_fx!$C$13,IF($C$3=2020,Energia_fx!$C$14,IF($C$3=2021,Energia_fx!$C$15,Energia_fx!$C$16)))))</f>
        <v>101</v>
      </c>
      <c r="L44">
        <f t="shared" si="1"/>
        <v>0</v>
      </c>
    </row>
    <row r="45" spans="1:14" ht="15.75" x14ac:dyDescent="0.25">
      <c r="A45">
        <f>LKL!A49</f>
        <v>0</v>
      </c>
      <c r="B45">
        <f>LKL!B49</f>
        <v>0</v>
      </c>
      <c r="C45">
        <f>LKL!C49</f>
        <v>0</v>
      </c>
      <c r="D45">
        <f>LKL!D49</f>
        <v>0</v>
      </c>
      <c r="E45">
        <f>LKL!E49</f>
        <v>0</v>
      </c>
      <c r="F45">
        <f>LKL!F49</f>
        <v>0</v>
      </c>
      <c r="G45">
        <f>LKL!G49</f>
        <v>0</v>
      </c>
      <c r="H45">
        <f>LKL!H49</f>
        <v>0</v>
      </c>
      <c r="J45">
        <f>IF(E45=LKL_fx!$M$10,LKL_fx!$S$10,IF(E45=LKL_fx!$M$11,LKL_fx!$S$11,IF(E45=LKL_fx!$M$12,LKL_fx!$S$12,IF(E45=LKL_fx!$M$13,LKL_fx!$S$13,IF(E45=LKL_fx!$M$14,LKL_fx!$S$14,IF(E45=LKL_fx!$M$15,LKL_fx!$S$15,IF(E45=LKL_fx!$M$16,LKL_fx!$S$16,0)))))))</f>
        <v>0</v>
      </c>
      <c r="K45">
        <f>IF(G45=LKL_fx!$A$21,0,IF($C$3=2018,Energia_fx!$C$12,IF($C$3=2019,Energia_fx!$C$13,IF($C$3=2020,Energia_fx!$C$14,IF($C$3=2021,Energia_fx!$C$15,Energia_fx!$C$16)))))</f>
        <v>101</v>
      </c>
      <c r="L45">
        <f t="shared" si="1"/>
        <v>0</v>
      </c>
      <c r="N45" s="253" t="s">
        <v>489</v>
      </c>
    </row>
    <row r="46" spans="1:14" ht="19.5" thickBot="1" x14ac:dyDescent="0.35">
      <c r="E46" s="219"/>
      <c r="N46" s="255">
        <f>SUM(L31:L45)</f>
        <v>0</v>
      </c>
    </row>
    <row r="47" spans="1:14" ht="15.75" thickTop="1" x14ac:dyDescent="0.25">
      <c r="E47" s="219"/>
    </row>
    <row r="48" spans="1:14" x14ac:dyDescent="0.25">
      <c r="E48" s="219"/>
    </row>
    <row r="49" spans="5:5" x14ac:dyDescent="0.25">
      <c r="E49" s="218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44CC6-3D21-4F5F-B2CD-F7B5A200CD41}">
  <sheetPr>
    <tabColor theme="7"/>
  </sheetPr>
  <dimension ref="A1:K53"/>
  <sheetViews>
    <sheetView showGridLines="0" showRowColHeaders="0" workbookViewId="0">
      <pane ySplit="3" topLeftCell="A4" activePane="bottomLeft" state="frozen"/>
      <selection pane="bottomLeft" activeCell="B36" sqref="B35:H36"/>
    </sheetView>
  </sheetViews>
  <sheetFormatPr defaultRowHeight="15" x14ac:dyDescent="0.25"/>
  <cols>
    <col min="1" max="2" width="27.5703125" customWidth="1"/>
    <col min="3" max="3" width="13.140625" customWidth="1"/>
    <col min="4" max="7" width="27.5703125" customWidth="1"/>
    <col min="8" max="8" width="26.85546875" customWidth="1"/>
    <col min="9" max="9" width="18.5703125" customWidth="1"/>
  </cols>
  <sheetData>
    <row r="1" spans="1:11" s="148" customFormat="1" ht="129" customHeight="1" x14ac:dyDescent="0.25"/>
    <row r="2" spans="1:11" s="61" customFormat="1" ht="35.25" customHeight="1" x14ac:dyDescent="0.4">
      <c r="A2" s="61" t="s">
        <v>872</v>
      </c>
      <c r="K2" s="76"/>
    </row>
    <row r="3" spans="1:11" s="200" customFormat="1" ht="27" customHeight="1" x14ac:dyDescent="0.3">
      <c r="A3" s="200" t="s">
        <v>84</v>
      </c>
      <c r="C3" s="200">
        <f>YHTEENVETO!D3</f>
        <v>2019</v>
      </c>
    </row>
    <row r="5" spans="1:11" x14ac:dyDescent="0.25">
      <c r="A5" s="5" t="s">
        <v>883</v>
      </c>
      <c r="B5" s="5"/>
      <c r="C5" s="5"/>
      <c r="D5" s="5"/>
      <c r="E5" s="5"/>
      <c r="F5" s="5"/>
      <c r="G5" s="5"/>
      <c r="H5" s="5"/>
      <c r="I5" s="5"/>
      <c r="J5" s="5"/>
    </row>
    <row r="6" spans="1:11" x14ac:dyDescent="0.25">
      <c r="A6" s="5" t="s">
        <v>899</v>
      </c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5" t="s">
        <v>490</v>
      </c>
      <c r="B7" s="5"/>
      <c r="C7" s="5"/>
      <c r="D7" s="5"/>
      <c r="E7" s="5"/>
      <c r="F7" s="5"/>
      <c r="G7" s="5"/>
      <c r="H7" s="5"/>
      <c r="I7" s="5"/>
      <c r="J7" s="5"/>
    </row>
    <row r="8" spans="1:11" x14ac:dyDescent="0.25">
      <c r="A8" s="5" t="s">
        <v>491</v>
      </c>
      <c r="B8" s="5"/>
      <c r="C8" s="5"/>
      <c r="D8" s="5"/>
      <c r="E8" s="5"/>
      <c r="F8" s="5"/>
      <c r="G8" s="5"/>
      <c r="H8" s="5"/>
      <c r="I8" s="5"/>
      <c r="J8" s="5"/>
    </row>
    <row r="9" spans="1:11" x14ac:dyDescent="0.25">
      <c r="A9" s="5" t="s">
        <v>492</v>
      </c>
      <c r="B9" s="5"/>
      <c r="C9" s="5"/>
      <c r="D9" s="5"/>
      <c r="E9" s="5"/>
      <c r="F9" s="5"/>
      <c r="G9" s="5"/>
      <c r="H9" s="5"/>
      <c r="I9" s="5"/>
      <c r="J9" s="5"/>
    </row>
    <row r="10" spans="1:11" x14ac:dyDescent="0.25">
      <c r="A10" s="5" t="s">
        <v>884</v>
      </c>
      <c r="B10" s="5"/>
      <c r="C10" s="5"/>
      <c r="D10" s="5"/>
      <c r="E10" s="5"/>
      <c r="F10" s="5"/>
      <c r="G10" s="5"/>
      <c r="H10" s="5"/>
      <c r="I10" s="5"/>
      <c r="J10" s="5"/>
    </row>
    <row r="13" spans="1:11" ht="15.75" x14ac:dyDescent="0.25">
      <c r="A13" s="238" t="s">
        <v>481</v>
      </c>
      <c r="B13" s="216"/>
      <c r="C13" s="216"/>
      <c r="D13" s="216"/>
      <c r="E13" s="216"/>
    </row>
    <row r="14" spans="1:11" x14ac:dyDescent="0.25">
      <c r="A14" s="251" t="s">
        <v>449</v>
      </c>
      <c r="B14" s="236"/>
    </row>
    <row r="15" spans="1:11" ht="24" x14ac:dyDescent="0.25">
      <c r="A15" s="217" t="s">
        <v>482</v>
      </c>
      <c r="B15" s="217" t="s">
        <v>483</v>
      </c>
      <c r="C15" s="217" t="s">
        <v>484</v>
      </c>
      <c r="D15" s="217" t="s">
        <v>485</v>
      </c>
      <c r="E15" s="217" t="s">
        <v>425</v>
      </c>
      <c r="F15" s="217" t="s">
        <v>486</v>
      </c>
      <c r="G15" s="217" t="s">
        <v>91</v>
      </c>
      <c r="H15" s="217" t="s">
        <v>90</v>
      </c>
    </row>
    <row r="16" spans="1:11" x14ac:dyDescent="0.25">
      <c r="A16" s="20"/>
      <c r="B16" s="252"/>
      <c r="C16" s="20"/>
      <c r="D16" s="252"/>
      <c r="E16" s="20"/>
      <c r="F16" s="20"/>
      <c r="G16" s="20"/>
      <c r="H16" s="20"/>
    </row>
    <row r="17" spans="1:8" x14ac:dyDescent="0.25">
      <c r="A17" s="20"/>
      <c r="B17" s="20"/>
      <c r="C17" s="20"/>
      <c r="D17" s="20"/>
      <c r="E17" s="20"/>
      <c r="F17" s="20"/>
      <c r="G17" s="20"/>
      <c r="H17" s="20"/>
    </row>
    <row r="18" spans="1:8" x14ac:dyDescent="0.25">
      <c r="A18" s="20"/>
      <c r="B18" s="20"/>
      <c r="C18" s="20"/>
      <c r="D18" s="20"/>
      <c r="E18" s="20"/>
      <c r="F18" s="20"/>
      <c r="G18" s="20"/>
      <c r="H18" s="20"/>
    </row>
    <row r="19" spans="1:8" x14ac:dyDescent="0.25">
      <c r="A19" s="20"/>
      <c r="B19" s="20"/>
      <c r="C19" s="20"/>
      <c r="D19" s="20"/>
      <c r="E19" s="20"/>
      <c r="F19" s="20"/>
      <c r="G19" s="20"/>
      <c r="H19" s="20"/>
    </row>
    <row r="20" spans="1:8" x14ac:dyDescent="0.25">
      <c r="A20" s="20"/>
      <c r="B20" s="20"/>
      <c r="C20" s="20"/>
      <c r="D20" s="20"/>
      <c r="E20" s="20"/>
      <c r="F20" s="20"/>
      <c r="G20" s="20"/>
      <c r="H20" s="20"/>
    </row>
    <row r="21" spans="1:8" x14ac:dyDescent="0.25">
      <c r="A21" s="20"/>
      <c r="B21" s="20"/>
      <c r="C21" s="20"/>
      <c r="D21" s="20"/>
      <c r="E21" s="20"/>
      <c r="F21" s="20"/>
      <c r="G21" s="20"/>
      <c r="H21" s="20"/>
    </row>
    <row r="22" spans="1:8" x14ac:dyDescent="0.25">
      <c r="A22" s="20"/>
      <c r="B22" s="20"/>
      <c r="C22" s="20"/>
      <c r="D22" s="20"/>
      <c r="E22" s="20"/>
      <c r="F22" s="20"/>
      <c r="G22" s="20"/>
      <c r="H22" s="20"/>
    </row>
    <row r="23" spans="1:8" x14ac:dyDescent="0.25">
      <c r="A23" s="20"/>
      <c r="B23" s="20"/>
      <c r="C23" s="20"/>
      <c r="D23" s="20"/>
      <c r="E23" s="20"/>
      <c r="F23" s="20"/>
      <c r="G23" s="20"/>
      <c r="H23" s="20"/>
    </row>
    <row r="24" spans="1:8" x14ac:dyDescent="0.25">
      <c r="A24" s="20"/>
      <c r="B24" s="20"/>
      <c r="C24" s="20"/>
      <c r="D24" s="20"/>
      <c r="E24" s="20"/>
      <c r="F24" s="20"/>
      <c r="G24" s="20"/>
      <c r="H24" s="20"/>
    </row>
    <row r="25" spans="1:8" x14ac:dyDescent="0.25">
      <c r="A25" s="20"/>
      <c r="B25" s="20"/>
      <c r="C25" s="20"/>
      <c r="D25" s="20"/>
      <c r="E25" s="20"/>
      <c r="F25" s="20"/>
      <c r="G25" s="20"/>
      <c r="H25" s="20"/>
    </row>
    <row r="26" spans="1:8" x14ac:dyDescent="0.25">
      <c r="A26" s="20"/>
      <c r="B26" s="20"/>
      <c r="C26" s="20"/>
      <c r="D26" s="20"/>
      <c r="E26" s="20"/>
      <c r="F26" s="20"/>
      <c r="G26" s="20"/>
      <c r="H26" s="20"/>
    </row>
    <row r="27" spans="1:8" x14ac:dyDescent="0.25">
      <c r="A27" s="20"/>
      <c r="B27" s="20"/>
      <c r="C27" s="20"/>
      <c r="D27" s="20"/>
      <c r="E27" s="20"/>
      <c r="F27" s="20"/>
      <c r="G27" s="20"/>
      <c r="H27" s="20"/>
    </row>
    <row r="28" spans="1:8" x14ac:dyDescent="0.25">
      <c r="A28" s="20"/>
      <c r="B28" s="20"/>
      <c r="C28" s="20"/>
      <c r="D28" s="20"/>
      <c r="E28" s="20"/>
      <c r="F28" s="20"/>
      <c r="G28" s="20"/>
      <c r="H28" s="20"/>
    </row>
    <row r="29" spans="1:8" x14ac:dyDescent="0.25">
      <c r="A29" s="20"/>
      <c r="B29" s="20"/>
      <c r="C29" s="20"/>
      <c r="D29" s="20"/>
      <c r="E29" s="20"/>
      <c r="F29" s="20"/>
      <c r="G29" s="20"/>
      <c r="H29" s="20"/>
    </row>
    <row r="30" spans="1:8" x14ac:dyDescent="0.25">
      <c r="A30" s="20"/>
      <c r="B30" s="20"/>
      <c r="C30" s="20"/>
      <c r="D30" s="20"/>
      <c r="E30" s="20"/>
      <c r="F30" s="20"/>
      <c r="G30" s="20"/>
      <c r="H30" s="20"/>
    </row>
    <row r="32" spans="1:8" ht="15.75" x14ac:dyDescent="0.25">
      <c r="A32" s="238" t="s">
        <v>488</v>
      </c>
      <c r="B32" s="216"/>
      <c r="C32" s="216"/>
      <c r="D32" s="216"/>
      <c r="E32" s="216"/>
    </row>
    <row r="33" spans="1:8" x14ac:dyDescent="0.25">
      <c r="A33" s="251" t="s">
        <v>449</v>
      </c>
      <c r="B33" s="236"/>
    </row>
    <row r="34" spans="1:8" ht="24" x14ac:dyDescent="0.25">
      <c r="A34" s="217" t="s">
        <v>482</v>
      </c>
      <c r="B34" s="217" t="s">
        <v>483</v>
      </c>
      <c r="C34" s="217" t="s">
        <v>484</v>
      </c>
      <c r="D34" s="217" t="s">
        <v>485</v>
      </c>
      <c r="E34" s="217" t="s">
        <v>425</v>
      </c>
      <c r="F34" s="217" t="s">
        <v>486</v>
      </c>
      <c r="G34" s="217" t="s">
        <v>91</v>
      </c>
      <c r="H34" s="217" t="s">
        <v>90</v>
      </c>
    </row>
    <row r="35" spans="1:8" x14ac:dyDescent="0.25">
      <c r="A35" s="20"/>
      <c r="B35" s="20"/>
      <c r="C35" s="20"/>
      <c r="D35" s="20"/>
      <c r="E35" s="20"/>
      <c r="F35" s="20"/>
      <c r="G35" s="20"/>
      <c r="H35" s="20"/>
    </row>
    <row r="36" spans="1:8" x14ac:dyDescent="0.25">
      <c r="A36" s="20"/>
      <c r="B36" s="20"/>
      <c r="C36" s="20"/>
      <c r="D36" s="20"/>
      <c r="E36" s="20"/>
      <c r="F36" s="20"/>
      <c r="G36" s="20"/>
      <c r="H36" s="20"/>
    </row>
    <row r="37" spans="1:8" x14ac:dyDescent="0.25">
      <c r="A37" s="20"/>
      <c r="B37" s="20"/>
      <c r="C37" s="20"/>
      <c r="D37" s="20"/>
      <c r="E37" s="20"/>
      <c r="F37" s="20"/>
      <c r="G37" s="20"/>
      <c r="H37" s="20"/>
    </row>
    <row r="38" spans="1:8" x14ac:dyDescent="0.25">
      <c r="A38" s="20"/>
      <c r="B38" s="20"/>
      <c r="C38" s="20"/>
      <c r="D38" s="20"/>
      <c r="E38" s="20"/>
      <c r="F38" s="20"/>
      <c r="G38" s="20"/>
      <c r="H38" s="20"/>
    </row>
    <row r="39" spans="1:8" x14ac:dyDescent="0.25">
      <c r="A39" s="20"/>
      <c r="B39" s="20"/>
      <c r="C39" s="20"/>
      <c r="D39" s="20"/>
      <c r="E39" s="20"/>
      <c r="F39" s="20"/>
      <c r="G39" s="20"/>
      <c r="H39" s="20"/>
    </row>
    <row r="40" spans="1:8" x14ac:dyDescent="0.25">
      <c r="A40" s="20"/>
      <c r="B40" s="20"/>
      <c r="C40" s="20"/>
      <c r="D40" s="20"/>
      <c r="E40" s="20"/>
      <c r="F40" s="20"/>
      <c r="G40" s="20"/>
      <c r="H40" s="20"/>
    </row>
    <row r="41" spans="1:8" x14ac:dyDescent="0.25">
      <c r="A41" s="20"/>
      <c r="B41" s="20"/>
      <c r="C41" s="20"/>
      <c r="D41" s="20"/>
      <c r="E41" s="20"/>
      <c r="F41" s="20"/>
      <c r="G41" s="20"/>
      <c r="H41" s="20"/>
    </row>
    <row r="42" spans="1:8" x14ac:dyDescent="0.25">
      <c r="A42" s="20"/>
      <c r="B42" s="20"/>
      <c r="C42" s="20"/>
      <c r="D42" s="20"/>
      <c r="E42" s="20"/>
      <c r="F42" s="20"/>
      <c r="G42" s="20"/>
      <c r="H42" s="20"/>
    </row>
    <row r="43" spans="1:8" x14ac:dyDescent="0.25">
      <c r="A43" s="20"/>
      <c r="B43" s="20"/>
      <c r="C43" s="20"/>
      <c r="D43" s="20"/>
      <c r="E43" s="20"/>
      <c r="F43" s="20"/>
      <c r="G43" s="20"/>
      <c r="H43" s="20"/>
    </row>
    <row r="44" spans="1:8" x14ac:dyDescent="0.25">
      <c r="A44" s="20"/>
      <c r="B44" s="20"/>
      <c r="C44" s="20"/>
      <c r="D44" s="20"/>
      <c r="E44" s="20"/>
      <c r="F44" s="20"/>
      <c r="G44" s="20"/>
      <c r="H44" s="20"/>
    </row>
    <row r="45" spans="1:8" x14ac:dyDescent="0.25">
      <c r="A45" s="20"/>
      <c r="B45" s="20"/>
      <c r="C45" s="20"/>
      <c r="D45" s="20"/>
      <c r="E45" s="20"/>
      <c r="F45" s="20"/>
      <c r="G45" s="20"/>
      <c r="H45" s="20"/>
    </row>
    <row r="46" spans="1:8" x14ac:dyDescent="0.25">
      <c r="A46" s="20"/>
      <c r="B46" s="20"/>
      <c r="C46" s="20"/>
      <c r="D46" s="20"/>
      <c r="E46" s="20"/>
      <c r="F46" s="20"/>
      <c r="G46" s="20"/>
      <c r="H46" s="20"/>
    </row>
    <row r="47" spans="1:8" x14ac:dyDescent="0.25">
      <c r="A47" s="20"/>
      <c r="B47" s="20"/>
      <c r="C47" s="20"/>
      <c r="D47" s="20"/>
      <c r="E47" s="20"/>
      <c r="F47" s="20"/>
      <c r="G47" s="20"/>
      <c r="H47" s="20"/>
    </row>
    <row r="48" spans="1:8" x14ac:dyDescent="0.25">
      <c r="A48" s="20"/>
      <c r="B48" s="20"/>
      <c r="C48" s="20"/>
      <c r="D48" s="20"/>
      <c r="E48" s="20"/>
      <c r="F48" s="20"/>
      <c r="G48" s="20"/>
      <c r="H48" s="20"/>
    </row>
    <row r="49" spans="1:8" x14ac:dyDescent="0.25">
      <c r="A49" s="20"/>
      <c r="B49" s="20"/>
      <c r="C49" s="20"/>
      <c r="D49" s="20"/>
      <c r="E49" s="20"/>
      <c r="F49" s="20"/>
      <c r="G49" s="20"/>
      <c r="H49" s="20"/>
    </row>
    <row r="50" spans="1:8" x14ac:dyDescent="0.25">
      <c r="E50" s="219"/>
    </row>
    <row r="51" spans="1:8" x14ac:dyDescent="0.25">
      <c r="E51" s="219"/>
    </row>
    <row r="52" spans="1:8" x14ac:dyDescent="0.25">
      <c r="E52" s="219"/>
    </row>
    <row r="53" spans="1:8" x14ac:dyDescent="0.25">
      <c r="E53" s="218"/>
    </row>
  </sheetData>
  <phoneticPr fontId="19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F5D3BCE-94A8-4CF6-BBD2-F573298A4177}">
          <x14:formula1>
            <xm:f>LKL_fx!$M$10:$M$16</xm:f>
          </x14:formula1>
          <xm:sqref>E35:E49 E16:E30</xm:sqref>
        </x14:dataValidation>
        <x14:dataValidation type="list" allowBlank="1" showInputMessage="1" showErrorMessage="1" xr:uid="{3205A58A-AEBD-4335-9ED0-363933E927D5}">
          <x14:formula1>
            <xm:f>LKL_fx!$A$21:$A$22</xm:f>
          </x14:formula1>
          <xm:sqref>G16:G30 G35:G49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E667D-61D9-4C65-A1F2-28ED9A47F4DF}">
  <sheetPr codeName="Sheet6">
    <tabColor rgb="FFCC99FF"/>
  </sheetPr>
  <dimension ref="A1:T91"/>
  <sheetViews>
    <sheetView zoomScaleNormal="100" workbookViewId="0">
      <pane ySplit="2" topLeftCell="A3" activePane="bottomLeft" state="frozen"/>
      <selection activeCell="F29" sqref="F28:F29"/>
      <selection pane="bottomLeft" activeCell="F29" sqref="F28:F29"/>
    </sheetView>
  </sheetViews>
  <sheetFormatPr defaultRowHeight="15" x14ac:dyDescent="0.25"/>
  <cols>
    <col min="1" max="1" width="12.7109375" customWidth="1"/>
    <col min="2" max="2" width="25.28515625" customWidth="1"/>
    <col min="3" max="3" width="21.140625" customWidth="1"/>
    <col min="4" max="4" width="24.5703125" customWidth="1"/>
    <col min="5" max="5" width="21.42578125" customWidth="1"/>
    <col min="6" max="6" width="26.28515625" customWidth="1"/>
    <col min="7" max="8" width="26.42578125" customWidth="1"/>
    <col min="9" max="9" width="37.5703125" customWidth="1"/>
    <col min="10" max="10" width="18.85546875" customWidth="1"/>
    <col min="12" max="12" width="15.140625" customWidth="1"/>
    <col min="16" max="16" width="16.140625" customWidth="1"/>
    <col min="20" max="20" width="15.5703125" customWidth="1"/>
  </cols>
  <sheetData>
    <row r="1" spans="1:20" s="148" customFormat="1" ht="129" customHeight="1" x14ac:dyDescent="0.25"/>
    <row r="2" spans="1:20" s="142" customFormat="1" ht="35.25" customHeight="1" x14ac:dyDescent="0.4">
      <c r="A2" s="142" t="s">
        <v>493</v>
      </c>
      <c r="B2" s="143"/>
      <c r="D2" s="143"/>
      <c r="F2" s="144"/>
      <c r="J2" s="143"/>
      <c r="K2" s="143"/>
      <c r="L2" s="143"/>
      <c r="M2" s="143"/>
      <c r="O2" s="143"/>
      <c r="P2" s="143"/>
      <c r="Q2" s="143"/>
      <c r="R2" s="143"/>
      <c r="S2" s="143"/>
      <c r="T2" s="143"/>
    </row>
    <row r="3" spans="1:20" ht="15.75" thickBot="1" x14ac:dyDescent="0.3"/>
    <row r="4" spans="1:20" x14ac:dyDescent="0.25">
      <c r="A4" s="5" t="s">
        <v>494</v>
      </c>
      <c r="B4" s="5"/>
      <c r="C4" s="5"/>
      <c r="D4" s="5"/>
      <c r="E4" s="5"/>
      <c r="G4" s="7" t="s">
        <v>104</v>
      </c>
      <c r="H4" s="8" t="s">
        <v>105</v>
      </c>
      <c r="I4" s="8" t="s">
        <v>106</v>
      </c>
      <c r="J4" s="9" t="s">
        <v>107</v>
      </c>
    </row>
    <row r="5" spans="1:20" ht="15.75" thickBot="1" x14ac:dyDescent="0.3">
      <c r="A5" s="5" t="s">
        <v>495</v>
      </c>
      <c r="B5" s="5"/>
      <c r="C5" s="5"/>
      <c r="D5" s="5"/>
      <c r="E5" s="5"/>
      <c r="G5" s="10"/>
      <c r="H5" s="11">
        <v>1</v>
      </c>
      <c r="I5" s="11">
        <v>25</v>
      </c>
      <c r="J5" s="12">
        <v>298</v>
      </c>
    </row>
    <row r="8" spans="1:20" ht="18.75" x14ac:dyDescent="0.3">
      <c r="A8" s="145" t="s">
        <v>496</v>
      </c>
    </row>
    <row r="9" spans="1:20" ht="15.75" thickBot="1" x14ac:dyDescent="0.3"/>
    <row r="10" spans="1:20" ht="15.75" x14ac:dyDescent="0.25">
      <c r="A10" s="47" t="s">
        <v>497</v>
      </c>
      <c r="E10" s="67" t="s">
        <v>498</v>
      </c>
      <c r="F10" s="23"/>
      <c r="G10" s="23"/>
      <c r="H10" s="24"/>
    </row>
    <row r="11" spans="1:20" x14ac:dyDescent="0.25">
      <c r="E11" s="55" t="s">
        <v>390</v>
      </c>
      <c r="F11" s="50" t="s">
        <v>105</v>
      </c>
      <c r="G11" s="50" t="s">
        <v>106</v>
      </c>
      <c r="H11" s="56" t="s">
        <v>107</v>
      </c>
    </row>
    <row r="12" spans="1:20" x14ac:dyDescent="0.25">
      <c r="A12" s="42" t="s">
        <v>499</v>
      </c>
      <c r="E12" s="64"/>
      <c r="F12" s="17" t="s">
        <v>500</v>
      </c>
      <c r="G12" s="17" t="s">
        <v>500</v>
      </c>
      <c r="H12" s="65" t="s">
        <v>500</v>
      </c>
    </row>
    <row r="13" spans="1:20" x14ac:dyDescent="0.25">
      <c r="A13" t="s">
        <v>501</v>
      </c>
      <c r="E13" s="147" t="s">
        <v>394</v>
      </c>
      <c r="F13" s="148">
        <v>2.6764919999999999E-3</v>
      </c>
      <c r="G13" s="148">
        <f>$I$5*0.000000140868</f>
        <v>3.5216999999999997E-6</v>
      </c>
      <c r="H13" s="149">
        <f>$J$5*0.000000140868</f>
        <v>4.1978663999999993E-5</v>
      </c>
    </row>
    <row r="14" spans="1:20" x14ac:dyDescent="0.25">
      <c r="A14" t="s">
        <v>502</v>
      </c>
      <c r="E14" s="27" t="s">
        <v>503</v>
      </c>
      <c r="F14" s="20">
        <v>1.2117600000000001E-3</v>
      </c>
      <c r="G14" s="20">
        <f>$I$5*0.0000019872</f>
        <v>4.9679999999999992E-5</v>
      </c>
      <c r="H14" s="26">
        <f>$J$5*0.0000000648</f>
        <v>1.9310400000000001E-5</v>
      </c>
    </row>
    <row r="15" spans="1:20" x14ac:dyDescent="0.25">
      <c r="A15" t="s">
        <v>504</v>
      </c>
      <c r="E15" s="147" t="s">
        <v>505</v>
      </c>
      <c r="F15" s="148">
        <v>5.3182800000000003E-4</v>
      </c>
      <c r="G15" s="148">
        <f>$I$5*0.00000087216</f>
        <v>2.1804E-5</v>
      </c>
      <c r="H15" s="149">
        <f>$J$5*0.00000002844</f>
        <v>8.4751199999999992E-6</v>
      </c>
    </row>
    <row r="16" spans="1:20" ht="15.75" thickBot="1" x14ac:dyDescent="0.3">
      <c r="A16" t="s">
        <v>506</v>
      </c>
      <c r="E16" s="68" t="s">
        <v>507</v>
      </c>
      <c r="F16" s="69">
        <v>1.6117002000000003E-3</v>
      </c>
      <c r="G16" s="69">
        <f>$I$5*0.000001583604</f>
        <v>3.9590099999999999E-5</v>
      </c>
      <c r="H16" s="70">
        <f>$J$5*0.0000000051084</f>
        <v>1.5223032E-6</v>
      </c>
    </row>
    <row r="20" spans="1:8" ht="18.75" x14ac:dyDescent="0.3">
      <c r="A20" s="146" t="s">
        <v>508</v>
      </c>
    </row>
    <row r="21" spans="1:8" x14ac:dyDescent="0.25">
      <c r="A21" s="5" t="s">
        <v>509</v>
      </c>
      <c r="B21" s="5"/>
      <c r="C21" s="5"/>
      <c r="D21" s="5"/>
    </row>
    <row r="23" spans="1:8" ht="15.75" x14ac:dyDescent="0.25">
      <c r="A23" s="47" t="s">
        <v>510</v>
      </c>
    </row>
    <row r="24" spans="1:8" x14ac:dyDescent="0.25">
      <c r="A24" s="125" t="s">
        <v>511</v>
      </c>
    </row>
    <row r="26" spans="1:8" ht="15.75" x14ac:dyDescent="0.25">
      <c r="A26" s="80" t="s">
        <v>919</v>
      </c>
    </row>
    <row r="27" spans="1:8" x14ac:dyDescent="0.25">
      <c r="A27" s="5" t="s">
        <v>512</v>
      </c>
      <c r="B27" s="5"/>
      <c r="C27" s="5"/>
      <c r="D27" s="5"/>
      <c r="E27" s="5"/>
      <c r="F27" s="5"/>
    </row>
    <row r="28" spans="1:8" x14ac:dyDescent="0.25">
      <c r="A28" s="5" t="s">
        <v>513</v>
      </c>
      <c r="B28" s="5"/>
      <c r="C28" s="5"/>
      <c r="D28" s="5"/>
      <c r="E28" s="5"/>
      <c r="F28" s="5"/>
    </row>
    <row r="29" spans="1:8" ht="15.75" thickBot="1" x14ac:dyDescent="0.3"/>
    <row r="30" spans="1:8" x14ac:dyDescent="0.25">
      <c r="B30" s="349" t="s">
        <v>920</v>
      </c>
      <c r="C30" s="350"/>
      <c r="D30" s="350"/>
      <c r="E30" s="351"/>
      <c r="F30" s="352"/>
      <c r="G30" s="351"/>
    </row>
    <row r="31" spans="1:8" x14ac:dyDescent="0.25">
      <c r="B31" s="55" t="s">
        <v>412</v>
      </c>
      <c r="C31" s="50" t="s">
        <v>105</v>
      </c>
      <c r="D31" s="50" t="s">
        <v>107</v>
      </c>
      <c r="E31" s="56" t="s">
        <v>106</v>
      </c>
      <c r="F31" s="147"/>
      <c r="G31" s="56" t="s">
        <v>170</v>
      </c>
    </row>
    <row r="32" spans="1:8" x14ac:dyDescent="0.25">
      <c r="B32" s="64"/>
      <c r="C32" s="17" t="s">
        <v>514</v>
      </c>
      <c r="D32" s="17" t="s">
        <v>514</v>
      </c>
      <c r="E32" s="17" t="s">
        <v>514</v>
      </c>
      <c r="F32" s="147"/>
      <c r="G32" s="17" t="s">
        <v>514</v>
      </c>
      <c r="H32" s="29"/>
    </row>
    <row r="33" spans="1:9" x14ac:dyDescent="0.25">
      <c r="B33" s="147">
        <v>2019</v>
      </c>
      <c r="C33" s="148">
        <v>5754</v>
      </c>
      <c r="D33" s="148">
        <f>0.8932*J5</f>
        <v>266.17360000000002</v>
      </c>
      <c r="E33" s="149">
        <f>0.0612*I5</f>
        <v>1.53</v>
      </c>
      <c r="F33" s="147">
        <v>-1992</v>
      </c>
      <c r="G33" s="149">
        <f>C40</f>
        <v>4507</v>
      </c>
    </row>
    <row r="34" spans="1:9" x14ac:dyDescent="0.25">
      <c r="B34" s="27" t="s">
        <v>515</v>
      </c>
      <c r="C34" s="20">
        <v>6012</v>
      </c>
      <c r="D34" s="20"/>
      <c r="E34" s="26"/>
      <c r="F34" s="147" t="s">
        <v>516</v>
      </c>
      <c r="G34" s="149">
        <f>(C39+C38)/2</f>
        <v>4661</v>
      </c>
    </row>
    <row r="35" spans="1:9" x14ac:dyDescent="0.25">
      <c r="B35" s="147" t="s">
        <v>517</v>
      </c>
      <c r="C35" s="148">
        <v>5318</v>
      </c>
      <c r="D35" s="148"/>
      <c r="E35" s="149"/>
      <c r="F35" s="147" t="s">
        <v>518</v>
      </c>
      <c r="G35" s="149">
        <f>C38</f>
        <v>4712</v>
      </c>
    </row>
    <row r="36" spans="1:9" x14ac:dyDescent="0.25">
      <c r="B36" s="27" t="s">
        <v>519</v>
      </c>
      <c r="C36" s="20">
        <v>4924</v>
      </c>
      <c r="D36" s="20"/>
      <c r="E36" s="26"/>
      <c r="F36" s="147" t="s">
        <v>520</v>
      </c>
      <c r="G36" s="149">
        <f>C37</f>
        <v>4839</v>
      </c>
    </row>
    <row r="37" spans="1:9" x14ac:dyDescent="0.25">
      <c r="B37" s="147" t="s">
        <v>521</v>
      </c>
      <c r="C37" s="148">
        <v>4839</v>
      </c>
      <c r="D37" s="148"/>
      <c r="E37" s="149"/>
      <c r="F37" s="147" t="s">
        <v>522</v>
      </c>
      <c r="G37" s="149">
        <f>C36</f>
        <v>4924</v>
      </c>
    </row>
    <row r="38" spans="1:9" x14ac:dyDescent="0.25">
      <c r="B38" s="27" t="s">
        <v>523</v>
      </c>
      <c r="C38" s="20">
        <v>4712</v>
      </c>
      <c r="D38" s="20"/>
      <c r="E38" s="26"/>
      <c r="F38" s="180" t="s">
        <v>524</v>
      </c>
      <c r="G38" s="149">
        <f>(C35+C34)/2</f>
        <v>5665</v>
      </c>
    </row>
    <row r="39" spans="1:9" x14ac:dyDescent="0.25">
      <c r="B39" s="147" t="s">
        <v>525</v>
      </c>
      <c r="C39" s="148">
        <v>4610</v>
      </c>
      <c r="D39" s="148"/>
      <c r="E39" s="149"/>
      <c r="F39" s="147" t="s">
        <v>526</v>
      </c>
      <c r="G39" s="149">
        <f>((C33+D33+E33)+C34)/2</f>
        <v>6016.8518000000004</v>
      </c>
    </row>
    <row r="40" spans="1:9" x14ac:dyDescent="0.25">
      <c r="B40" s="27" t="s">
        <v>527</v>
      </c>
      <c r="C40" s="20">
        <v>4507</v>
      </c>
      <c r="D40" s="20"/>
      <c r="E40" s="26"/>
      <c r="F40" s="147"/>
      <c r="G40" s="149"/>
    </row>
    <row r="41" spans="1:9" ht="15.75" thickBot="1" x14ac:dyDescent="0.3">
      <c r="B41" s="150">
        <v>-1986</v>
      </c>
      <c r="C41" s="151">
        <v>4271</v>
      </c>
      <c r="D41" s="151"/>
      <c r="E41" s="152"/>
      <c r="F41" s="150"/>
      <c r="G41" s="152"/>
    </row>
    <row r="44" spans="1:9" ht="15.75" x14ac:dyDescent="0.25">
      <c r="A44" s="80" t="s">
        <v>528</v>
      </c>
    </row>
    <row r="45" spans="1:9" ht="15.75" thickBot="1" x14ac:dyDescent="0.3"/>
    <row r="46" spans="1:9" x14ac:dyDescent="0.25">
      <c r="B46" s="67" t="s">
        <v>529</v>
      </c>
      <c r="C46" s="23"/>
      <c r="D46" s="23"/>
      <c r="E46" s="23"/>
      <c r="F46" s="23"/>
      <c r="G46" s="24"/>
    </row>
    <row r="47" spans="1:9" x14ac:dyDescent="0.25">
      <c r="B47" s="55" t="s">
        <v>499</v>
      </c>
      <c r="C47" s="50" t="s">
        <v>530</v>
      </c>
      <c r="D47" s="50" t="s">
        <v>531</v>
      </c>
      <c r="E47" s="50" t="s">
        <v>532</v>
      </c>
      <c r="F47" s="50" t="s">
        <v>533</v>
      </c>
      <c r="G47" s="56"/>
      <c r="I47" s="50" t="s">
        <v>534</v>
      </c>
    </row>
    <row r="48" spans="1:9" x14ac:dyDescent="0.25">
      <c r="B48" s="64"/>
      <c r="C48" s="17" t="s">
        <v>535</v>
      </c>
      <c r="D48" s="17" t="s">
        <v>535</v>
      </c>
      <c r="E48" s="17" t="s">
        <v>536</v>
      </c>
      <c r="F48" s="17" t="s">
        <v>537</v>
      </c>
      <c r="G48" s="65" t="s">
        <v>538</v>
      </c>
      <c r="I48" t="s">
        <v>539</v>
      </c>
    </row>
    <row r="49" spans="2:9" x14ac:dyDescent="0.25">
      <c r="B49" s="409" t="s">
        <v>540</v>
      </c>
      <c r="C49" s="411">
        <v>6</v>
      </c>
      <c r="D49" s="411">
        <v>3.5</v>
      </c>
      <c r="E49" s="148">
        <v>-1992</v>
      </c>
      <c r="F49" s="148">
        <v>280</v>
      </c>
      <c r="G49" s="149">
        <v>369</v>
      </c>
      <c r="I49" t="s">
        <v>541</v>
      </c>
    </row>
    <row r="50" spans="2:9" x14ac:dyDescent="0.25">
      <c r="B50" s="409"/>
      <c r="C50" s="411"/>
      <c r="D50" s="411"/>
      <c r="E50" s="148" t="s">
        <v>516</v>
      </c>
      <c r="F50" s="148">
        <v>284</v>
      </c>
      <c r="G50" s="149">
        <v>374</v>
      </c>
      <c r="I50" t="s">
        <v>542</v>
      </c>
    </row>
    <row r="51" spans="2:9" x14ac:dyDescent="0.25">
      <c r="B51" s="409"/>
      <c r="C51" s="411"/>
      <c r="D51" s="411"/>
      <c r="E51" s="148" t="s">
        <v>518</v>
      </c>
      <c r="F51" s="148">
        <v>288</v>
      </c>
      <c r="G51" s="149">
        <v>380</v>
      </c>
      <c r="I51" t="s">
        <v>543</v>
      </c>
    </row>
    <row r="52" spans="2:9" x14ac:dyDescent="0.25">
      <c r="B52" s="409"/>
      <c r="C52" s="411"/>
      <c r="D52" s="411"/>
      <c r="E52" s="148" t="s">
        <v>520</v>
      </c>
      <c r="F52" s="148">
        <v>294</v>
      </c>
      <c r="G52" s="149">
        <v>387</v>
      </c>
      <c r="I52" t="s">
        <v>544</v>
      </c>
    </row>
    <row r="53" spans="2:9" x14ac:dyDescent="0.25">
      <c r="B53" s="409"/>
      <c r="C53" s="411"/>
      <c r="D53" s="411"/>
      <c r="E53" s="148" t="s">
        <v>522</v>
      </c>
      <c r="F53" s="148">
        <v>290</v>
      </c>
      <c r="G53" s="149">
        <v>381</v>
      </c>
      <c r="I53" t="s">
        <v>545</v>
      </c>
    </row>
    <row r="54" spans="2:9" x14ac:dyDescent="0.25">
      <c r="B54" s="409"/>
      <c r="C54" s="411"/>
      <c r="D54" s="411"/>
      <c r="E54" s="167" t="s">
        <v>524</v>
      </c>
      <c r="F54" s="148">
        <v>295</v>
      </c>
      <c r="G54" s="149">
        <v>388</v>
      </c>
      <c r="I54" t="s">
        <v>546</v>
      </c>
    </row>
    <row r="55" spans="2:9" x14ac:dyDescent="0.25">
      <c r="B55" s="409"/>
      <c r="C55" s="411"/>
      <c r="D55" s="411"/>
      <c r="E55" s="148" t="s">
        <v>526</v>
      </c>
      <c r="F55" s="148">
        <v>290</v>
      </c>
      <c r="G55" s="149">
        <v>383</v>
      </c>
    </row>
    <row r="56" spans="2:9" x14ac:dyDescent="0.25">
      <c r="B56" s="413" t="s">
        <v>547</v>
      </c>
      <c r="C56" s="414">
        <v>15</v>
      </c>
      <c r="D56" s="414">
        <v>9</v>
      </c>
      <c r="E56" s="20">
        <v>-1992</v>
      </c>
      <c r="F56" s="20">
        <v>432</v>
      </c>
      <c r="G56" s="26">
        <v>640</v>
      </c>
    </row>
    <row r="57" spans="2:9" x14ac:dyDescent="0.25">
      <c r="B57" s="413"/>
      <c r="C57" s="414"/>
      <c r="D57" s="414"/>
      <c r="E57" s="20" t="s">
        <v>516</v>
      </c>
      <c r="F57" s="20">
        <v>438</v>
      </c>
      <c r="G57" s="26">
        <v>649</v>
      </c>
    </row>
    <row r="58" spans="2:9" x14ac:dyDescent="0.25">
      <c r="B58" s="413"/>
      <c r="C58" s="414"/>
      <c r="D58" s="414"/>
      <c r="E58" s="20" t="s">
        <v>518</v>
      </c>
      <c r="F58" s="20">
        <v>445</v>
      </c>
      <c r="G58" s="26">
        <v>659</v>
      </c>
    </row>
    <row r="59" spans="2:9" x14ac:dyDescent="0.25">
      <c r="B59" s="413"/>
      <c r="C59" s="414"/>
      <c r="D59" s="414"/>
      <c r="E59" s="20" t="s">
        <v>520</v>
      </c>
      <c r="F59" s="20">
        <v>454</v>
      </c>
      <c r="G59" s="26">
        <v>675</v>
      </c>
    </row>
    <row r="60" spans="2:9" x14ac:dyDescent="0.25">
      <c r="B60" s="413"/>
      <c r="C60" s="414"/>
      <c r="D60" s="414"/>
      <c r="E60" s="20" t="s">
        <v>522</v>
      </c>
      <c r="F60" s="20">
        <v>466</v>
      </c>
      <c r="G60" s="26">
        <v>674</v>
      </c>
    </row>
    <row r="61" spans="2:9" x14ac:dyDescent="0.25">
      <c r="B61" s="413"/>
      <c r="C61" s="414"/>
      <c r="D61" s="414"/>
      <c r="E61" s="168" t="s">
        <v>524</v>
      </c>
      <c r="F61" s="20">
        <v>472</v>
      </c>
      <c r="G61" s="26">
        <v>681</v>
      </c>
    </row>
    <row r="62" spans="2:9" x14ac:dyDescent="0.25">
      <c r="B62" s="413"/>
      <c r="C62" s="414"/>
      <c r="D62" s="414"/>
      <c r="E62" s="20" t="s">
        <v>526</v>
      </c>
      <c r="F62" s="20">
        <v>472</v>
      </c>
      <c r="G62" s="26">
        <v>681</v>
      </c>
    </row>
    <row r="63" spans="2:9" x14ac:dyDescent="0.25">
      <c r="B63" s="409" t="s">
        <v>548</v>
      </c>
      <c r="C63" s="411">
        <v>40</v>
      </c>
      <c r="D63" s="411">
        <v>25</v>
      </c>
      <c r="E63" s="148">
        <v>-1992</v>
      </c>
      <c r="F63" s="148">
        <v>1005</v>
      </c>
      <c r="G63" s="149">
        <v>1657</v>
      </c>
    </row>
    <row r="64" spans="2:9" x14ac:dyDescent="0.25">
      <c r="B64" s="409"/>
      <c r="C64" s="411"/>
      <c r="D64" s="411"/>
      <c r="E64" s="148" t="s">
        <v>516</v>
      </c>
      <c r="F64" s="148">
        <v>985</v>
      </c>
      <c r="G64" s="149">
        <v>1626</v>
      </c>
    </row>
    <row r="65" spans="2:7" x14ac:dyDescent="0.25">
      <c r="B65" s="409"/>
      <c r="C65" s="411"/>
      <c r="D65" s="411"/>
      <c r="E65" s="148" t="s">
        <v>518</v>
      </c>
      <c r="F65" s="148">
        <v>970</v>
      </c>
      <c r="G65" s="149">
        <v>1651</v>
      </c>
    </row>
    <row r="66" spans="2:7" x14ac:dyDescent="0.25">
      <c r="B66" s="409"/>
      <c r="C66" s="411"/>
      <c r="D66" s="411"/>
      <c r="E66" s="148" t="s">
        <v>520</v>
      </c>
      <c r="F66" s="148">
        <v>968</v>
      </c>
      <c r="G66" s="149">
        <v>1688</v>
      </c>
    </row>
    <row r="67" spans="2:7" x14ac:dyDescent="0.25">
      <c r="B67" s="409"/>
      <c r="C67" s="411"/>
      <c r="D67" s="411"/>
      <c r="E67" s="148" t="s">
        <v>522</v>
      </c>
      <c r="F67" s="148">
        <v>958</v>
      </c>
      <c r="G67" s="149">
        <v>1649</v>
      </c>
    </row>
    <row r="68" spans="2:7" x14ac:dyDescent="0.25">
      <c r="B68" s="409"/>
      <c r="C68" s="411"/>
      <c r="D68" s="411"/>
      <c r="E68" s="167" t="s">
        <v>524</v>
      </c>
      <c r="F68" s="148">
        <v>966</v>
      </c>
      <c r="G68" s="149">
        <v>1659</v>
      </c>
    </row>
    <row r="69" spans="2:7" x14ac:dyDescent="0.25">
      <c r="B69" s="409"/>
      <c r="C69" s="411"/>
      <c r="D69" s="411"/>
      <c r="E69" s="148" t="s">
        <v>526</v>
      </c>
      <c r="F69" s="148">
        <v>965</v>
      </c>
      <c r="G69" s="149">
        <v>1656</v>
      </c>
    </row>
    <row r="70" spans="2:7" x14ac:dyDescent="0.25">
      <c r="B70" s="413" t="s">
        <v>549</v>
      </c>
      <c r="C70" s="414">
        <v>60</v>
      </c>
      <c r="D70" s="414">
        <v>40</v>
      </c>
      <c r="E70" s="20">
        <v>-1992</v>
      </c>
      <c r="F70" s="20">
        <v>1188</v>
      </c>
      <c r="G70" s="26">
        <v>2102</v>
      </c>
    </row>
    <row r="71" spans="2:7" x14ac:dyDescent="0.25">
      <c r="B71" s="413"/>
      <c r="C71" s="414"/>
      <c r="D71" s="414"/>
      <c r="E71" s="20" t="s">
        <v>516</v>
      </c>
      <c r="F71" s="20">
        <v>1207</v>
      </c>
      <c r="G71" s="26">
        <v>2136</v>
      </c>
    </row>
    <row r="72" spans="2:7" x14ac:dyDescent="0.25">
      <c r="B72" s="413"/>
      <c r="C72" s="414"/>
      <c r="D72" s="414"/>
      <c r="E72" s="20" t="s">
        <v>518</v>
      </c>
      <c r="F72" s="20">
        <v>1226</v>
      </c>
      <c r="G72" s="26">
        <v>2169</v>
      </c>
    </row>
    <row r="73" spans="2:7" x14ac:dyDescent="0.25">
      <c r="B73" s="413"/>
      <c r="C73" s="414"/>
      <c r="D73" s="414"/>
      <c r="E73" s="20" t="s">
        <v>520</v>
      </c>
      <c r="F73" s="20">
        <v>1254</v>
      </c>
      <c r="G73" s="26">
        <v>2220</v>
      </c>
    </row>
    <row r="74" spans="2:7" x14ac:dyDescent="0.25">
      <c r="B74" s="413"/>
      <c r="C74" s="414"/>
      <c r="D74" s="414"/>
      <c r="E74" s="20" t="s">
        <v>522</v>
      </c>
      <c r="F74" s="20">
        <v>1225</v>
      </c>
      <c r="G74" s="26">
        <v>2193</v>
      </c>
    </row>
    <row r="75" spans="2:7" x14ac:dyDescent="0.25">
      <c r="B75" s="413"/>
      <c r="C75" s="414"/>
      <c r="D75" s="414"/>
      <c r="E75" s="168" t="s">
        <v>524</v>
      </c>
      <c r="F75" s="20">
        <v>1233</v>
      </c>
      <c r="G75" s="26">
        <v>2201</v>
      </c>
    </row>
    <row r="76" spans="2:7" x14ac:dyDescent="0.25">
      <c r="B76" s="413"/>
      <c r="C76" s="414"/>
      <c r="D76" s="414"/>
      <c r="E76" s="20" t="s">
        <v>526</v>
      </c>
      <c r="F76" s="20">
        <v>1220</v>
      </c>
      <c r="G76" s="26">
        <v>2193</v>
      </c>
    </row>
    <row r="77" spans="2:7" ht="30" x14ac:dyDescent="0.25">
      <c r="B77" s="390" t="s">
        <v>550</v>
      </c>
      <c r="C77" s="148">
        <v>76</v>
      </c>
      <c r="D77" s="148">
        <v>51</v>
      </c>
      <c r="E77" s="167" t="s">
        <v>526</v>
      </c>
      <c r="F77" s="148">
        <v>1361</v>
      </c>
      <c r="G77" s="149">
        <v>2552</v>
      </c>
    </row>
    <row r="78" spans="2:7" x14ac:dyDescent="0.25">
      <c r="B78" s="413" t="s">
        <v>551</v>
      </c>
      <c r="C78" s="414">
        <v>32</v>
      </c>
      <c r="D78" s="414">
        <v>19</v>
      </c>
      <c r="E78" s="20">
        <v>-1992</v>
      </c>
      <c r="F78" s="20">
        <v>886</v>
      </c>
      <c r="G78" s="26">
        <v>1445</v>
      </c>
    </row>
    <row r="79" spans="2:7" x14ac:dyDescent="0.25">
      <c r="B79" s="413"/>
      <c r="C79" s="414"/>
      <c r="D79" s="414"/>
      <c r="E79" s="20" t="s">
        <v>516</v>
      </c>
      <c r="F79" s="20">
        <v>871</v>
      </c>
      <c r="G79" s="26">
        <v>1403</v>
      </c>
    </row>
    <row r="80" spans="2:7" x14ac:dyDescent="0.25">
      <c r="B80" s="413"/>
      <c r="C80" s="414"/>
      <c r="D80" s="414"/>
      <c r="E80" s="20" t="s">
        <v>518</v>
      </c>
      <c r="F80" s="20">
        <v>831</v>
      </c>
      <c r="G80" s="26">
        <v>1379</v>
      </c>
    </row>
    <row r="81" spans="2:7" x14ac:dyDescent="0.25">
      <c r="B81" s="413"/>
      <c r="C81" s="414"/>
      <c r="D81" s="414"/>
      <c r="E81" s="20" t="s">
        <v>520</v>
      </c>
      <c r="F81" s="20">
        <v>873</v>
      </c>
      <c r="G81" s="26">
        <v>1398</v>
      </c>
    </row>
    <row r="82" spans="2:7" x14ac:dyDescent="0.25">
      <c r="B82" s="413"/>
      <c r="C82" s="414"/>
      <c r="D82" s="414"/>
      <c r="E82" s="20" t="s">
        <v>522</v>
      </c>
      <c r="F82" s="20">
        <v>819</v>
      </c>
      <c r="G82" s="26">
        <v>1372</v>
      </c>
    </row>
    <row r="83" spans="2:7" x14ac:dyDescent="0.25">
      <c r="B83" s="413"/>
      <c r="C83" s="414"/>
      <c r="D83" s="414"/>
      <c r="E83" s="168" t="s">
        <v>524</v>
      </c>
      <c r="F83" s="20">
        <v>829</v>
      </c>
      <c r="G83" s="26">
        <v>1384</v>
      </c>
    </row>
    <row r="84" spans="2:7" x14ac:dyDescent="0.25">
      <c r="B84" s="413"/>
      <c r="C84" s="414"/>
      <c r="D84" s="414"/>
      <c r="E84" s="20" t="s">
        <v>526</v>
      </c>
      <c r="F84" s="20">
        <v>832</v>
      </c>
      <c r="G84" s="26">
        <v>1382</v>
      </c>
    </row>
    <row r="85" spans="2:7" x14ac:dyDescent="0.25">
      <c r="B85" s="409" t="s">
        <v>552</v>
      </c>
      <c r="C85" s="411">
        <v>2.7</v>
      </c>
      <c r="D85" s="411">
        <v>1.2</v>
      </c>
      <c r="E85" s="148">
        <v>-1992</v>
      </c>
      <c r="F85" s="148">
        <v>242</v>
      </c>
      <c r="G85" s="149">
        <v>287</v>
      </c>
    </row>
    <row r="86" spans="2:7" x14ac:dyDescent="0.25">
      <c r="B86" s="409"/>
      <c r="C86" s="411"/>
      <c r="D86" s="411"/>
      <c r="E86" s="148" t="s">
        <v>553</v>
      </c>
      <c r="F86" s="148">
        <v>236</v>
      </c>
      <c r="G86" s="149">
        <v>282</v>
      </c>
    </row>
    <row r="87" spans="2:7" x14ac:dyDescent="0.25">
      <c r="B87" s="409"/>
      <c r="C87" s="411"/>
      <c r="D87" s="411"/>
      <c r="E87" s="148" t="s">
        <v>554</v>
      </c>
      <c r="F87" s="148">
        <v>233</v>
      </c>
      <c r="G87" s="149">
        <v>279</v>
      </c>
    </row>
    <row r="88" spans="2:7" x14ac:dyDescent="0.25">
      <c r="B88" s="409"/>
      <c r="C88" s="411"/>
      <c r="D88" s="411"/>
      <c r="E88" s="148" t="s">
        <v>555</v>
      </c>
      <c r="F88" s="148">
        <v>236</v>
      </c>
      <c r="G88" s="149">
        <v>281</v>
      </c>
    </row>
    <row r="89" spans="2:7" x14ac:dyDescent="0.25">
      <c r="B89" s="409"/>
      <c r="C89" s="411"/>
      <c r="D89" s="411"/>
      <c r="E89" s="167" t="s">
        <v>556</v>
      </c>
      <c r="F89" s="148">
        <v>236</v>
      </c>
      <c r="G89" s="149">
        <v>281</v>
      </c>
    </row>
    <row r="90" spans="2:7" x14ac:dyDescent="0.25">
      <c r="B90" s="409"/>
      <c r="C90" s="411"/>
      <c r="D90" s="411"/>
      <c r="E90" s="148" t="s">
        <v>557</v>
      </c>
      <c r="F90" s="148">
        <v>224</v>
      </c>
      <c r="G90" s="149">
        <v>275</v>
      </c>
    </row>
    <row r="91" spans="2:7" ht="15.75" thickBot="1" x14ac:dyDescent="0.3">
      <c r="B91" s="410"/>
      <c r="C91" s="412"/>
      <c r="D91" s="412"/>
      <c r="E91" s="151" t="s">
        <v>558</v>
      </c>
      <c r="F91" s="151">
        <v>210</v>
      </c>
      <c r="G91" s="152">
        <v>255</v>
      </c>
    </row>
  </sheetData>
  <mergeCells count="18">
    <mergeCell ref="B49:B55"/>
    <mergeCell ref="C49:C55"/>
    <mergeCell ref="D49:D55"/>
    <mergeCell ref="B56:B62"/>
    <mergeCell ref="C56:C62"/>
    <mergeCell ref="D56:D62"/>
    <mergeCell ref="B85:B91"/>
    <mergeCell ref="C85:C91"/>
    <mergeCell ref="D85:D91"/>
    <mergeCell ref="B63:B69"/>
    <mergeCell ref="B70:B76"/>
    <mergeCell ref="B78:B84"/>
    <mergeCell ref="C63:C69"/>
    <mergeCell ref="D63:D69"/>
    <mergeCell ref="C70:C76"/>
    <mergeCell ref="D70:D76"/>
    <mergeCell ref="C78:C84"/>
    <mergeCell ref="D78:D84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4D4DA-EFD1-484A-8711-9065AADC4B5D}">
  <sheetPr>
    <tabColor rgb="FFCC99FF"/>
  </sheetPr>
  <dimension ref="A1:T46"/>
  <sheetViews>
    <sheetView zoomScaleNormal="100" workbookViewId="0">
      <pane ySplit="3" topLeftCell="A4" activePane="bottomLeft" state="frozen"/>
      <selection activeCell="E35" sqref="E35"/>
      <selection pane="bottomLeft" activeCell="F29" sqref="F28:F29"/>
    </sheetView>
  </sheetViews>
  <sheetFormatPr defaultRowHeight="15" x14ac:dyDescent="0.25"/>
  <cols>
    <col min="1" max="1" width="27.28515625" customWidth="1"/>
    <col min="2" max="6" width="21.85546875" customWidth="1"/>
    <col min="7" max="7" width="23.7109375" customWidth="1"/>
    <col min="8" max="8" width="19.7109375" customWidth="1"/>
    <col min="9" max="9" width="19" customWidth="1"/>
    <col min="10" max="14" width="21.42578125" customWidth="1"/>
  </cols>
  <sheetData>
    <row r="1" spans="1:20" s="148" customFormat="1" ht="129" customHeight="1" x14ac:dyDescent="0.25"/>
    <row r="2" spans="1:20" s="142" customFormat="1" ht="35.25" customHeight="1" x14ac:dyDescent="0.4">
      <c r="A2" s="142" t="s">
        <v>493</v>
      </c>
      <c r="B2" s="143"/>
      <c r="D2" s="143"/>
      <c r="F2" s="144"/>
      <c r="J2" s="143"/>
      <c r="K2" s="143"/>
      <c r="L2" s="143"/>
      <c r="M2" s="143"/>
      <c r="O2" s="143"/>
      <c r="P2" s="143"/>
      <c r="Q2" s="143"/>
      <c r="R2" s="143"/>
      <c r="S2" s="143"/>
      <c r="T2" s="143"/>
    </row>
    <row r="3" spans="1:20" s="200" customFormat="1" ht="27" customHeight="1" x14ac:dyDescent="0.3">
      <c r="A3" s="200" t="s">
        <v>559</v>
      </c>
      <c r="D3" s="200">
        <f>YHTEENVETO!D3</f>
        <v>2019</v>
      </c>
    </row>
    <row r="5" spans="1:20" x14ac:dyDescent="0.25">
      <c r="A5" s="5" t="s">
        <v>560</v>
      </c>
      <c r="B5" s="5"/>
      <c r="C5" s="5"/>
      <c r="D5" s="5"/>
      <c r="E5" s="5"/>
      <c r="F5" s="5"/>
    </row>
    <row r="6" spans="1:20" x14ac:dyDescent="0.25">
      <c r="A6" s="5" t="s">
        <v>561</v>
      </c>
      <c r="B6" s="5"/>
      <c r="C6" s="5"/>
      <c r="D6" s="5"/>
      <c r="E6" s="5"/>
      <c r="F6" s="5"/>
    </row>
    <row r="9" spans="1:20" ht="15.75" x14ac:dyDescent="0.25">
      <c r="A9" s="238" t="s">
        <v>562</v>
      </c>
      <c r="B9" s="216"/>
      <c r="C9" s="216"/>
      <c r="D9" s="216"/>
      <c r="E9" s="216"/>
    </row>
    <row r="10" spans="1:20" x14ac:dyDescent="0.25">
      <c r="A10" s="251" t="s">
        <v>563</v>
      </c>
      <c r="B10" s="236"/>
      <c r="C10" s="236"/>
    </row>
    <row r="11" spans="1:20" ht="55.5" customHeight="1" x14ac:dyDescent="0.25">
      <c r="A11" s="217" t="s">
        <v>564</v>
      </c>
      <c r="B11" s="217" t="s">
        <v>565</v>
      </c>
      <c r="C11" s="217" t="s">
        <v>566</v>
      </c>
      <c r="D11" s="217" t="s">
        <v>907</v>
      </c>
      <c r="E11" s="217" t="s">
        <v>908</v>
      </c>
      <c r="G11" s="217" t="s">
        <v>567</v>
      </c>
      <c r="H11" s="217" t="s">
        <v>568</v>
      </c>
      <c r="I11" s="217" t="s">
        <v>569</v>
      </c>
      <c r="J11" s="217" t="s">
        <v>93</v>
      </c>
    </row>
    <row r="12" spans="1:20" ht="30" x14ac:dyDescent="0.25">
      <c r="A12" s="15">
        <f>Tie!A17</f>
        <v>0</v>
      </c>
      <c r="B12" s="15">
        <f>Tie!B17</f>
        <v>0</v>
      </c>
      <c r="C12" s="15">
        <f>Tie!C17</f>
        <v>0</v>
      </c>
      <c r="D12" s="15">
        <f>Tie!D17</f>
        <v>0</v>
      </c>
      <c r="E12" s="15">
        <f>Tie!E17</f>
        <v>0</v>
      </c>
      <c r="G12">
        <f>IF(A12=Tie_fx!$I$48,IF(C12=Tie_fx!$E$49,Tie_fx!$G$49,IF(C12=Tie_fx!$E$50,Tie_fx!$G$50,IF(C12=Tie_fx!$E$51,Tie_fx!$G$51,IF(C12=Tie_fx!$E$52,Tie_fx!$G$52,IF(C12=Tie_fx!$E$53,Tie_fx!$G$53,IF(C12=Tie_fx!$E$54,Tie_fx!$G$54,IF(C12=Tie_fx!$E$55,Tie_fx!$G$55,0))))))),IF(A12=Tie_fx!$I$49,IF(C12=Tie_fx!$E$56,Tie_fx!$G$56,IF(C12=Tie_fx!$E$57,Tie_fx!$G$57,IF(C12=Tie_fx!$E$58,Tie_fx!$G$58,IF(C12=Tie_fx!$E$59,Tie_fx!$G$59,IF(C12=Tie_fx!$E$60,Tie_fx!$G$60,IF(C12=Tie_fx!$E$61,Tie_fx!$G$61,IF(C12=Tie_fx!$E$62,Tie_fx!$G$62,0))))))),IF(A12=Tie_fx!$I$50,IF(C12=Tie_fx!$E$63,Tie_fx!$G$63,IF(C12=Tie_fx!$E$64,Tie_fx!$G$64,IF(C12=Tie_fx!$E$65,Tie_fx!$G$65,IF(C12=Tie_fx!$E$66,Tie_fx!$G$66,IF(C12=Tie_fx!$E$67,Tie_fx!$G$67,IF(C12=Tie_fx!$E$68,Tie_fx!$G$68,IF(C12=Tie_fx!$E$69,Tie_fx!$G$69,0))))))),IF(A12=Tie_fx!$I$51,IF(C12=Tie_fx!$E$70,Tie_fx!$G$70,IF(C12=Tie_fx!$E$71,Tie_fx!$G$71,IF(C12=Tie_fx!$E$72,Tie_fx!$G$72,IF(C12=Tie_fx!$E$73,Tie_fx!$G$73,IF(C12=Tie_fx!$E$74,Tie_fx!$G$74,IF(C12=Tie_fx!$E$75,Tie_fx!$G$75,IF(C12=Tie_fx!$E$76,Tie_fx!$G$76,0))))))),IF(A12=Tie_fx!$I$52,Tie_fx!$G$77,IF(A12=Tie_fx!$I$53,IF(C12=Tie_fx!$E$78,Tie_fx!$G$78,IF(C12=Tie_fx!$E$79,Tie_fx!$G$79,IF(C12=Tie_fx!$E$80,Tie_fx!$G$80,IF(C12=Tie_fx!$E$81,Tie_fx!$G$81,IF(C12=Tie_fx!$E$82,Tie_fx!$G$82,IF(C12=Tie_fx!$E$83,Tie_fx!$G$83,IF(C12=Tie_fx!$E$84,Tie_fx!$G$84,0))))))),0))))))</f>
        <v>0</v>
      </c>
      <c r="H12">
        <f>IF(A12=Tie_fx!$I$48,IF(C12=Tie_fx!$E$49,Tie_fx!$G$49,IF(C12=Tie_fx!$E$50,Tie_fx!$G$50,IF(C12=Tie_fx!$E$51,Tie_fx!$G$51,IF(C12=Tie_fx!$E$52,Tie_fx!$G$52,IF(C12=Tie_fx!$E$53,Tie_fx!$G$53,IF(C12=Tie_fx!$E$54,Tie_fx!$G$54,IF(C12=Tie_fx!$E$55,Tie_fx!$G$55,0))))))),IF(A12=Tie_fx!$I$49,IF(C12=Tie_fx!$E$56,Tie_fx!$G$56,IF(C12=Tie_fx!$E$57,Tie_fx!$G$57,IF(C12=Tie_fx!$E$58,Tie_fx!$G$58,IF(C12=Tie_fx!$E$59,Tie_fx!$G$59,IF(C12=Tie_fx!$E$60,Tie_fx!$G$60,IF(C12=Tie_fx!$E$61,Tie_fx!$G$61,IF(C12=Tie_fx!$E$62,Tie_fx!$G$62,0))))))),IF(A12=Tie_fx!$I$50,IF(C12=Tie_fx!$E$63,Tie_fx!$G$63,IF(C12=Tie_fx!$E$64,Tie_fx!$G$64,IF(C12=Tie_fx!$E$65,Tie_fx!$G$65,IF(C12=Tie_fx!$E$66,Tie_fx!$F$66,IF(C12=Tie_fx!$E$67,Tie_fx!$F$67,IF(C12=Tie_fx!$E$68,Tie_fx!$F$68,IF(C12=Tie_fx!$E$69,Tie_fx!$F$69,0))))))),IF(A12=Tie_fx!$I$51,IF(C12=Tie_fx!$E$70,Tie_fx!$F$70,IF(C12=Tie_fx!$E$71,Tie_fx!$F$71,IF(C12=Tie_fx!$E$72,Tie_fx!$F$72,IF(C12=Tie_fx!$E$73,Tie_fx!$F$73,IF(C12=Tie_fx!$E$74,Tie_fx!$F$74,IF(C12=Tie_fx!$E$75,Tie_fx!$F$75,IF(C12=Tie_fx!$E$76,Tie_fx!$F$76,0))))))),IF(A12=Tie_fx!$I$52,Tie_fx!$F$77,IF(A12=Tie_fx!$I$53,IF(C12=Tie_fx!$E$78,Tie_fx!$F$78,IF(C12=Tie_fx!$E$79,Tie_fx!$F$79,IF(C12=Tie_fx!$E$80,Tie_fx!$F$80,IF(C12=Tie_fx!$E$81,Tie_fx!$F$81,IF(C12=Tie_fx!$E$82,Tie_fx!$F$82,IF(C12=Tie_fx!$E$83,Tie_fx!$F$83,IF(C12=Tie_fx!$E$84,Tie_fx!$F$84,0))))))),0))))))</f>
        <v>0</v>
      </c>
      <c r="I12">
        <f>IF(C12=Tie_fx!$F$33,Tie_fx!$G$33,IF(C12=Tie_fx!$F$34,Tie_fx!$G$34,IF(C12=Tie_fx!$F$35,Tie_fx!$G$35,IF(C12=Tie_fx!$F$36,Tie_fx!$G$36,IF(C12=Tie_fx!$F$37,Tie_fx!$G$37,IF(C12=Tie_fx!$F$38,Tie_fx!$G$38,IF(C12=Tie_fx!$F$39,Tie_fx!$G$39,0)))))))</f>
        <v>0</v>
      </c>
      <c r="J12" s="258">
        <f>((B12*E12/2*G12)+(B12*E12/2*H12)+(B12*D12*I12))/1000000</f>
        <v>0</v>
      </c>
    </row>
    <row r="13" spans="1:20" ht="30" x14ac:dyDescent="0.25">
      <c r="A13" s="15">
        <f>Tie!A18</f>
        <v>0</v>
      </c>
      <c r="B13" s="15">
        <f>Tie!B18</f>
        <v>0</v>
      </c>
      <c r="C13" s="15">
        <f>Tie!C18</f>
        <v>0</v>
      </c>
      <c r="D13" s="15">
        <f>Tie!D18</f>
        <v>0</v>
      </c>
      <c r="E13" s="15">
        <f>Tie!E18</f>
        <v>0</v>
      </c>
      <c r="G13">
        <f>IF(A13=Tie_fx!$I$48,IF(C13=Tie_fx!$E$49,Tie_fx!$G$49,IF(C13=Tie_fx!$E$50,Tie_fx!$G$50,IF(C13=Tie_fx!$E$51,Tie_fx!$G$51,IF(C13=Tie_fx!$E$52,Tie_fx!$G$52,IF(C13=Tie_fx!$E$53,Tie_fx!$G$53,IF(C13=Tie_fx!$E$54,Tie_fx!$G$54,IF(C13=Tie_fx!$E$55,Tie_fx!$G$55,0))))))),IF(A13=Tie_fx!$I$49,IF(C13=Tie_fx!$E$56,Tie_fx!$G$56,IF(C13=Tie_fx!$E$57,Tie_fx!$G$57,IF(C13=Tie_fx!$E$58,Tie_fx!$G$58,IF(C13=Tie_fx!$E$59,Tie_fx!$G$59,IF(C13=Tie_fx!$E$60,Tie_fx!$G$60,IF(C13=Tie_fx!$E$61,Tie_fx!$G$61,IF(C13=Tie_fx!$E$62,Tie_fx!$G$62,0))))))),IF(A13=Tie_fx!$I$50,IF(C13=Tie_fx!$E$63,Tie_fx!$G$63,IF(C13=Tie_fx!$E$64,Tie_fx!$G$64,IF(C13=Tie_fx!$E$65,Tie_fx!$G$65,IF(C13=Tie_fx!$E$66,Tie_fx!$G$66,IF(C13=Tie_fx!$E$67,Tie_fx!$G$67,IF(C13=Tie_fx!$E$68,Tie_fx!$G$68,IF(C13=Tie_fx!$E$69,Tie_fx!$G$69,0))))))),IF(A13=Tie_fx!$I$51,IF(C13=Tie_fx!$E$70,Tie_fx!$G$70,IF(C13=Tie_fx!$E$71,Tie_fx!$G$71,IF(C13=Tie_fx!$E$72,Tie_fx!$G$72,IF(C13=Tie_fx!$E$73,Tie_fx!$G$73,IF(C13=Tie_fx!$E$74,Tie_fx!$G$74,IF(C13=Tie_fx!$E$75,Tie_fx!$G$75,IF(C13=Tie_fx!$E$76,Tie_fx!$G$76,0))))))),IF(A13=Tie_fx!$I$52,Tie_fx!$G$77,IF(A13=Tie_fx!$I$53,IF(C13=Tie_fx!$E$78,Tie_fx!$G$78,IF(C13=Tie_fx!$E$79,Tie_fx!$G$79,IF(C13=Tie_fx!$E$80,Tie_fx!$G$80,IF(C13=Tie_fx!$E$81,Tie_fx!$G$81,IF(C13=Tie_fx!$E$82,Tie_fx!$G$82,IF(C13=Tie_fx!$E$83,Tie_fx!$G$83,IF(C13=Tie_fx!$E$84,Tie_fx!$G$84,0))))))),0))))))</f>
        <v>0</v>
      </c>
      <c r="H13">
        <f>IF(A13=Tie_fx!$I$48,IF(C13=Tie_fx!$E$49,Tie_fx!$G$49,IF(C13=Tie_fx!$E$50,Tie_fx!$G$50,IF(C13=Tie_fx!$E$51,Tie_fx!$G$51,IF(C13=Tie_fx!$E$52,Tie_fx!$G$52,IF(C13=Tie_fx!$E$53,Tie_fx!$G$53,IF(C13=Tie_fx!$E$54,Tie_fx!$G$54,IF(C13=Tie_fx!$E$55,Tie_fx!$G$55,0))))))),IF(A13=Tie_fx!$I$49,IF(C13=Tie_fx!$E$56,Tie_fx!$G$56,IF(C13=Tie_fx!$E$57,Tie_fx!$G$57,IF(C13=Tie_fx!$E$58,Tie_fx!$G$58,IF(C13=Tie_fx!$E$59,Tie_fx!$G$59,IF(C13=Tie_fx!$E$60,Tie_fx!$G$60,IF(C13=Tie_fx!$E$61,Tie_fx!$G$61,IF(C13=Tie_fx!$E$62,Tie_fx!$G$62,0))))))),IF(A13=Tie_fx!$I$50,IF(C13=Tie_fx!$E$63,Tie_fx!$G$63,IF(C13=Tie_fx!$E$64,Tie_fx!$G$64,IF(C13=Tie_fx!$E$65,Tie_fx!$G$65,IF(C13=Tie_fx!$E$66,Tie_fx!$F$66,IF(C13=Tie_fx!$E$67,Tie_fx!$F$67,IF(C13=Tie_fx!$E$68,Tie_fx!$F$68,IF(C13=Tie_fx!$E$69,Tie_fx!$F$69,0))))))),IF(A13=Tie_fx!$I$51,IF(C13=Tie_fx!$E$70,Tie_fx!$F$70,IF(C13=Tie_fx!$E$71,Tie_fx!$F$71,IF(C13=Tie_fx!$E$72,Tie_fx!$F$72,IF(C13=Tie_fx!$E$73,Tie_fx!$F$73,IF(C13=Tie_fx!$E$74,Tie_fx!$F$74,IF(C13=Tie_fx!$E$75,Tie_fx!$F$75,IF(C13=Tie_fx!$E$76,Tie_fx!$F$76,0))))))),IF(A13=Tie_fx!$I$52,Tie_fx!$F$77,IF(A13=Tie_fx!$I$53,IF(C13=Tie_fx!$E$78,Tie_fx!$F$78,IF(C13=Tie_fx!$E$79,Tie_fx!$F$79,IF(C13=Tie_fx!$E$80,Tie_fx!$F$80,IF(C13=Tie_fx!$E$81,Tie_fx!$F$81,IF(C13=Tie_fx!$E$82,Tie_fx!$F$82,IF(C13=Tie_fx!$E$83,Tie_fx!$F$83,IF(C13=Tie_fx!$E$84,Tie_fx!$F$84,0))))))),0))))))</f>
        <v>0</v>
      </c>
      <c r="I13">
        <f>IF(C13=Tie_fx!$F$33,Tie_fx!$G$33,IF(C13=Tie_fx!$F$34,Tie_fx!$G$34,IF(C13=Tie_fx!$F$35,Tie_fx!$G$35,IF(C13=Tie_fx!$F$36,Tie_fx!$G$36,IF(C13=Tie_fx!$F$37,Tie_fx!$G$37,IF(C13=Tie_fx!$F$38,Tie_fx!$G$38,IF(C13=Tie_fx!$F$39,Tie_fx!$G$39,0)))))))</f>
        <v>0</v>
      </c>
      <c r="J13" s="258">
        <f t="shared" ref="J13:J20" si="0">((B13*E13/2*G13)+(B13*E13/2*H13)+(B13*D13*I13))/1000000</f>
        <v>0</v>
      </c>
    </row>
    <row r="14" spans="1:20" ht="30" x14ac:dyDescent="0.25">
      <c r="A14" s="15">
        <f>Tie!A19</f>
        <v>0</v>
      </c>
      <c r="B14" s="15">
        <f>Tie!B19</f>
        <v>0</v>
      </c>
      <c r="C14" s="15">
        <f>Tie!C19</f>
        <v>0</v>
      </c>
      <c r="D14" s="15">
        <f>Tie!D19</f>
        <v>0</v>
      </c>
      <c r="E14" s="15">
        <f>Tie!E19</f>
        <v>0</v>
      </c>
      <c r="G14">
        <f>IF(A14=Tie_fx!$I$48,IF(C14=Tie_fx!$E$49,Tie_fx!$G$49,IF(C14=Tie_fx!$E$50,Tie_fx!$G$50,IF(C14=Tie_fx!$E$51,Tie_fx!$G$51,IF(C14=Tie_fx!$E$52,Tie_fx!$G$52,IF(C14=Tie_fx!$E$53,Tie_fx!$G$53,IF(C14=Tie_fx!$E$54,Tie_fx!$G$54,IF(C14=Tie_fx!$E$55,Tie_fx!$G$55,0))))))),IF(A14=Tie_fx!$I$49,IF(C14=Tie_fx!$E$56,Tie_fx!$G$56,IF(C14=Tie_fx!$E$57,Tie_fx!$G$57,IF(C14=Tie_fx!$E$58,Tie_fx!$G$58,IF(C14=Tie_fx!$E$59,Tie_fx!$G$59,IF(C14=Tie_fx!$E$60,Tie_fx!$G$60,IF(C14=Tie_fx!$E$61,Tie_fx!$G$61,IF(C14=Tie_fx!$E$62,Tie_fx!$G$62,0))))))),IF(A14=Tie_fx!$I$50,IF(C14=Tie_fx!$E$63,Tie_fx!$G$63,IF(C14=Tie_fx!$E$64,Tie_fx!$G$64,IF(C14=Tie_fx!$E$65,Tie_fx!$G$65,IF(C14=Tie_fx!$E$66,Tie_fx!$G$66,IF(C14=Tie_fx!$E$67,Tie_fx!$G$67,IF(C14=Tie_fx!$E$68,Tie_fx!$G$68,IF(C14=Tie_fx!$E$69,Tie_fx!$G$69,0))))))),IF(A14=Tie_fx!$I$51,IF(C14=Tie_fx!$E$70,Tie_fx!$G$70,IF(C14=Tie_fx!$E$71,Tie_fx!$G$71,IF(C14=Tie_fx!$E$72,Tie_fx!$G$72,IF(C14=Tie_fx!$E$73,Tie_fx!$G$73,IF(C14=Tie_fx!$E$74,Tie_fx!$G$74,IF(C14=Tie_fx!$E$75,Tie_fx!$G$75,IF(C14=Tie_fx!$E$76,Tie_fx!$G$76,0))))))),IF(A14=Tie_fx!$I$52,Tie_fx!$G$77,IF(A14=Tie_fx!$I$53,IF(C14=Tie_fx!$E$78,Tie_fx!$G$78,IF(C14=Tie_fx!$E$79,Tie_fx!$G$79,IF(C14=Tie_fx!$E$80,Tie_fx!$G$80,IF(C14=Tie_fx!$E$81,Tie_fx!$G$81,IF(C14=Tie_fx!$E$82,Tie_fx!$G$82,IF(C14=Tie_fx!$E$83,Tie_fx!$G$83,IF(C14=Tie_fx!$E$84,Tie_fx!$G$84,0))))))),0))))))</f>
        <v>0</v>
      </c>
      <c r="H14">
        <f>IF(A14=Tie_fx!$I$48,IF(C14=Tie_fx!$E$49,Tie_fx!$G$49,IF(C14=Tie_fx!$E$50,Tie_fx!$G$50,IF(C14=Tie_fx!$E$51,Tie_fx!$G$51,IF(C14=Tie_fx!$E$52,Tie_fx!$G$52,IF(C14=Tie_fx!$E$53,Tie_fx!$G$53,IF(C14=Tie_fx!$E$54,Tie_fx!$G$54,IF(C14=Tie_fx!$E$55,Tie_fx!$G$55,0))))))),IF(A14=Tie_fx!$I$49,IF(C14=Tie_fx!$E$56,Tie_fx!$G$56,IF(C14=Tie_fx!$E$57,Tie_fx!$G$57,IF(C14=Tie_fx!$E$58,Tie_fx!$G$58,IF(C14=Tie_fx!$E$59,Tie_fx!$G$59,IF(C14=Tie_fx!$E$60,Tie_fx!$G$60,IF(C14=Tie_fx!$E$61,Tie_fx!$G$61,IF(C14=Tie_fx!$E$62,Tie_fx!$G$62,0))))))),IF(A14=Tie_fx!$I$50,IF(C14=Tie_fx!$E$63,Tie_fx!$G$63,IF(C14=Tie_fx!$E$64,Tie_fx!$G$64,IF(C14=Tie_fx!$E$65,Tie_fx!$G$65,IF(C14=Tie_fx!$E$66,Tie_fx!$F$66,IF(C14=Tie_fx!$E$67,Tie_fx!$F$67,IF(C14=Tie_fx!$E$68,Tie_fx!$F$68,IF(C14=Tie_fx!$E$69,Tie_fx!$F$69,0))))))),IF(A14=Tie_fx!$I$51,IF(C14=Tie_fx!$E$70,Tie_fx!$F$70,IF(C14=Tie_fx!$E$71,Tie_fx!$F$71,IF(C14=Tie_fx!$E$72,Tie_fx!$F$72,IF(C14=Tie_fx!$E$73,Tie_fx!$F$73,IF(C14=Tie_fx!$E$74,Tie_fx!$F$74,IF(C14=Tie_fx!$E$75,Tie_fx!$F$75,IF(C14=Tie_fx!$E$76,Tie_fx!$F$76,0))))))),IF(A14=Tie_fx!$I$52,Tie_fx!$F$77,IF(A14=Tie_fx!$I$53,IF(C14=Tie_fx!$E$78,Tie_fx!$F$78,IF(C14=Tie_fx!$E$79,Tie_fx!$F$79,IF(C14=Tie_fx!$E$80,Tie_fx!$F$80,IF(C14=Tie_fx!$E$81,Tie_fx!$F$81,IF(C14=Tie_fx!$E$82,Tie_fx!$F$82,IF(C14=Tie_fx!$E$83,Tie_fx!$F$83,IF(C14=Tie_fx!$E$84,Tie_fx!$F$84,0))))))),0))))))</f>
        <v>0</v>
      </c>
      <c r="I14">
        <f>IF(C14=Tie_fx!$F$33,Tie_fx!$G$33,IF(C14=Tie_fx!$F$34,Tie_fx!$G$34,IF(C14=Tie_fx!$F$35,Tie_fx!$G$35,IF(C14=Tie_fx!$F$36,Tie_fx!$G$36,IF(C14=Tie_fx!$F$37,Tie_fx!$G$37,IF(C14=Tie_fx!$F$38,Tie_fx!$G$38,IF(C14=Tie_fx!$F$39,Tie_fx!$G$39,0)))))))</f>
        <v>0</v>
      </c>
      <c r="J14" s="258">
        <f t="shared" si="0"/>
        <v>0</v>
      </c>
    </row>
    <row r="15" spans="1:20" x14ac:dyDescent="0.25">
      <c r="A15" s="15">
        <f>Tie!A20</f>
        <v>0</v>
      </c>
      <c r="B15" s="15">
        <f>Tie!B20</f>
        <v>0</v>
      </c>
      <c r="C15" s="15">
        <f>Tie!C20</f>
        <v>0</v>
      </c>
      <c r="D15" s="15">
        <f>Tie!D20</f>
        <v>0</v>
      </c>
      <c r="E15" s="15">
        <f>Tie!E20</f>
        <v>0</v>
      </c>
      <c r="G15">
        <f>IF(A15=Tie_fx!$I$48,IF(C15=Tie_fx!$E$49,Tie_fx!$G$49,IF(C15=Tie_fx!$E$50,Tie_fx!$G$50,IF(C15=Tie_fx!$E$51,Tie_fx!$G$51,IF(C15=Tie_fx!$E$52,Tie_fx!$G$52,IF(C15=Tie_fx!$E$53,Tie_fx!$G$53,IF(C15=Tie_fx!$E$54,Tie_fx!$G$54,IF(C15=Tie_fx!$E$55,Tie_fx!$G$55,0))))))),IF(A15=Tie_fx!$I$49,IF(C15=Tie_fx!$E$56,Tie_fx!$G$56,IF(C15=Tie_fx!$E$57,Tie_fx!$G$57,IF(C15=Tie_fx!$E$58,Tie_fx!$G$58,IF(C15=Tie_fx!$E$59,Tie_fx!$G$59,IF(C15=Tie_fx!$E$60,Tie_fx!$G$60,IF(C15=Tie_fx!$E$61,Tie_fx!$G$61,IF(C15=Tie_fx!$E$62,Tie_fx!$G$62,0))))))),IF(A15=Tie_fx!$I$50,IF(C15=Tie_fx!$E$63,Tie_fx!$G$63,IF(C15=Tie_fx!$E$64,Tie_fx!$G$64,IF(C15=Tie_fx!$E$65,Tie_fx!$G$65,IF(C15=Tie_fx!$E$66,Tie_fx!$G$66,IF(C15=Tie_fx!$E$67,Tie_fx!$G$67,IF(C15=Tie_fx!$E$68,Tie_fx!$G$68,IF(C15=Tie_fx!$E$69,Tie_fx!$G$69,0))))))),IF(A15=Tie_fx!$I$51,IF(C15=Tie_fx!$E$70,Tie_fx!$G$70,IF(C15=Tie_fx!$E$71,Tie_fx!$G$71,IF(C15=Tie_fx!$E$72,Tie_fx!$G$72,IF(C15=Tie_fx!$E$73,Tie_fx!$G$73,IF(C15=Tie_fx!$E$74,Tie_fx!$G$74,IF(C15=Tie_fx!$E$75,Tie_fx!$G$75,IF(C15=Tie_fx!$E$76,Tie_fx!$G$76,0))))))),IF(A15=Tie_fx!$I$52,Tie_fx!$G$77,IF(A15=Tie_fx!$I$53,IF(C15=Tie_fx!$E$78,Tie_fx!$G$78,IF(C15=Tie_fx!$E$79,Tie_fx!$G$79,IF(C15=Tie_fx!$E$80,Tie_fx!$G$80,IF(C15=Tie_fx!$E$81,Tie_fx!$G$81,IF(C15=Tie_fx!$E$82,Tie_fx!$G$82,IF(C15=Tie_fx!$E$83,Tie_fx!$G$83,IF(C15=Tie_fx!$E$84,Tie_fx!$G$84,0))))))),0))))))</f>
        <v>0</v>
      </c>
      <c r="H15">
        <f>IF(A15=Tie_fx!$I$48,IF(C15=Tie_fx!$E$49,Tie_fx!$G$49,IF(C15=Tie_fx!$E$50,Tie_fx!$G$50,IF(C15=Tie_fx!$E$51,Tie_fx!$G$51,IF(C15=Tie_fx!$E$52,Tie_fx!$G$52,IF(C15=Tie_fx!$E$53,Tie_fx!$G$53,IF(C15=Tie_fx!$E$54,Tie_fx!$G$54,IF(C15=Tie_fx!$E$55,Tie_fx!$G$55,0))))))),IF(A15=Tie_fx!$I$49,IF(C15=Tie_fx!$E$56,Tie_fx!$G$56,IF(C15=Tie_fx!$E$57,Tie_fx!$G$57,IF(C15=Tie_fx!$E$58,Tie_fx!$G$58,IF(C15=Tie_fx!$E$59,Tie_fx!$G$59,IF(C15=Tie_fx!$E$60,Tie_fx!$G$60,IF(C15=Tie_fx!$E$61,Tie_fx!$G$61,IF(C15=Tie_fx!$E$62,Tie_fx!$G$62,0))))))),IF(A15=Tie_fx!$I$50,IF(C15=Tie_fx!$E$63,Tie_fx!$G$63,IF(C15=Tie_fx!$E$64,Tie_fx!$G$64,IF(C15=Tie_fx!$E$65,Tie_fx!$G$65,IF(C15=Tie_fx!$E$66,Tie_fx!$F$66,IF(C15=Tie_fx!$E$67,Tie_fx!$F$67,IF(C15=Tie_fx!$E$68,Tie_fx!$F$68,IF(C15=Tie_fx!$E$69,Tie_fx!$F$69,0))))))),IF(A15=Tie_fx!$I$51,IF(C15=Tie_fx!$E$70,Tie_fx!$F$70,IF(C15=Tie_fx!$E$71,Tie_fx!$F$71,IF(C15=Tie_fx!$E$72,Tie_fx!$F$72,IF(C15=Tie_fx!$E$73,Tie_fx!$F$73,IF(C15=Tie_fx!$E$74,Tie_fx!$F$74,IF(C15=Tie_fx!$E$75,Tie_fx!$F$75,IF(C15=Tie_fx!$E$76,Tie_fx!$F$76,0))))))),IF(A15=Tie_fx!$I$52,Tie_fx!$F$77,IF(A15=Tie_fx!$I$53,IF(C15=Tie_fx!$E$78,Tie_fx!$F$78,IF(C15=Tie_fx!$E$79,Tie_fx!$F$79,IF(C15=Tie_fx!$E$80,Tie_fx!$F$80,IF(C15=Tie_fx!$E$81,Tie_fx!$F$81,IF(C15=Tie_fx!$E$82,Tie_fx!$F$82,IF(C15=Tie_fx!$E$83,Tie_fx!$F$83,IF(C15=Tie_fx!$E$84,Tie_fx!$F$84,0))))))),0))))))</f>
        <v>0</v>
      </c>
      <c r="I15">
        <f>IF(C15=Tie_fx!$F$33,Tie_fx!$G$33,IF(C15=Tie_fx!$F$34,Tie_fx!$G$34,IF(C15=Tie_fx!$F$35,Tie_fx!$G$35,IF(C15=Tie_fx!$F$36,Tie_fx!$G$36,IF(C15=Tie_fx!$F$37,Tie_fx!$G$37,IF(C15=Tie_fx!$F$38,Tie_fx!$G$38,IF(C15=Tie_fx!$F$39,Tie_fx!$G$39,0)))))))</f>
        <v>0</v>
      </c>
      <c r="J15" s="258">
        <f t="shared" si="0"/>
        <v>0</v>
      </c>
    </row>
    <row r="16" spans="1:20" x14ac:dyDescent="0.25">
      <c r="A16" s="15">
        <f>Tie!A21</f>
        <v>0</v>
      </c>
      <c r="B16" s="15">
        <f>Tie!B21</f>
        <v>0</v>
      </c>
      <c r="C16" s="15">
        <f>Tie!C21</f>
        <v>0</v>
      </c>
      <c r="D16" s="15">
        <f>Tie!D21</f>
        <v>0</v>
      </c>
      <c r="E16" s="15">
        <f>Tie!E21</f>
        <v>0</v>
      </c>
      <c r="G16">
        <f>IF(A16=Tie_fx!$I$48,IF(C16=Tie_fx!$E$49,Tie_fx!$G$49,IF(C16=Tie_fx!$E$50,Tie_fx!$G$50,IF(C16=Tie_fx!$E$51,Tie_fx!$G$51,IF(C16=Tie_fx!$E$52,Tie_fx!$G$52,IF(C16=Tie_fx!$E$53,Tie_fx!$G$53,IF(C16=Tie_fx!$E$54,Tie_fx!$G$54,IF(C16=Tie_fx!$E$55,Tie_fx!$G$55,0))))))),IF(A16=Tie_fx!$I$49,IF(C16=Tie_fx!$E$56,Tie_fx!$G$56,IF(C16=Tie_fx!$E$57,Tie_fx!$G$57,IF(C16=Tie_fx!$E$58,Tie_fx!$G$58,IF(C16=Tie_fx!$E$59,Tie_fx!$G$59,IF(C16=Tie_fx!$E$60,Tie_fx!$G$60,IF(C16=Tie_fx!$E$61,Tie_fx!$G$61,IF(C16=Tie_fx!$E$62,Tie_fx!$G$62,0))))))),IF(A16=Tie_fx!$I$50,IF(C16=Tie_fx!$E$63,Tie_fx!$G$63,IF(C16=Tie_fx!$E$64,Tie_fx!$G$64,IF(C16=Tie_fx!$E$65,Tie_fx!$G$65,IF(C16=Tie_fx!$E$66,Tie_fx!$G$66,IF(C16=Tie_fx!$E$67,Tie_fx!$G$67,IF(C16=Tie_fx!$E$68,Tie_fx!$G$68,IF(C16=Tie_fx!$E$69,Tie_fx!$G$69,0))))))),IF(A16=Tie_fx!$I$51,IF(C16=Tie_fx!$E$70,Tie_fx!$G$70,IF(C16=Tie_fx!$E$71,Tie_fx!$G$71,IF(C16=Tie_fx!$E$72,Tie_fx!$G$72,IF(C16=Tie_fx!$E$73,Tie_fx!$G$73,IF(C16=Tie_fx!$E$74,Tie_fx!$G$74,IF(C16=Tie_fx!$E$75,Tie_fx!$G$75,IF(C16=Tie_fx!$E$76,Tie_fx!$G$76,0))))))),IF(A16=Tie_fx!$I$52,Tie_fx!$G$77,IF(A16=Tie_fx!$I$53,IF(C16=Tie_fx!$E$78,Tie_fx!$G$78,IF(C16=Tie_fx!$E$79,Tie_fx!$G$79,IF(C16=Tie_fx!$E$80,Tie_fx!$G$80,IF(C16=Tie_fx!$E$81,Tie_fx!$G$81,IF(C16=Tie_fx!$E$82,Tie_fx!$G$82,IF(C16=Tie_fx!$E$83,Tie_fx!$G$83,IF(C16=Tie_fx!$E$84,Tie_fx!$G$84,0))))))),0))))))</f>
        <v>0</v>
      </c>
      <c r="H16">
        <f>IF(A16=Tie_fx!$I$48,IF(C16=Tie_fx!$E$49,Tie_fx!$G$49,IF(C16=Tie_fx!$E$50,Tie_fx!$G$50,IF(C16=Tie_fx!$E$51,Tie_fx!$G$51,IF(C16=Tie_fx!$E$52,Tie_fx!$G$52,IF(C16=Tie_fx!$E$53,Tie_fx!$G$53,IF(C16=Tie_fx!$E$54,Tie_fx!$G$54,IF(C16=Tie_fx!$E$55,Tie_fx!$G$55,0))))))),IF(A16=Tie_fx!$I$49,IF(C16=Tie_fx!$E$56,Tie_fx!$G$56,IF(C16=Tie_fx!$E$57,Tie_fx!$G$57,IF(C16=Tie_fx!$E$58,Tie_fx!$G$58,IF(C16=Tie_fx!$E$59,Tie_fx!$G$59,IF(C16=Tie_fx!$E$60,Tie_fx!$G$60,IF(C16=Tie_fx!$E$61,Tie_fx!$G$61,IF(C16=Tie_fx!$E$62,Tie_fx!$G$62,0))))))),IF(A16=Tie_fx!$I$50,IF(C16=Tie_fx!$E$63,Tie_fx!$G$63,IF(C16=Tie_fx!$E$64,Tie_fx!$G$64,IF(C16=Tie_fx!$E$65,Tie_fx!$G$65,IF(C16=Tie_fx!$E$66,Tie_fx!$F$66,IF(C16=Tie_fx!$E$67,Tie_fx!$F$67,IF(C16=Tie_fx!$E$68,Tie_fx!$F$68,IF(C16=Tie_fx!$E$69,Tie_fx!$F$69,0))))))),IF(A16=Tie_fx!$I$51,IF(C16=Tie_fx!$E$70,Tie_fx!$F$70,IF(C16=Tie_fx!$E$71,Tie_fx!$F$71,IF(C16=Tie_fx!$E$72,Tie_fx!$F$72,IF(C16=Tie_fx!$E$73,Tie_fx!$F$73,IF(C16=Tie_fx!$E$74,Tie_fx!$F$74,IF(C16=Tie_fx!$E$75,Tie_fx!$F$75,IF(C16=Tie_fx!$E$76,Tie_fx!$F$76,0))))))),IF(A16=Tie_fx!$I$52,Tie_fx!$F$77,IF(A16=Tie_fx!$I$53,IF(C16=Tie_fx!$E$78,Tie_fx!$F$78,IF(C16=Tie_fx!$E$79,Tie_fx!$F$79,IF(C16=Tie_fx!$E$80,Tie_fx!$F$80,IF(C16=Tie_fx!$E$81,Tie_fx!$F$81,IF(C16=Tie_fx!$E$82,Tie_fx!$F$82,IF(C16=Tie_fx!$E$83,Tie_fx!$F$83,IF(C16=Tie_fx!$E$84,Tie_fx!$F$84,0))))))),0))))))</f>
        <v>0</v>
      </c>
      <c r="I16">
        <f>IF(C16=Tie_fx!$F$33,Tie_fx!$G$33,IF(C16=Tie_fx!$F$34,Tie_fx!$G$34,IF(C16=Tie_fx!$F$35,Tie_fx!$G$35,IF(C16=Tie_fx!$F$36,Tie_fx!$G$36,IF(C16=Tie_fx!$F$37,Tie_fx!$G$37,IF(C16=Tie_fx!$F$38,Tie_fx!$G$38,IF(C16=Tie_fx!$F$39,Tie_fx!$G$39,0)))))))</f>
        <v>0</v>
      </c>
      <c r="J16" s="258">
        <f t="shared" si="0"/>
        <v>0</v>
      </c>
    </row>
    <row r="17" spans="1:10" x14ac:dyDescent="0.25">
      <c r="A17" s="15">
        <f>Tie!A22</f>
        <v>0</v>
      </c>
      <c r="B17" s="15">
        <f>Tie!B22</f>
        <v>0</v>
      </c>
      <c r="C17" s="15">
        <f>Tie!C22</f>
        <v>0</v>
      </c>
      <c r="D17" s="15">
        <f>Tie!D22</f>
        <v>0</v>
      </c>
      <c r="E17" s="15">
        <f>Tie!E22</f>
        <v>0</v>
      </c>
      <c r="G17">
        <f>IF(A17=Tie_fx!$I$48,IF(C17=Tie_fx!$E$49,Tie_fx!$G$49,IF(C17=Tie_fx!$E$50,Tie_fx!$G$50,IF(C17=Tie_fx!$E$51,Tie_fx!$G$51,IF(C17=Tie_fx!$E$52,Tie_fx!$G$52,IF(C17=Tie_fx!$E$53,Tie_fx!$G$53,IF(C17=Tie_fx!$E$54,Tie_fx!$G$54,IF(C17=Tie_fx!$E$55,Tie_fx!$G$55,0))))))),IF(A17=Tie_fx!$I$49,IF(C17=Tie_fx!$E$56,Tie_fx!$G$56,IF(C17=Tie_fx!$E$57,Tie_fx!$G$57,IF(C17=Tie_fx!$E$58,Tie_fx!$G$58,IF(C17=Tie_fx!$E$59,Tie_fx!$G$59,IF(C17=Tie_fx!$E$60,Tie_fx!$G$60,IF(C17=Tie_fx!$E$61,Tie_fx!$G$61,IF(C17=Tie_fx!$E$62,Tie_fx!$G$62,0))))))),IF(A17=Tie_fx!$I$50,IF(C17=Tie_fx!$E$63,Tie_fx!$G$63,IF(C17=Tie_fx!$E$64,Tie_fx!$G$64,IF(C17=Tie_fx!$E$65,Tie_fx!$G$65,IF(C17=Tie_fx!$E$66,Tie_fx!$G$66,IF(C17=Tie_fx!$E$67,Tie_fx!$G$67,IF(C17=Tie_fx!$E$68,Tie_fx!$G$68,IF(C17=Tie_fx!$E$69,Tie_fx!$G$69,0))))))),IF(A17=Tie_fx!$I$51,IF(C17=Tie_fx!$E$70,Tie_fx!$G$70,IF(C17=Tie_fx!$E$71,Tie_fx!$G$71,IF(C17=Tie_fx!$E$72,Tie_fx!$G$72,IF(C17=Tie_fx!$E$73,Tie_fx!$G$73,IF(C17=Tie_fx!$E$74,Tie_fx!$G$74,IF(C17=Tie_fx!$E$75,Tie_fx!$G$75,IF(C17=Tie_fx!$E$76,Tie_fx!$G$76,0))))))),IF(A17=Tie_fx!$I$52,Tie_fx!$G$77,IF(A17=Tie_fx!$I$53,IF(C17=Tie_fx!$E$78,Tie_fx!$G$78,IF(C17=Tie_fx!$E$79,Tie_fx!$G$79,IF(C17=Tie_fx!$E$80,Tie_fx!$G$80,IF(C17=Tie_fx!$E$81,Tie_fx!$G$81,IF(C17=Tie_fx!$E$82,Tie_fx!$G$82,IF(C17=Tie_fx!$E$83,Tie_fx!$G$83,IF(C17=Tie_fx!$E$84,Tie_fx!$G$84,0))))))),0))))))</f>
        <v>0</v>
      </c>
      <c r="H17">
        <f>IF(A17=Tie_fx!$I$48,IF(C17=Tie_fx!$E$49,Tie_fx!$G$49,IF(C17=Tie_fx!$E$50,Tie_fx!$G$50,IF(C17=Tie_fx!$E$51,Tie_fx!$G$51,IF(C17=Tie_fx!$E$52,Tie_fx!$G$52,IF(C17=Tie_fx!$E$53,Tie_fx!$G$53,IF(C17=Tie_fx!$E$54,Tie_fx!$G$54,IF(C17=Tie_fx!$E$55,Tie_fx!$G$55,0))))))),IF(A17=Tie_fx!$I$49,IF(C17=Tie_fx!$E$56,Tie_fx!$G$56,IF(C17=Tie_fx!$E$57,Tie_fx!$G$57,IF(C17=Tie_fx!$E$58,Tie_fx!$G$58,IF(C17=Tie_fx!$E$59,Tie_fx!$G$59,IF(C17=Tie_fx!$E$60,Tie_fx!$G$60,IF(C17=Tie_fx!$E$61,Tie_fx!$G$61,IF(C17=Tie_fx!$E$62,Tie_fx!$G$62,0))))))),IF(A17=Tie_fx!$I$50,IF(C17=Tie_fx!$E$63,Tie_fx!$G$63,IF(C17=Tie_fx!$E$64,Tie_fx!$G$64,IF(C17=Tie_fx!$E$65,Tie_fx!$G$65,IF(C17=Tie_fx!$E$66,Tie_fx!$F$66,IF(C17=Tie_fx!$E$67,Tie_fx!$F$67,IF(C17=Tie_fx!$E$68,Tie_fx!$F$68,IF(C17=Tie_fx!$E$69,Tie_fx!$F$69,0))))))),IF(A17=Tie_fx!$I$51,IF(C17=Tie_fx!$E$70,Tie_fx!$F$70,IF(C17=Tie_fx!$E$71,Tie_fx!$F$71,IF(C17=Tie_fx!$E$72,Tie_fx!$F$72,IF(C17=Tie_fx!$E$73,Tie_fx!$F$73,IF(C17=Tie_fx!$E$74,Tie_fx!$F$74,IF(C17=Tie_fx!$E$75,Tie_fx!$F$75,IF(C17=Tie_fx!$E$76,Tie_fx!$F$76,0))))))),IF(A17=Tie_fx!$I$52,Tie_fx!$F$77,IF(A17=Tie_fx!$I$53,IF(C17=Tie_fx!$E$78,Tie_fx!$F$78,IF(C17=Tie_fx!$E$79,Tie_fx!$F$79,IF(C17=Tie_fx!$E$80,Tie_fx!$F$80,IF(C17=Tie_fx!$E$81,Tie_fx!$F$81,IF(C17=Tie_fx!$E$82,Tie_fx!$F$82,IF(C17=Tie_fx!$E$83,Tie_fx!$F$83,IF(C17=Tie_fx!$E$84,Tie_fx!$F$84,0))))))),0))))))</f>
        <v>0</v>
      </c>
      <c r="I17">
        <f>IF(C17=Tie_fx!$F$33,Tie_fx!$G$33,IF(C17=Tie_fx!$F$34,Tie_fx!$G$34,IF(C17=Tie_fx!$F$35,Tie_fx!$G$35,IF(C17=Tie_fx!$F$36,Tie_fx!$G$36,IF(C17=Tie_fx!$F$37,Tie_fx!$G$37,IF(C17=Tie_fx!$F$38,Tie_fx!$G$38,IF(C17=Tie_fx!$F$39,Tie_fx!$G$39,0)))))))</f>
        <v>0</v>
      </c>
      <c r="J17" s="258">
        <f t="shared" si="0"/>
        <v>0</v>
      </c>
    </row>
    <row r="18" spans="1:10" x14ac:dyDescent="0.25">
      <c r="A18" s="15">
        <f>Tie!A23</f>
        <v>0</v>
      </c>
      <c r="B18" s="15">
        <f>Tie!B23</f>
        <v>0</v>
      </c>
      <c r="C18" s="15">
        <f>Tie!C23</f>
        <v>0</v>
      </c>
      <c r="D18" s="15">
        <f>Tie!D23</f>
        <v>0</v>
      </c>
      <c r="E18" s="15">
        <f>Tie!E23</f>
        <v>0</v>
      </c>
      <c r="G18">
        <f>IF(A18=Tie_fx!$I$48,IF(C18=Tie_fx!$E$49,Tie_fx!$G$49,IF(C18=Tie_fx!$E$50,Tie_fx!$G$50,IF(C18=Tie_fx!$E$51,Tie_fx!$G$51,IF(C18=Tie_fx!$E$52,Tie_fx!$G$52,IF(C18=Tie_fx!$E$53,Tie_fx!$G$53,IF(C18=Tie_fx!$E$54,Tie_fx!$G$54,IF(C18=Tie_fx!$E$55,Tie_fx!$G$55,0))))))),IF(A18=Tie_fx!$I$49,IF(C18=Tie_fx!$E$56,Tie_fx!$G$56,IF(C18=Tie_fx!$E$57,Tie_fx!$G$57,IF(C18=Tie_fx!$E$58,Tie_fx!$G$58,IF(C18=Tie_fx!$E$59,Tie_fx!$G$59,IF(C18=Tie_fx!$E$60,Tie_fx!$G$60,IF(C18=Tie_fx!$E$61,Tie_fx!$G$61,IF(C18=Tie_fx!$E$62,Tie_fx!$G$62,0))))))),IF(A18=Tie_fx!$I$50,IF(C18=Tie_fx!$E$63,Tie_fx!$G$63,IF(C18=Tie_fx!$E$64,Tie_fx!$G$64,IF(C18=Tie_fx!$E$65,Tie_fx!$G$65,IF(C18=Tie_fx!$E$66,Tie_fx!$G$66,IF(C18=Tie_fx!$E$67,Tie_fx!$G$67,IF(C18=Tie_fx!$E$68,Tie_fx!$G$68,IF(C18=Tie_fx!$E$69,Tie_fx!$G$69,0))))))),IF(A18=Tie_fx!$I$51,IF(C18=Tie_fx!$E$70,Tie_fx!$G$70,IF(C18=Tie_fx!$E$71,Tie_fx!$G$71,IF(C18=Tie_fx!$E$72,Tie_fx!$G$72,IF(C18=Tie_fx!$E$73,Tie_fx!$G$73,IF(C18=Tie_fx!$E$74,Tie_fx!$G$74,IF(C18=Tie_fx!$E$75,Tie_fx!$G$75,IF(C18=Tie_fx!$E$76,Tie_fx!$G$76,0))))))),IF(A18=Tie_fx!$I$52,Tie_fx!$G$77,IF(A18=Tie_fx!$I$53,IF(C18=Tie_fx!$E$78,Tie_fx!$G$78,IF(C18=Tie_fx!$E$79,Tie_fx!$G$79,IF(C18=Tie_fx!$E$80,Tie_fx!$G$80,IF(C18=Tie_fx!$E$81,Tie_fx!$G$81,IF(C18=Tie_fx!$E$82,Tie_fx!$G$82,IF(C18=Tie_fx!$E$83,Tie_fx!$G$83,IF(C18=Tie_fx!$E$84,Tie_fx!$G$84,0))))))),0))))))</f>
        <v>0</v>
      </c>
      <c r="H18">
        <f>IF(A18=Tie_fx!$I$48,IF(C18=Tie_fx!$E$49,Tie_fx!$G$49,IF(C18=Tie_fx!$E$50,Tie_fx!$G$50,IF(C18=Tie_fx!$E$51,Tie_fx!$G$51,IF(C18=Tie_fx!$E$52,Tie_fx!$G$52,IF(C18=Tie_fx!$E$53,Tie_fx!$G$53,IF(C18=Tie_fx!$E$54,Tie_fx!$G$54,IF(C18=Tie_fx!$E$55,Tie_fx!$G$55,0))))))),IF(A18=Tie_fx!$I$49,IF(C18=Tie_fx!$E$56,Tie_fx!$G$56,IF(C18=Tie_fx!$E$57,Tie_fx!$G$57,IF(C18=Tie_fx!$E$58,Tie_fx!$G$58,IF(C18=Tie_fx!$E$59,Tie_fx!$G$59,IF(C18=Tie_fx!$E$60,Tie_fx!$G$60,IF(C18=Tie_fx!$E$61,Tie_fx!$G$61,IF(C18=Tie_fx!$E$62,Tie_fx!$G$62,0))))))),IF(A18=Tie_fx!$I$50,IF(C18=Tie_fx!$E$63,Tie_fx!$G$63,IF(C18=Tie_fx!$E$64,Tie_fx!$G$64,IF(C18=Tie_fx!$E$65,Tie_fx!$G$65,IF(C18=Tie_fx!$E$66,Tie_fx!$F$66,IF(C18=Tie_fx!$E$67,Tie_fx!$F$67,IF(C18=Tie_fx!$E$68,Tie_fx!$F$68,IF(C18=Tie_fx!$E$69,Tie_fx!$F$69,0))))))),IF(A18=Tie_fx!$I$51,IF(C18=Tie_fx!$E$70,Tie_fx!$F$70,IF(C18=Tie_fx!$E$71,Tie_fx!$F$71,IF(C18=Tie_fx!$E$72,Tie_fx!$F$72,IF(C18=Tie_fx!$E$73,Tie_fx!$F$73,IF(C18=Tie_fx!$E$74,Tie_fx!$F$74,IF(C18=Tie_fx!$E$75,Tie_fx!$F$75,IF(C18=Tie_fx!$E$76,Tie_fx!$F$76,0))))))),IF(A18=Tie_fx!$I$52,Tie_fx!$F$77,IF(A18=Tie_fx!$I$53,IF(C18=Tie_fx!$E$78,Tie_fx!$F$78,IF(C18=Tie_fx!$E$79,Tie_fx!$F$79,IF(C18=Tie_fx!$E$80,Tie_fx!$F$80,IF(C18=Tie_fx!$E$81,Tie_fx!$F$81,IF(C18=Tie_fx!$E$82,Tie_fx!$F$82,IF(C18=Tie_fx!$E$83,Tie_fx!$F$83,IF(C18=Tie_fx!$E$84,Tie_fx!$F$84,0))))))),0))))))</f>
        <v>0</v>
      </c>
      <c r="I18">
        <f>IF(C18=Tie_fx!$F$33,Tie_fx!$G$33,IF(C18=Tie_fx!$F$34,Tie_fx!$G$34,IF(C18=Tie_fx!$F$35,Tie_fx!$G$35,IF(C18=Tie_fx!$F$36,Tie_fx!$G$36,IF(C18=Tie_fx!$F$37,Tie_fx!$G$37,IF(C18=Tie_fx!$F$38,Tie_fx!$G$38,IF(C18=Tie_fx!$F$39,Tie_fx!$G$39,0)))))))</f>
        <v>0</v>
      </c>
      <c r="J18" s="258">
        <f t="shared" si="0"/>
        <v>0</v>
      </c>
    </row>
    <row r="19" spans="1:10" x14ac:dyDescent="0.25">
      <c r="A19" s="15">
        <f>Tie!A24</f>
        <v>0</v>
      </c>
      <c r="B19" s="15">
        <f>Tie!B24</f>
        <v>0</v>
      </c>
      <c r="C19" s="15">
        <f>Tie!C24</f>
        <v>0</v>
      </c>
      <c r="D19" s="15">
        <f>Tie!D24</f>
        <v>0</v>
      </c>
      <c r="E19" s="15">
        <f>Tie!E24</f>
        <v>0</v>
      </c>
      <c r="G19">
        <f>IF(A19=Tie_fx!$I$48,IF(C19=Tie_fx!$E$49,Tie_fx!$G$49,IF(C19=Tie_fx!$E$50,Tie_fx!$G$50,IF(C19=Tie_fx!$E$51,Tie_fx!$G$51,IF(C19=Tie_fx!$E$52,Tie_fx!$G$52,IF(C19=Tie_fx!$E$53,Tie_fx!$G$53,IF(C19=Tie_fx!$E$54,Tie_fx!$G$54,IF(C19=Tie_fx!$E$55,Tie_fx!$G$55,0))))))),IF(A19=Tie_fx!$I$49,IF(C19=Tie_fx!$E$56,Tie_fx!$G$56,IF(C19=Tie_fx!$E$57,Tie_fx!$G$57,IF(C19=Tie_fx!$E$58,Tie_fx!$G$58,IF(C19=Tie_fx!$E$59,Tie_fx!$G$59,IF(C19=Tie_fx!$E$60,Tie_fx!$G$60,IF(C19=Tie_fx!$E$61,Tie_fx!$G$61,IF(C19=Tie_fx!$E$62,Tie_fx!$G$62,0))))))),IF(A19=Tie_fx!$I$50,IF(C19=Tie_fx!$E$63,Tie_fx!$G$63,IF(C19=Tie_fx!$E$64,Tie_fx!$G$64,IF(C19=Tie_fx!$E$65,Tie_fx!$G$65,IF(C19=Tie_fx!$E$66,Tie_fx!$G$66,IF(C19=Tie_fx!$E$67,Tie_fx!$G$67,IF(C19=Tie_fx!$E$68,Tie_fx!$G$68,IF(C19=Tie_fx!$E$69,Tie_fx!$G$69,0))))))),IF(A19=Tie_fx!$I$51,IF(C19=Tie_fx!$E$70,Tie_fx!$G$70,IF(C19=Tie_fx!$E$71,Tie_fx!$G$71,IF(C19=Tie_fx!$E$72,Tie_fx!$G$72,IF(C19=Tie_fx!$E$73,Tie_fx!$G$73,IF(C19=Tie_fx!$E$74,Tie_fx!$G$74,IF(C19=Tie_fx!$E$75,Tie_fx!$G$75,IF(C19=Tie_fx!$E$76,Tie_fx!$G$76,0))))))),IF(A19=Tie_fx!$I$52,Tie_fx!$G$77,IF(A19=Tie_fx!$I$53,IF(C19=Tie_fx!$E$78,Tie_fx!$G$78,IF(C19=Tie_fx!$E$79,Tie_fx!$G$79,IF(C19=Tie_fx!$E$80,Tie_fx!$G$80,IF(C19=Tie_fx!$E$81,Tie_fx!$G$81,IF(C19=Tie_fx!$E$82,Tie_fx!$G$82,IF(C19=Tie_fx!$E$83,Tie_fx!$G$83,IF(C19=Tie_fx!$E$84,Tie_fx!$G$84,0))))))),0))))))</f>
        <v>0</v>
      </c>
      <c r="H19">
        <f>IF(A19=Tie_fx!$I$48,IF(C19=Tie_fx!$E$49,Tie_fx!$G$49,IF(C19=Tie_fx!$E$50,Tie_fx!$G$50,IF(C19=Tie_fx!$E$51,Tie_fx!$G$51,IF(C19=Tie_fx!$E$52,Tie_fx!$G$52,IF(C19=Tie_fx!$E$53,Tie_fx!$G$53,IF(C19=Tie_fx!$E$54,Tie_fx!$G$54,IF(C19=Tie_fx!$E$55,Tie_fx!$G$55,0))))))),IF(A19=Tie_fx!$I$49,IF(C19=Tie_fx!$E$56,Tie_fx!$G$56,IF(C19=Tie_fx!$E$57,Tie_fx!$G$57,IF(C19=Tie_fx!$E$58,Tie_fx!$G$58,IF(C19=Tie_fx!$E$59,Tie_fx!$G$59,IF(C19=Tie_fx!$E$60,Tie_fx!$G$60,IF(C19=Tie_fx!$E$61,Tie_fx!$G$61,IF(C19=Tie_fx!$E$62,Tie_fx!$G$62,0))))))),IF(A19=Tie_fx!$I$50,IF(C19=Tie_fx!$E$63,Tie_fx!$G$63,IF(C19=Tie_fx!$E$64,Tie_fx!$G$64,IF(C19=Tie_fx!$E$65,Tie_fx!$G$65,IF(C19=Tie_fx!$E$66,Tie_fx!$F$66,IF(C19=Tie_fx!$E$67,Tie_fx!$F$67,IF(C19=Tie_fx!$E$68,Tie_fx!$F$68,IF(C19=Tie_fx!$E$69,Tie_fx!$F$69,0))))))),IF(A19=Tie_fx!$I$51,IF(C19=Tie_fx!$E$70,Tie_fx!$F$70,IF(C19=Tie_fx!$E$71,Tie_fx!$F$71,IF(C19=Tie_fx!$E$72,Tie_fx!$F$72,IF(C19=Tie_fx!$E$73,Tie_fx!$F$73,IF(C19=Tie_fx!$E$74,Tie_fx!$F$74,IF(C19=Tie_fx!$E$75,Tie_fx!$F$75,IF(C19=Tie_fx!$E$76,Tie_fx!$F$76,0))))))),IF(A19=Tie_fx!$I$52,Tie_fx!$F$77,IF(A19=Tie_fx!$I$53,IF(C19=Tie_fx!$E$78,Tie_fx!$F$78,IF(C19=Tie_fx!$E$79,Tie_fx!$F$79,IF(C19=Tie_fx!$E$80,Tie_fx!$F$80,IF(C19=Tie_fx!$E$81,Tie_fx!$F$81,IF(C19=Tie_fx!$E$82,Tie_fx!$F$82,IF(C19=Tie_fx!$E$83,Tie_fx!$F$83,IF(C19=Tie_fx!$E$84,Tie_fx!$F$84,0))))))),0))))))</f>
        <v>0</v>
      </c>
      <c r="I19">
        <f>IF(C19=Tie_fx!$F$33,Tie_fx!$G$33,IF(C19=Tie_fx!$F$34,Tie_fx!$G$34,IF(C19=Tie_fx!$F$35,Tie_fx!$G$35,IF(C19=Tie_fx!$F$36,Tie_fx!$G$36,IF(C19=Tie_fx!$F$37,Tie_fx!$G$37,IF(C19=Tie_fx!$F$38,Tie_fx!$G$38,IF(C19=Tie_fx!$F$39,Tie_fx!$G$39,0)))))))</f>
        <v>0</v>
      </c>
      <c r="J19" s="258">
        <f t="shared" si="0"/>
        <v>0</v>
      </c>
    </row>
    <row r="20" spans="1:10" x14ac:dyDescent="0.25">
      <c r="A20" s="15">
        <f>Tie!A25</f>
        <v>0</v>
      </c>
      <c r="B20" s="15">
        <f>Tie!B25</f>
        <v>0</v>
      </c>
      <c r="C20" s="15">
        <f>Tie!C25</f>
        <v>0</v>
      </c>
      <c r="D20" s="15">
        <f>Tie!D25</f>
        <v>0</v>
      </c>
      <c r="E20" s="15">
        <f>Tie!E25</f>
        <v>0</v>
      </c>
      <c r="G20">
        <f>IF(A20=Tie_fx!$I$48,IF(C20=Tie_fx!$E$49,Tie_fx!$G$49,IF(C20=Tie_fx!$E$50,Tie_fx!$G$50,IF(C20=Tie_fx!$E$51,Tie_fx!$G$51,IF(C20=Tie_fx!$E$52,Tie_fx!$G$52,IF(C20=Tie_fx!$E$53,Tie_fx!$G$53,IF(C20=Tie_fx!$E$54,Tie_fx!$G$54,IF(C20=Tie_fx!$E$55,Tie_fx!$G$55,0))))))),IF(A20=Tie_fx!$I$49,IF(C20=Tie_fx!$E$56,Tie_fx!$G$56,IF(C20=Tie_fx!$E$57,Tie_fx!$G$57,IF(C20=Tie_fx!$E$58,Tie_fx!$G$58,IF(C20=Tie_fx!$E$59,Tie_fx!$G$59,IF(C20=Tie_fx!$E$60,Tie_fx!$G$60,IF(C20=Tie_fx!$E$61,Tie_fx!$G$61,IF(C20=Tie_fx!$E$62,Tie_fx!$G$62,0))))))),IF(A20=Tie_fx!$I$50,IF(C20=Tie_fx!$E$63,Tie_fx!$G$63,IF(C20=Tie_fx!$E$64,Tie_fx!$G$64,IF(C20=Tie_fx!$E$65,Tie_fx!$G$65,IF(C20=Tie_fx!$E$66,Tie_fx!$G$66,IF(C20=Tie_fx!$E$67,Tie_fx!$G$67,IF(C20=Tie_fx!$E$68,Tie_fx!$G$68,IF(C20=Tie_fx!$E$69,Tie_fx!$G$69,0))))))),IF(A20=Tie_fx!$I$51,IF(C20=Tie_fx!$E$70,Tie_fx!$G$70,IF(C20=Tie_fx!$E$71,Tie_fx!$G$71,IF(C20=Tie_fx!$E$72,Tie_fx!$G$72,IF(C20=Tie_fx!$E$73,Tie_fx!$G$73,IF(C20=Tie_fx!$E$74,Tie_fx!$G$74,IF(C20=Tie_fx!$E$75,Tie_fx!$G$75,IF(C20=Tie_fx!$E$76,Tie_fx!$G$76,0))))))),IF(A20=Tie_fx!$I$52,Tie_fx!$G$77,IF(A20=Tie_fx!$I$53,IF(C20=Tie_fx!$E$78,Tie_fx!$G$78,IF(C20=Tie_fx!$E$79,Tie_fx!$G$79,IF(C20=Tie_fx!$E$80,Tie_fx!$G$80,IF(C20=Tie_fx!$E$81,Tie_fx!$G$81,IF(C20=Tie_fx!$E$82,Tie_fx!$G$82,IF(C20=Tie_fx!$E$83,Tie_fx!$G$83,IF(C20=Tie_fx!$E$84,Tie_fx!$G$84,0))))))),0))))))</f>
        <v>0</v>
      </c>
      <c r="H20">
        <f>IF(A20=Tie_fx!$I$48,IF(C20=Tie_fx!$E$49,Tie_fx!$G$49,IF(C20=Tie_fx!$E$50,Tie_fx!$G$50,IF(C20=Tie_fx!$E$51,Tie_fx!$G$51,IF(C20=Tie_fx!$E$52,Tie_fx!$G$52,IF(C20=Tie_fx!$E$53,Tie_fx!$G$53,IF(C20=Tie_fx!$E$54,Tie_fx!$G$54,IF(C20=Tie_fx!$E$55,Tie_fx!$G$55,0))))))),IF(A20=Tie_fx!$I$49,IF(C20=Tie_fx!$E$56,Tie_fx!$G$56,IF(C20=Tie_fx!$E$57,Tie_fx!$G$57,IF(C20=Tie_fx!$E$58,Tie_fx!$G$58,IF(C20=Tie_fx!$E$59,Tie_fx!$G$59,IF(C20=Tie_fx!$E$60,Tie_fx!$G$60,IF(C20=Tie_fx!$E$61,Tie_fx!$G$61,IF(C20=Tie_fx!$E$62,Tie_fx!$G$62,0))))))),IF(A20=Tie_fx!$I$50,IF(C20=Tie_fx!$E$63,Tie_fx!$G$63,IF(C20=Tie_fx!$E$64,Tie_fx!$G$64,IF(C20=Tie_fx!$E$65,Tie_fx!$G$65,IF(C20=Tie_fx!$E$66,Tie_fx!$F$66,IF(C20=Tie_fx!$E$67,Tie_fx!$F$67,IF(C20=Tie_fx!$E$68,Tie_fx!$F$68,IF(C20=Tie_fx!$E$69,Tie_fx!$F$69,0))))))),IF(A20=Tie_fx!$I$51,IF(C20=Tie_fx!$E$70,Tie_fx!$F$70,IF(C20=Tie_fx!$E$71,Tie_fx!$F$71,IF(C20=Tie_fx!$E$72,Tie_fx!$F$72,IF(C20=Tie_fx!$E$73,Tie_fx!$F$73,IF(C20=Tie_fx!$E$74,Tie_fx!$F$74,IF(C20=Tie_fx!$E$75,Tie_fx!$F$75,IF(C20=Tie_fx!$E$76,Tie_fx!$F$76,0))))))),IF(A20=Tie_fx!$I$52,Tie_fx!$F$77,IF(A20=Tie_fx!$I$53,IF(C20=Tie_fx!$E$78,Tie_fx!$F$78,IF(C20=Tie_fx!$E$79,Tie_fx!$F$79,IF(C20=Tie_fx!$E$80,Tie_fx!$F$80,IF(C20=Tie_fx!$E$81,Tie_fx!$F$81,IF(C20=Tie_fx!$E$82,Tie_fx!$F$82,IF(C20=Tie_fx!$E$83,Tie_fx!$F$83,IF(C20=Tie_fx!$E$84,Tie_fx!$F$84,0))))))),0))))))</f>
        <v>0</v>
      </c>
      <c r="I20">
        <f>IF(C20=Tie_fx!$F$33,Tie_fx!$G$33,IF(C20=Tie_fx!$F$34,Tie_fx!$G$34,IF(C20=Tie_fx!$F$35,Tie_fx!$G$35,IF(C20=Tie_fx!$F$36,Tie_fx!$G$36,IF(C20=Tie_fx!$F$37,Tie_fx!$G$37,IF(C20=Tie_fx!$F$38,Tie_fx!$G$38,IF(C20=Tie_fx!$F$39,Tie_fx!$G$39,0)))))))</f>
        <v>0</v>
      </c>
      <c r="J20" s="258">
        <f t="shared" si="0"/>
        <v>0</v>
      </c>
    </row>
    <row r="21" spans="1:10" x14ac:dyDescent="0.25">
      <c r="A21" s="15">
        <f>Tie!A26</f>
        <v>0</v>
      </c>
      <c r="B21" s="15">
        <f>Tie!B26</f>
        <v>0</v>
      </c>
      <c r="C21" s="15">
        <f>Tie!C26</f>
        <v>0</v>
      </c>
      <c r="D21" s="15">
        <f>Tie!D26</f>
        <v>0</v>
      </c>
      <c r="E21" s="15">
        <f>Tie!E26</f>
        <v>0</v>
      </c>
      <c r="G21">
        <f>IF(A21=Tie_fx!$I$48,IF(C21=Tie_fx!$E$49,Tie_fx!$G$49,IF(C21=Tie_fx!$E$50,Tie_fx!$G$50,IF(C21=Tie_fx!$E$51,Tie_fx!$G$51,IF(C21=Tie_fx!$E$52,Tie_fx!$G$52,IF(C21=Tie_fx!$E$53,Tie_fx!$G$53,IF(C21=Tie_fx!$E$54,Tie_fx!$G$54,IF(C21=Tie_fx!$E$55,Tie_fx!$G$55,0))))))),IF(A21=Tie_fx!$I$49,IF(C21=Tie_fx!$E$56,Tie_fx!$G$56,IF(C21=Tie_fx!$E$57,Tie_fx!$G$57,IF(C21=Tie_fx!$E$58,Tie_fx!$G$58,IF(C21=Tie_fx!$E$59,Tie_fx!$G$59,IF(C21=Tie_fx!$E$60,Tie_fx!$G$60,IF(C21=Tie_fx!$E$61,Tie_fx!$G$61,IF(C21=Tie_fx!$E$62,Tie_fx!$G$62,0))))))),IF(A21=Tie_fx!$I$50,IF(C21=Tie_fx!$E$63,Tie_fx!$G$63,IF(C21=Tie_fx!$E$64,Tie_fx!$G$64,IF(C21=Tie_fx!$E$65,Tie_fx!$G$65,IF(C21=Tie_fx!$E$66,Tie_fx!$G$66,IF(C21=Tie_fx!$E$67,Tie_fx!$G$67,IF(C21=Tie_fx!$E$68,Tie_fx!$G$68,IF(C21=Tie_fx!$E$69,Tie_fx!$G$69,0))))))),IF(A21=Tie_fx!$I$51,IF(C21=Tie_fx!$E$70,Tie_fx!$G$70,IF(C21=Tie_fx!$E$71,Tie_fx!$G$71,IF(C21=Tie_fx!$E$72,Tie_fx!$G$72,IF(C21=Tie_fx!$E$73,Tie_fx!$G$73,IF(C21=Tie_fx!$E$74,Tie_fx!$G$74,IF(C21=Tie_fx!$E$75,Tie_fx!$G$75,IF(C21=Tie_fx!$E$76,Tie_fx!$G$76,0))))))),IF(A21=Tie_fx!$I$52,Tie_fx!$G$77,IF(A21=Tie_fx!$I$53,IF(C21=Tie_fx!$E$78,Tie_fx!$G$78,IF(C21=Tie_fx!$E$79,Tie_fx!$G$79,IF(C21=Tie_fx!$E$80,Tie_fx!$G$80,IF(C21=Tie_fx!$E$81,Tie_fx!$G$81,IF(C21=Tie_fx!$E$82,Tie_fx!$G$82,IF(C21=Tie_fx!$E$83,Tie_fx!$G$83,IF(C21=Tie_fx!$E$84,Tie_fx!$G$84,0))))))),0))))))</f>
        <v>0</v>
      </c>
      <c r="H21">
        <f>IF(A21=Tie_fx!$I$48,IF(C21=Tie_fx!$E$49,Tie_fx!$G$49,IF(C21=Tie_fx!$E$50,Tie_fx!$G$50,IF(C21=Tie_fx!$E$51,Tie_fx!$G$51,IF(C21=Tie_fx!$E$52,Tie_fx!$G$52,IF(C21=Tie_fx!$E$53,Tie_fx!$G$53,IF(C21=Tie_fx!$E$54,Tie_fx!$G$54,IF(C21=Tie_fx!$E$55,Tie_fx!$G$55,0))))))),IF(A21=Tie_fx!$I$49,IF(C21=Tie_fx!$E$56,Tie_fx!$G$56,IF(C21=Tie_fx!$E$57,Tie_fx!$G$57,IF(C21=Tie_fx!$E$58,Tie_fx!$G$58,IF(C21=Tie_fx!$E$59,Tie_fx!$G$59,IF(C21=Tie_fx!$E$60,Tie_fx!$G$60,IF(C21=Tie_fx!$E$61,Tie_fx!$G$61,IF(C21=Tie_fx!$E$62,Tie_fx!$G$62,0))))))),IF(A21=Tie_fx!$I$50,IF(C21=Tie_fx!$E$63,Tie_fx!$G$63,IF(C21=Tie_fx!$E$64,Tie_fx!$G$64,IF(C21=Tie_fx!$E$65,Tie_fx!$G$65,IF(C21=Tie_fx!$E$66,Tie_fx!$F$66,IF(C21=Tie_fx!$E$67,Tie_fx!$F$67,IF(C21=Tie_fx!$E$68,Tie_fx!$F$68,IF(C21=Tie_fx!$E$69,Tie_fx!$F$69,0))))))),IF(A21=Tie_fx!$I$51,IF(C21=Tie_fx!$E$70,Tie_fx!$F$70,IF(C21=Tie_fx!$E$71,Tie_fx!$F$71,IF(C21=Tie_fx!$E$72,Tie_fx!$F$72,IF(C21=Tie_fx!$E$73,Tie_fx!$F$73,IF(C21=Tie_fx!$E$74,Tie_fx!$F$74,IF(C21=Tie_fx!$E$75,Tie_fx!$F$75,IF(C21=Tie_fx!$E$76,Tie_fx!$F$76,0))))))),IF(A21=Tie_fx!$I$52,Tie_fx!$F$77,IF(A21=Tie_fx!$I$53,IF(C21=Tie_fx!$E$78,Tie_fx!$F$78,IF(C21=Tie_fx!$E$79,Tie_fx!$F$79,IF(C21=Tie_fx!$E$80,Tie_fx!$F$80,IF(C21=Tie_fx!$E$81,Tie_fx!$F$81,IF(C21=Tie_fx!$E$82,Tie_fx!$F$82,IF(C21=Tie_fx!$E$83,Tie_fx!$F$83,IF(C21=Tie_fx!$E$84,Tie_fx!$F$84,0))))))),0))))))</f>
        <v>0</v>
      </c>
      <c r="I21">
        <f>IF(C21=Tie_fx!$F$33,Tie_fx!$G$33,IF(C21=Tie_fx!$F$34,Tie_fx!$G$34,IF(C21=Tie_fx!$F$35,Tie_fx!$G$35,IF(C21=Tie_fx!$F$36,Tie_fx!$G$36,IF(C21=Tie_fx!$F$37,Tie_fx!$G$37,IF(C21=Tie_fx!$F$38,Tie_fx!$G$38,IF(C21=Tie_fx!$F$39,Tie_fx!$G$39,0)))))))</f>
        <v>0</v>
      </c>
      <c r="J21" s="258">
        <f>((B21*E21/2*G21)+(B21*E21/2*H21)+(B21*D21*I21))/1000000</f>
        <v>0</v>
      </c>
    </row>
    <row r="23" spans="1:10" x14ac:dyDescent="0.25">
      <c r="A23" t="str">
        <f>Tie!A28</f>
        <v>Pakettiauto</v>
      </c>
      <c r="B23">
        <f>Tie!B28</f>
        <v>0</v>
      </c>
      <c r="C23">
        <f>Tie!C28</f>
        <v>0</v>
      </c>
      <c r="E23">
        <f>Tie!E28</f>
        <v>0</v>
      </c>
      <c r="G23">
        <f>IF(C23=Tie_fx!$E$85,Tie_fx!$G$85,IF(C23=Tie_fx!$E$86,Tie_fx!$G$86,IF(C23=Tie_fx!$E$87,Tie_fx!$G$87,IF(C23=Tie_fx!$E$88,Tie_fx!$G$88,IF(C23=Tie_fx!$E$89,Tie_fx!$G$89,IF(C23=Tie_fx!$E$90,Tie_fx!$G$90,IF(C23=Tie_fx!$E$91,Tie_fx!$G$91,0)))))))</f>
        <v>0</v>
      </c>
      <c r="H23">
        <f>IF(C23=Tie_fx!$E$85,Tie_fx!$F$85,IF(C23=Tie_fx!$E$86,Tie_fx!$F$86,IF(C23=Tie_fx!$E$87,Tie_fx!$F$87,IF(C23=Tie_fx!$E$88,Tie_fx!$F$88,IF(C23=Tie_fx!$E$89,Tie_fx!$F$89,IF(C23=Tie_fx!$E$90,Tie_fx!$F$90,IF(C23=Tie_fx!$E$91,Tie_fx!$F$91,0)))))))</f>
        <v>0</v>
      </c>
      <c r="J23" s="258">
        <f>((B23*E23/2*G23)+(B23*E23/2*H23))/1000000</f>
        <v>0</v>
      </c>
    </row>
    <row r="26" spans="1:10" x14ac:dyDescent="0.25">
      <c r="A26" s="251" t="s">
        <v>570</v>
      </c>
      <c r="B26" s="236"/>
      <c r="C26" s="236"/>
    </row>
    <row r="28" spans="1:10" ht="36" x14ac:dyDescent="0.25">
      <c r="A28" s="217" t="s">
        <v>922</v>
      </c>
      <c r="B28" s="15">
        <f>Tie!B33</f>
        <v>0</v>
      </c>
    </row>
    <row r="30" spans="1:10" ht="48" x14ac:dyDescent="0.25">
      <c r="A30" s="217" t="s">
        <v>564</v>
      </c>
      <c r="B30" s="217" t="s">
        <v>571</v>
      </c>
      <c r="C30" s="217" t="s">
        <v>566</v>
      </c>
      <c r="D30" s="217" t="s">
        <v>907</v>
      </c>
      <c r="E30" s="217" t="s">
        <v>921</v>
      </c>
      <c r="G30" s="217" t="s">
        <v>567</v>
      </c>
      <c r="H30" s="217" t="s">
        <v>568</v>
      </c>
      <c r="I30" s="217" t="s">
        <v>569</v>
      </c>
      <c r="J30" s="217" t="s">
        <v>93</v>
      </c>
    </row>
    <row r="31" spans="1:10" ht="30" x14ac:dyDescent="0.25">
      <c r="A31" s="15">
        <f>Tie!A36</f>
        <v>0</v>
      </c>
      <c r="B31" s="15">
        <f>Tie!B36</f>
        <v>0</v>
      </c>
      <c r="C31" s="15">
        <f>Tie!C36</f>
        <v>0</v>
      </c>
      <c r="D31" s="15">
        <f>Tie!D36</f>
        <v>0</v>
      </c>
      <c r="E31" s="15">
        <f>Tie!E36</f>
        <v>0</v>
      </c>
      <c r="G31">
        <f>IF(A31=Tie_fx!$I$48,IF(C31=Tie_fx!$E$49,Tie_fx!$G$49,IF(C31=Tie_fx!$E$50,Tie_fx!$G$50,IF(C31=Tie_fx!$E$51,Tie_fx!$G$51,IF(C31=Tie_fx!$E$52,Tie_fx!$G$52,IF(C31=Tie_fx!$E$53,Tie_fx!$G$53,IF(C31=Tie_fx!$E$54,Tie_fx!$G$54,IF(C31=Tie_fx!$E$55,Tie_fx!$G$55,0))))))),IF(A31=Tie_fx!$I$49,IF(C31=Tie_fx!$E$56,Tie_fx!$G$56,IF(C31=Tie_fx!$E$57,Tie_fx!$G$57,IF(C31=Tie_fx!$E$58,Tie_fx!$G$58,IF(C31=Tie_fx!$E$59,Tie_fx!$G$59,IF(C31=Tie_fx!$E$60,Tie_fx!$G$60,IF(C31=Tie_fx!$E$61,Tie_fx!$G$61,IF(C31=Tie_fx!$E$62,Tie_fx!$G$62,0))))))),IF(A31=Tie_fx!$I$50,IF(C31=Tie_fx!$E$63,Tie_fx!$G$63,IF(C31=Tie_fx!$E$64,Tie_fx!$G$64,IF(C31=Tie_fx!$E$65,Tie_fx!$G$65,IF(C31=Tie_fx!$E$66,Tie_fx!$G$66,IF(C31=Tie_fx!$E$67,Tie_fx!$G$67,IF(C31=Tie_fx!$E$68,Tie_fx!$G$68,IF(C31=Tie_fx!$E$69,Tie_fx!$G$69,0))))))),IF(A31=Tie_fx!$I$51,IF(C31=Tie_fx!$E$70,Tie_fx!$G$70,IF(C31=Tie_fx!$E$71,Tie_fx!$G$71,IF(C31=Tie_fx!$E$72,Tie_fx!$G$72,IF(C31=Tie_fx!$E$73,Tie_fx!$G$73,IF(C31=Tie_fx!$E$74,Tie_fx!$G$74,IF(C31=Tie_fx!$E$75,Tie_fx!$G$75,IF(C31=Tie_fx!$E$76,Tie_fx!$G$76,0))))))),IF(A31=Tie_fx!$I$52,Tie_fx!$G$77,IF(A31=Tie_fx!$I$53,IF(C31=Tie_fx!$E$78,Tie_fx!$G$78,IF(C31=Tie_fx!$E$79,Tie_fx!$G$79,IF(C31=Tie_fx!$E$80,Tie_fx!$G$80,IF(C31=Tie_fx!$E$81,Tie_fx!$G$81,IF(C31=Tie_fx!$E$82,Tie_fx!$G$82,IF(C31=Tie_fx!$E$83,Tie_fx!$G$83,IF(C31=Tie_fx!$E$84,Tie_fx!$G$84,0))))))),0))))))</f>
        <v>0</v>
      </c>
      <c r="H31">
        <f>IF(A31=Tie_fx!$I$48,IF(C31=Tie_fx!$E$49,Tie_fx!$G$49,IF(C31=Tie_fx!$E$50,Tie_fx!$G$50,IF(C31=Tie_fx!$E$51,Tie_fx!$G$51,IF(C31=Tie_fx!$E$52,Tie_fx!$G$52,IF(C31=Tie_fx!$E$53,Tie_fx!$G$53,IF(C31=Tie_fx!$E$54,Tie_fx!$G$54,IF(C31=Tie_fx!$E$55,Tie_fx!$G$55,0))))))),IF(A31=Tie_fx!$I$49,IF(C31=Tie_fx!$E$56,Tie_fx!$G$56,IF(C31=Tie_fx!$E$57,Tie_fx!$G$57,IF(C31=Tie_fx!$E$58,Tie_fx!$G$58,IF(C31=Tie_fx!$E$59,Tie_fx!$G$59,IF(C31=Tie_fx!$E$60,Tie_fx!$G$60,IF(C31=Tie_fx!$E$61,Tie_fx!$G$61,IF(C31=Tie_fx!$E$62,Tie_fx!$G$62,0))))))),IF(A31=Tie_fx!$I$50,IF(C31=Tie_fx!$E$63,Tie_fx!$G$63,IF(C31=Tie_fx!$E$64,Tie_fx!$G$64,IF(C31=Tie_fx!$E$65,Tie_fx!$G$65,IF(C31=Tie_fx!$E$66,Tie_fx!$F$66,IF(C31=Tie_fx!$E$67,Tie_fx!$F$67,IF(C31=Tie_fx!$E$68,Tie_fx!$F$68,IF(C31=Tie_fx!$E$69,Tie_fx!$F$69,0))))))),IF(A31=Tie_fx!$I$51,IF(C31=Tie_fx!$E$70,Tie_fx!$F$70,IF(C31=Tie_fx!$E$71,Tie_fx!$F$71,IF(C31=Tie_fx!$E$72,Tie_fx!$F$72,IF(C31=Tie_fx!$E$73,Tie_fx!$F$73,IF(C31=Tie_fx!$E$74,Tie_fx!$F$74,IF(C31=Tie_fx!$E$75,Tie_fx!$F$75,IF(C31=Tie_fx!$E$76,Tie_fx!$F$76,0))))))),IF(A31=Tie_fx!$I$52,Tie_fx!$F$77,IF(A31=Tie_fx!$I$53,IF(C31=Tie_fx!$E$78,Tie_fx!$F$78,IF(C31=Tie_fx!$E$79,Tie_fx!$F$79,IF(C31=Tie_fx!$E$80,Tie_fx!$F$80,IF(C31=Tie_fx!$E$81,Tie_fx!$F$81,IF(C31=Tie_fx!$E$82,Tie_fx!$F$82,IF(C31=Tie_fx!$E$83,Tie_fx!$F$83,IF(C31=Tie_fx!$E$84,Tie_fx!$F$84,0))))))),0))))))</f>
        <v>0</v>
      </c>
      <c r="I31">
        <f>IF(C31=Tie_fx!$F$33,Tie_fx!$G$33,IF(C31=Tie_fx!$F$34,Tie_fx!$G$34,IF(C31=Tie_fx!$F$35,Tie_fx!$G$35,IF(C31=Tie_fx!$F$36,Tie_fx!$G$36,IF(C31=Tie_fx!$F$37,Tie_fx!$G$37,IF(C31=Tie_fx!$F$38,Tie_fx!$G$38,IF(C31=Tie_fx!$F$39,Tie_fx!$G$39,0)))))))</f>
        <v>0</v>
      </c>
      <c r="J31" s="258">
        <f>((B31*$B$28*E31/2*G31)+(B31*$B$28*E31/2*H31)+(B31*$B$28*D31*I31))/1000000</f>
        <v>0</v>
      </c>
    </row>
    <row r="32" spans="1:10" x14ac:dyDescent="0.25">
      <c r="A32" s="15">
        <f>Tie!A37</f>
        <v>0</v>
      </c>
      <c r="B32" s="15">
        <f>Tie!B37</f>
        <v>0</v>
      </c>
      <c r="C32" s="15">
        <f>Tie!C37</f>
        <v>0</v>
      </c>
      <c r="D32" s="15">
        <f>Tie!D37</f>
        <v>0</v>
      </c>
      <c r="E32" s="15">
        <f>Tie!E37</f>
        <v>0</v>
      </c>
      <c r="G32">
        <f>IF(A32=Tie_fx!$I$48,IF(C32=Tie_fx!$E$49,Tie_fx!$G$49,IF(C32=Tie_fx!$E$50,Tie_fx!$G$50,IF(C32=Tie_fx!$E$51,Tie_fx!$G$51,IF(C32=Tie_fx!$E$52,Tie_fx!$G$52,IF(C32=Tie_fx!$E$53,Tie_fx!$G$53,IF(C32=Tie_fx!$E$54,Tie_fx!$G$54,IF(C32=Tie_fx!$E$55,Tie_fx!$G$55,0))))))),IF(A32=Tie_fx!$I$49,IF(C32=Tie_fx!$E$56,Tie_fx!$G$56,IF(C32=Tie_fx!$E$57,Tie_fx!$G$57,IF(C32=Tie_fx!$E$58,Tie_fx!$G$58,IF(C32=Tie_fx!$E$59,Tie_fx!$G$59,IF(C32=Tie_fx!$E$60,Tie_fx!$G$60,IF(C32=Tie_fx!$E$61,Tie_fx!$G$61,IF(C32=Tie_fx!$E$62,Tie_fx!$G$62,0))))))),IF(A32=Tie_fx!$I$50,IF(C32=Tie_fx!$E$63,Tie_fx!$G$63,IF(C32=Tie_fx!$E$64,Tie_fx!$G$64,IF(C32=Tie_fx!$E$65,Tie_fx!$G$65,IF(C32=Tie_fx!$E$66,Tie_fx!$G$66,IF(C32=Tie_fx!$E$67,Tie_fx!$G$67,IF(C32=Tie_fx!$E$68,Tie_fx!$G$68,IF(C32=Tie_fx!$E$69,Tie_fx!$G$69,0))))))),IF(A32=Tie_fx!$I$51,IF(C32=Tie_fx!$E$70,Tie_fx!$G$70,IF(C32=Tie_fx!$E$71,Tie_fx!$G$71,IF(C32=Tie_fx!$E$72,Tie_fx!$G$72,IF(C32=Tie_fx!$E$73,Tie_fx!$G$73,IF(C32=Tie_fx!$E$74,Tie_fx!$G$74,IF(C32=Tie_fx!$E$75,Tie_fx!$G$75,IF(C32=Tie_fx!$E$76,Tie_fx!$G$76,0))))))),IF(A32=Tie_fx!$I$52,Tie_fx!$G$77,IF(A32=Tie_fx!$I$53,IF(C32=Tie_fx!$E$78,Tie_fx!$G$78,IF(C32=Tie_fx!$E$79,Tie_fx!$G$79,IF(C32=Tie_fx!$E$80,Tie_fx!$G$80,IF(C32=Tie_fx!$E$81,Tie_fx!$G$81,IF(C32=Tie_fx!$E$82,Tie_fx!$G$82,IF(C32=Tie_fx!$E$83,Tie_fx!$G$83,IF(C32=Tie_fx!$E$84,Tie_fx!$G$84,0))))))),0))))))</f>
        <v>0</v>
      </c>
      <c r="H32">
        <f>IF(A32=Tie_fx!$I$48,IF(C32=Tie_fx!$E$49,Tie_fx!$G$49,IF(C32=Tie_fx!$E$50,Tie_fx!$G$50,IF(C32=Tie_fx!$E$51,Tie_fx!$G$51,IF(C32=Tie_fx!$E$52,Tie_fx!$G$52,IF(C32=Tie_fx!$E$53,Tie_fx!$G$53,IF(C32=Tie_fx!$E$54,Tie_fx!$G$54,IF(C32=Tie_fx!$E$55,Tie_fx!$G$55,0))))))),IF(A32=Tie_fx!$I$49,IF(C32=Tie_fx!$E$56,Tie_fx!$G$56,IF(C32=Tie_fx!$E$57,Tie_fx!$G$57,IF(C32=Tie_fx!$E$58,Tie_fx!$G$58,IF(C32=Tie_fx!$E$59,Tie_fx!$G$59,IF(C32=Tie_fx!$E$60,Tie_fx!$G$60,IF(C32=Tie_fx!$E$61,Tie_fx!$G$61,IF(C32=Tie_fx!$E$62,Tie_fx!$G$62,0))))))),IF(A32=Tie_fx!$I$50,IF(C32=Tie_fx!$E$63,Tie_fx!$G$63,IF(C32=Tie_fx!$E$64,Tie_fx!$G$64,IF(C32=Tie_fx!$E$65,Tie_fx!$G$65,IF(C32=Tie_fx!$E$66,Tie_fx!$F$66,IF(C32=Tie_fx!$E$67,Tie_fx!$F$67,IF(C32=Tie_fx!$E$68,Tie_fx!$F$68,IF(C32=Tie_fx!$E$69,Tie_fx!$F$69,0))))))),IF(A32=Tie_fx!$I$51,IF(C32=Tie_fx!$E$70,Tie_fx!$F$70,IF(C32=Tie_fx!$E$71,Tie_fx!$F$71,IF(C32=Tie_fx!$E$72,Tie_fx!$F$72,IF(C32=Tie_fx!$E$73,Tie_fx!$F$73,IF(C32=Tie_fx!$E$74,Tie_fx!$F$74,IF(C32=Tie_fx!$E$75,Tie_fx!$F$75,IF(C32=Tie_fx!$E$76,Tie_fx!$F$76,0))))))),IF(A32=Tie_fx!$I$52,Tie_fx!$F$77,IF(A32=Tie_fx!$I$53,IF(C32=Tie_fx!$E$78,Tie_fx!$F$78,IF(C32=Tie_fx!$E$79,Tie_fx!$F$79,IF(C32=Tie_fx!$E$80,Tie_fx!$F$80,IF(C32=Tie_fx!$E$81,Tie_fx!$F$81,IF(C32=Tie_fx!$E$82,Tie_fx!$F$82,IF(C32=Tie_fx!$E$83,Tie_fx!$F$83,IF(C32=Tie_fx!$E$84,Tie_fx!$F$84,0))))))),0))))))</f>
        <v>0</v>
      </c>
      <c r="I32">
        <f>IF(C32=Tie_fx!$F$33,Tie_fx!$G$33,IF(C32=Tie_fx!$F$34,Tie_fx!$G$34,IF(C32=Tie_fx!$F$35,Tie_fx!$G$35,IF(C32=Tie_fx!$F$36,Tie_fx!$G$36,IF(C32=Tie_fx!$F$37,Tie_fx!$G$37,IF(C32=Tie_fx!$F$38,Tie_fx!$G$38,IF(C32=Tie_fx!$F$39,Tie_fx!$G$39,0)))))))</f>
        <v>0</v>
      </c>
      <c r="J32" s="258">
        <f t="shared" ref="J32:J40" si="1">((B32*$B$28*E32/2*G32)+(B32*$B$28*E32/2*H32)+(B32*$B$28*D32*I32))/1000000</f>
        <v>0</v>
      </c>
    </row>
    <row r="33" spans="1:12" x14ac:dyDescent="0.25">
      <c r="A33" s="15">
        <f>Tie!A38</f>
        <v>0</v>
      </c>
      <c r="B33" s="15">
        <f>Tie!B38</f>
        <v>0</v>
      </c>
      <c r="C33" s="15">
        <f>Tie!C38</f>
        <v>0</v>
      </c>
      <c r="D33" s="15">
        <f>Tie!D38</f>
        <v>0</v>
      </c>
      <c r="E33" s="15">
        <f>Tie!E38</f>
        <v>0</v>
      </c>
      <c r="G33">
        <f>IF(A33=Tie_fx!$I$48,IF(C33=Tie_fx!$E$49,Tie_fx!$G$49,IF(C33=Tie_fx!$E$50,Tie_fx!$G$50,IF(C33=Tie_fx!$E$51,Tie_fx!$G$51,IF(C33=Tie_fx!$E$52,Tie_fx!$G$52,IF(C33=Tie_fx!$E$53,Tie_fx!$G$53,IF(C33=Tie_fx!$E$54,Tie_fx!$G$54,IF(C33=Tie_fx!$E$55,Tie_fx!$G$55,0))))))),IF(A33=Tie_fx!$I$49,IF(C33=Tie_fx!$E$56,Tie_fx!$G$56,IF(C33=Tie_fx!$E$57,Tie_fx!$G$57,IF(C33=Tie_fx!$E$58,Tie_fx!$G$58,IF(C33=Tie_fx!$E$59,Tie_fx!$G$59,IF(C33=Tie_fx!$E$60,Tie_fx!$G$60,IF(C33=Tie_fx!$E$61,Tie_fx!$G$61,IF(C33=Tie_fx!$E$62,Tie_fx!$G$62,0))))))),IF(A33=Tie_fx!$I$50,IF(C33=Tie_fx!$E$63,Tie_fx!$G$63,IF(C33=Tie_fx!$E$64,Tie_fx!$G$64,IF(C33=Tie_fx!$E$65,Tie_fx!$G$65,IF(C33=Tie_fx!$E$66,Tie_fx!$G$66,IF(C33=Tie_fx!$E$67,Tie_fx!$G$67,IF(C33=Tie_fx!$E$68,Tie_fx!$G$68,IF(C33=Tie_fx!$E$69,Tie_fx!$G$69,0))))))),IF(A33=Tie_fx!$I$51,IF(C33=Tie_fx!$E$70,Tie_fx!$G$70,IF(C33=Tie_fx!$E$71,Tie_fx!$G$71,IF(C33=Tie_fx!$E$72,Tie_fx!$G$72,IF(C33=Tie_fx!$E$73,Tie_fx!$G$73,IF(C33=Tie_fx!$E$74,Tie_fx!$G$74,IF(C33=Tie_fx!$E$75,Tie_fx!$G$75,IF(C33=Tie_fx!$E$76,Tie_fx!$G$76,0))))))),IF(A33=Tie_fx!$I$52,Tie_fx!$G$77,IF(A33=Tie_fx!$I$53,IF(C33=Tie_fx!$E$78,Tie_fx!$G$78,IF(C33=Tie_fx!$E$79,Tie_fx!$G$79,IF(C33=Tie_fx!$E$80,Tie_fx!$G$80,IF(C33=Tie_fx!$E$81,Tie_fx!$G$81,IF(C33=Tie_fx!$E$82,Tie_fx!$G$82,IF(C33=Tie_fx!$E$83,Tie_fx!$G$83,IF(C33=Tie_fx!$E$84,Tie_fx!$G$84,0))))))),0))))))</f>
        <v>0</v>
      </c>
      <c r="H33">
        <f>IF(A33=Tie_fx!$I$48,IF(C33=Tie_fx!$E$49,Tie_fx!$G$49,IF(C33=Tie_fx!$E$50,Tie_fx!$G$50,IF(C33=Tie_fx!$E$51,Tie_fx!$G$51,IF(C33=Tie_fx!$E$52,Tie_fx!$G$52,IF(C33=Tie_fx!$E$53,Tie_fx!$G$53,IF(C33=Tie_fx!$E$54,Tie_fx!$G$54,IF(C33=Tie_fx!$E$55,Tie_fx!$G$55,0))))))),IF(A33=Tie_fx!$I$49,IF(C33=Tie_fx!$E$56,Tie_fx!$G$56,IF(C33=Tie_fx!$E$57,Tie_fx!$G$57,IF(C33=Tie_fx!$E$58,Tie_fx!$G$58,IF(C33=Tie_fx!$E$59,Tie_fx!$G$59,IF(C33=Tie_fx!$E$60,Tie_fx!$G$60,IF(C33=Tie_fx!$E$61,Tie_fx!$G$61,IF(C33=Tie_fx!$E$62,Tie_fx!$G$62,0))))))),IF(A33=Tie_fx!$I$50,IF(C33=Tie_fx!$E$63,Tie_fx!$G$63,IF(C33=Tie_fx!$E$64,Tie_fx!$G$64,IF(C33=Tie_fx!$E$65,Tie_fx!$G$65,IF(C33=Tie_fx!$E$66,Tie_fx!$F$66,IF(C33=Tie_fx!$E$67,Tie_fx!$F$67,IF(C33=Tie_fx!$E$68,Tie_fx!$F$68,IF(C33=Tie_fx!$E$69,Tie_fx!$F$69,0))))))),IF(A33=Tie_fx!$I$51,IF(C33=Tie_fx!$E$70,Tie_fx!$F$70,IF(C33=Tie_fx!$E$71,Tie_fx!$F$71,IF(C33=Tie_fx!$E$72,Tie_fx!$F$72,IF(C33=Tie_fx!$E$73,Tie_fx!$F$73,IF(C33=Tie_fx!$E$74,Tie_fx!$F$74,IF(C33=Tie_fx!$E$75,Tie_fx!$F$75,IF(C33=Tie_fx!$E$76,Tie_fx!$F$76,0))))))),IF(A33=Tie_fx!$I$52,Tie_fx!$F$77,IF(A33=Tie_fx!$I$53,IF(C33=Tie_fx!$E$78,Tie_fx!$F$78,IF(C33=Tie_fx!$E$79,Tie_fx!$F$79,IF(C33=Tie_fx!$E$80,Tie_fx!$F$80,IF(C33=Tie_fx!$E$81,Tie_fx!$F$81,IF(C33=Tie_fx!$E$82,Tie_fx!$F$82,IF(C33=Tie_fx!$E$83,Tie_fx!$F$83,IF(C33=Tie_fx!$E$84,Tie_fx!$F$84,0))))))),0))))))</f>
        <v>0</v>
      </c>
      <c r="I33">
        <f>IF(C33=Tie_fx!$F$33,Tie_fx!$G$33,IF(C33=Tie_fx!$F$34,Tie_fx!$G$34,IF(C33=Tie_fx!$F$35,Tie_fx!$G$35,IF(C33=Tie_fx!$F$36,Tie_fx!$G$36,IF(C33=Tie_fx!$F$37,Tie_fx!$G$37,IF(C33=Tie_fx!$F$38,Tie_fx!$G$38,IF(C33=Tie_fx!$F$39,Tie_fx!$G$39,0)))))))</f>
        <v>0</v>
      </c>
      <c r="J33" s="258">
        <f t="shared" si="1"/>
        <v>0</v>
      </c>
    </row>
    <row r="34" spans="1:12" x14ac:dyDescent="0.25">
      <c r="A34" s="15">
        <f>Tie!A39</f>
        <v>0</v>
      </c>
      <c r="B34" s="15">
        <f>Tie!B39</f>
        <v>0</v>
      </c>
      <c r="C34" s="15">
        <f>Tie!C39</f>
        <v>0</v>
      </c>
      <c r="D34" s="15">
        <f>Tie!D39</f>
        <v>0</v>
      </c>
      <c r="E34" s="15">
        <f>Tie!E39</f>
        <v>0</v>
      </c>
      <c r="G34">
        <f>IF(A34=Tie_fx!$I$48,IF(C34=Tie_fx!$E$49,Tie_fx!$G$49,IF(C34=Tie_fx!$E$50,Tie_fx!$G$50,IF(C34=Tie_fx!$E$51,Tie_fx!$G$51,IF(C34=Tie_fx!$E$52,Tie_fx!$G$52,IF(C34=Tie_fx!$E$53,Tie_fx!$G$53,IF(C34=Tie_fx!$E$54,Tie_fx!$G$54,IF(C34=Tie_fx!$E$55,Tie_fx!$G$55,0))))))),IF(A34=Tie_fx!$I$49,IF(C34=Tie_fx!$E$56,Tie_fx!$G$56,IF(C34=Tie_fx!$E$57,Tie_fx!$G$57,IF(C34=Tie_fx!$E$58,Tie_fx!$G$58,IF(C34=Tie_fx!$E$59,Tie_fx!$G$59,IF(C34=Tie_fx!$E$60,Tie_fx!$G$60,IF(C34=Tie_fx!$E$61,Tie_fx!$G$61,IF(C34=Tie_fx!$E$62,Tie_fx!$G$62,0))))))),IF(A34=Tie_fx!$I$50,IF(C34=Tie_fx!$E$63,Tie_fx!$G$63,IF(C34=Tie_fx!$E$64,Tie_fx!$G$64,IF(C34=Tie_fx!$E$65,Tie_fx!$G$65,IF(C34=Tie_fx!$E$66,Tie_fx!$G$66,IF(C34=Tie_fx!$E$67,Tie_fx!$G$67,IF(C34=Tie_fx!$E$68,Tie_fx!$G$68,IF(C34=Tie_fx!$E$69,Tie_fx!$G$69,0))))))),IF(A34=Tie_fx!$I$51,IF(C34=Tie_fx!$E$70,Tie_fx!$G$70,IF(C34=Tie_fx!$E$71,Tie_fx!$G$71,IF(C34=Tie_fx!$E$72,Tie_fx!$G$72,IF(C34=Tie_fx!$E$73,Tie_fx!$G$73,IF(C34=Tie_fx!$E$74,Tie_fx!$G$74,IF(C34=Tie_fx!$E$75,Tie_fx!$G$75,IF(C34=Tie_fx!$E$76,Tie_fx!$G$76,0))))))),IF(A34=Tie_fx!$I$52,Tie_fx!$G$77,IF(A34=Tie_fx!$I$53,IF(C34=Tie_fx!$E$78,Tie_fx!$G$78,IF(C34=Tie_fx!$E$79,Tie_fx!$G$79,IF(C34=Tie_fx!$E$80,Tie_fx!$G$80,IF(C34=Tie_fx!$E$81,Tie_fx!$G$81,IF(C34=Tie_fx!$E$82,Tie_fx!$G$82,IF(C34=Tie_fx!$E$83,Tie_fx!$G$83,IF(C34=Tie_fx!$E$84,Tie_fx!$G$84,0))))))),0))))))</f>
        <v>0</v>
      </c>
      <c r="H34">
        <f>IF(A34=Tie_fx!$I$48,IF(C34=Tie_fx!$E$49,Tie_fx!$G$49,IF(C34=Tie_fx!$E$50,Tie_fx!$G$50,IF(C34=Tie_fx!$E$51,Tie_fx!$G$51,IF(C34=Tie_fx!$E$52,Tie_fx!$G$52,IF(C34=Tie_fx!$E$53,Tie_fx!$G$53,IF(C34=Tie_fx!$E$54,Tie_fx!$G$54,IF(C34=Tie_fx!$E$55,Tie_fx!$G$55,0))))))),IF(A34=Tie_fx!$I$49,IF(C34=Tie_fx!$E$56,Tie_fx!$G$56,IF(C34=Tie_fx!$E$57,Tie_fx!$G$57,IF(C34=Tie_fx!$E$58,Tie_fx!$G$58,IF(C34=Tie_fx!$E$59,Tie_fx!$G$59,IF(C34=Tie_fx!$E$60,Tie_fx!$G$60,IF(C34=Tie_fx!$E$61,Tie_fx!$G$61,IF(C34=Tie_fx!$E$62,Tie_fx!$G$62,0))))))),IF(A34=Tie_fx!$I$50,IF(C34=Tie_fx!$E$63,Tie_fx!$G$63,IF(C34=Tie_fx!$E$64,Tie_fx!$G$64,IF(C34=Tie_fx!$E$65,Tie_fx!$G$65,IF(C34=Tie_fx!$E$66,Tie_fx!$F$66,IF(C34=Tie_fx!$E$67,Tie_fx!$F$67,IF(C34=Tie_fx!$E$68,Tie_fx!$F$68,IF(C34=Tie_fx!$E$69,Tie_fx!$F$69,0))))))),IF(A34=Tie_fx!$I$51,IF(C34=Tie_fx!$E$70,Tie_fx!$F$70,IF(C34=Tie_fx!$E$71,Tie_fx!$F$71,IF(C34=Tie_fx!$E$72,Tie_fx!$F$72,IF(C34=Tie_fx!$E$73,Tie_fx!$F$73,IF(C34=Tie_fx!$E$74,Tie_fx!$F$74,IF(C34=Tie_fx!$E$75,Tie_fx!$F$75,IF(C34=Tie_fx!$E$76,Tie_fx!$F$76,0))))))),IF(A34=Tie_fx!$I$52,Tie_fx!$F$77,IF(A34=Tie_fx!$I$53,IF(C34=Tie_fx!$E$78,Tie_fx!$F$78,IF(C34=Tie_fx!$E$79,Tie_fx!$F$79,IF(C34=Tie_fx!$E$80,Tie_fx!$F$80,IF(C34=Tie_fx!$E$81,Tie_fx!$F$81,IF(C34=Tie_fx!$E$82,Tie_fx!$F$82,IF(C34=Tie_fx!$E$83,Tie_fx!$F$83,IF(C34=Tie_fx!$E$84,Tie_fx!$F$84,0))))))),0))))))</f>
        <v>0</v>
      </c>
      <c r="I34">
        <f>IF(C34=Tie_fx!$F$33,Tie_fx!$G$33,IF(C34=Tie_fx!$F$34,Tie_fx!$G$34,IF(C34=Tie_fx!$F$35,Tie_fx!$G$35,IF(C34=Tie_fx!$F$36,Tie_fx!$G$36,IF(C34=Tie_fx!$F$37,Tie_fx!$G$37,IF(C34=Tie_fx!$F$38,Tie_fx!$G$38,IF(C34=Tie_fx!$F$39,Tie_fx!$G$39,0)))))))</f>
        <v>0</v>
      </c>
      <c r="J34" s="258">
        <f t="shared" si="1"/>
        <v>0</v>
      </c>
    </row>
    <row r="35" spans="1:12" x14ac:dyDescent="0.25">
      <c r="A35" s="15">
        <f>Tie!A40</f>
        <v>0</v>
      </c>
      <c r="B35" s="15">
        <f>Tie!B40</f>
        <v>0</v>
      </c>
      <c r="C35" s="15">
        <f>Tie!C40</f>
        <v>0</v>
      </c>
      <c r="D35" s="15">
        <f>Tie!D40</f>
        <v>0</v>
      </c>
      <c r="E35" s="15">
        <f>Tie!E40</f>
        <v>0</v>
      </c>
      <c r="G35">
        <f>IF(A35=Tie_fx!$I$48,IF(C35=Tie_fx!$E$49,Tie_fx!$G$49,IF(C35=Tie_fx!$E$50,Tie_fx!$G$50,IF(C35=Tie_fx!$E$51,Tie_fx!$G$51,IF(C35=Tie_fx!$E$52,Tie_fx!$G$52,IF(C35=Tie_fx!$E$53,Tie_fx!$G$53,IF(C35=Tie_fx!$E$54,Tie_fx!$G$54,IF(C35=Tie_fx!$E$55,Tie_fx!$G$55,0))))))),IF(A35=Tie_fx!$I$49,IF(C35=Tie_fx!$E$56,Tie_fx!$G$56,IF(C35=Tie_fx!$E$57,Tie_fx!$G$57,IF(C35=Tie_fx!$E$58,Tie_fx!$G$58,IF(C35=Tie_fx!$E$59,Tie_fx!$G$59,IF(C35=Tie_fx!$E$60,Tie_fx!$G$60,IF(C35=Tie_fx!$E$61,Tie_fx!$G$61,IF(C35=Tie_fx!$E$62,Tie_fx!$G$62,0))))))),IF(A35=Tie_fx!$I$50,IF(C35=Tie_fx!$E$63,Tie_fx!$G$63,IF(C35=Tie_fx!$E$64,Tie_fx!$G$64,IF(C35=Tie_fx!$E$65,Tie_fx!$G$65,IF(C35=Tie_fx!$E$66,Tie_fx!$G$66,IF(C35=Tie_fx!$E$67,Tie_fx!$G$67,IF(C35=Tie_fx!$E$68,Tie_fx!$G$68,IF(C35=Tie_fx!$E$69,Tie_fx!$G$69,0))))))),IF(A35=Tie_fx!$I$51,IF(C35=Tie_fx!$E$70,Tie_fx!$G$70,IF(C35=Tie_fx!$E$71,Tie_fx!$G$71,IF(C35=Tie_fx!$E$72,Tie_fx!$G$72,IF(C35=Tie_fx!$E$73,Tie_fx!$G$73,IF(C35=Tie_fx!$E$74,Tie_fx!$G$74,IF(C35=Tie_fx!$E$75,Tie_fx!$G$75,IF(C35=Tie_fx!$E$76,Tie_fx!$G$76,0))))))),IF(A35=Tie_fx!$I$52,Tie_fx!$G$77,IF(A35=Tie_fx!$I$53,IF(C35=Tie_fx!$E$78,Tie_fx!$G$78,IF(C35=Tie_fx!$E$79,Tie_fx!$G$79,IF(C35=Tie_fx!$E$80,Tie_fx!$G$80,IF(C35=Tie_fx!$E$81,Tie_fx!$G$81,IF(C35=Tie_fx!$E$82,Tie_fx!$G$82,IF(C35=Tie_fx!$E$83,Tie_fx!$G$83,IF(C35=Tie_fx!$E$84,Tie_fx!$G$84,0))))))),0))))))</f>
        <v>0</v>
      </c>
      <c r="H35">
        <f>IF(A35=Tie_fx!$I$48,IF(C35=Tie_fx!$E$49,Tie_fx!$G$49,IF(C35=Tie_fx!$E$50,Tie_fx!$G$50,IF(C35=Tie_fx!$E$51,Tie_fx!$G$51,IF(C35=Tie_fx!$E$52,Tie_fx!$G$52,IF(C35=Tie_fx!$E$53,Tie_fx!$G$53,IF(C35=Tie_fx!$E$54,Tie_fx!$G$54,IF(C35=Tie_fx!$E$55,Tie_fx!$G$55,0))))))),IF(A35=Tie_fx!$I$49,IF(C35=Tie_fx!$E$56,Tie_fx!$G$56,IF(C35=Tie_fx!$E$57,Tie_fx!$G$57,IF(C35=Tie_fx!$E$58,Tie_fx!$G$58,IF(C35=Tie_fx!$E$59,Tie_fx!$G$59,IF(C35=Tie_fx!$E$60,Tie_fx!$G$60,IF(C35=Tie_fx!$E$61,Tie_fx!$G$61,IF(C35=Tie_fx!$E$62,Tie_fx!$G$62,0))))))),IF(A35=Tie_fx!$I$50,IF(C35=Tie_fx!$E$63,Tie_fx!$G$63,IF(C35=Tie_fx!$E$64,Tie_fx!$G$64,IF(C35=Tie_fx!$E$65,Tie_fx!$G$65,IF(C35=Tie_fx!$E$66,Tie_fx!$F$66,IF(C35=Tie_fx!$E$67,Tie_fx!$F$67,IF(C35=Tie_fx!$E$68,Tie_fx!$F$68,IF(C35=Tie_fx!$E$69,Tie_fx!$F$69,0))))))),IF(A35=Tie_fx!$I$51,IF(C35=Tie_fx!$E$70,Tie_fx!$F$70,IF(C35=Tie_fx!$E$71,Tie_fx!$F$71,IF(C35=Tie_fx!$E$72,Tie_fx!$F$72,IF(C35=Tie_fx!$E$73,Tie_fx!$F$73,IF(C35=Tie_fx!$E$74,Tie_fx!$F$74,IF(C35=Tie_fx!$E$75,Tie_fx!$F$75,IF(C35=Tie_fx!$E$76,Tie_fx!$F$76,0))))))),IF(A35=Tie_fx!$I$52,Tie_fx!$F$77,IF(A35=Tie_fx!$I$53,IF(C35=Tie_fx!$E$78,Tie_fx!$F$78,IF(C35=Tie_fx!$E$79,Tie_fx!$F$79,IF(C35=Tie_fx!$E$80,Tie_fx!$F$80,IF(C35=Tie_fx!$E$81,Tie_fx!$F$81,IF(C35=Tie_fx!$E$82,Tie_fx!$F$82,IF(C35=Tie_fx!$E$83,Tie_fx!$F$83,IF(C35=Tie_fx!$E$84,Tie_fx!$F$84,0))))))),0))))))</f>
        <v>0</v>
      </c>
      <c r="I35">
        <f>IF(C35=Tie_fx!$F$33,Tie_fx!$G$33,IF(C35=Tie_fx!$F$34,Tie_fx!$G$34,IF(C35=Tie_fx!$F$35,Tie_fx!$G$35,IF(C35=Tie_fx!$F$36,Tie_fx!$G$36,IF(C35=Tie_fx!$F$37,Tie_fx!$G$37,IF(C35=Tie_fx!$F$38,Tie_fx!$G$38,IF(C35=Tie_fx!$F$39,Tie_fx!$G$39,0)))))))</f>
        <v>0</v>
      </c>
      <c r="J35" s="258">
        <f t="shared" si="1"/>
        <v>0</v>
      </c>
    </row>
    <row r="36" spans="1:12" x14ac:dyDescent="0.25">
      <c r="A36" s="15">
        <f>Tie!A41</f>
        <v>0</v>
      </c>
      <c r="B36" s="15">
        <f>Tie!B41</f>
        <v>0</v>
      </c>
      <c r="C36" s="15">
        <f>Tie!C41</f>
        <v>0</v>
      </c>
      <c r="D36" s="15">
        <f>Tie!D41</f>
        <v>0</v>
      </c>
      <c r="E36" s="15">
        <f>Tie!E41</f>
        <v>0</v>
      </c>
      <c r="G36">
        <f>IF(A36=Tie_fx!$I$48,IF(C36=Tie_fx!$E$49,Tie_fx!$G$49,IF(C36=Tie_fx!$E$50,Tie_fx!$G$50,IF(C36=Tie_fx!$E$51,Tie_fx!$G$51,IF(C36=Tie_fx!$E$52,Tie_fx!$G$52,IF(C36=Tie_fx!$E$53,Tie_fx!$G$53,IF(C36=Tie_fx!$E$54,Tie_fx!$G$54,IF(C36=Tie_fx!$E$55,Tie_fx!$G$55,0))))))),IF(A36=Tie_fx!$I$49,IF(C36=Tie_fx!$E$56,Tie_fx!$G$56,IF(C36=Tie_fx!$E$57,Tie_fx!$G$57,IF(C36=Tie_fx!$E$58,Tie_fx!$G$58,IF(C36=Tie_fx!$E$59,Tie_fx!$G$59,IF(C36=Tie_fx!$E$60,Tie_fx!$G$60,IF(C36=Tie_fx!$E$61,Tie_fx!$G$61,IF(C36=Tie_fx!$E$62,Tie_fx!$G$62,0))))))),IF(A36=Tie_fx!$I$50,IF(C36=Tie_fx!$E$63,Tie_fx!$G$63,IF(C36=Tie_fx!$E$64,Tie_fx!$G$64,IF(C36=Tie_fx!$E$65,Tie_fx!$G$65,IF(C36=Tie_fx!$E$66,Tie_fx!$G$66,IF(C36=Tie_fx!$E$67,Tie_fx!$G$67,IF(C36=Tie_fx!$E$68,Tie_fx!$G$68,IF(C36=Tie_fx!$E$69,Tie_fx!$G$69,0))))))),IF(A36=Tie_fx!$I$51,IF(C36=Tie_fx!$E$70,Tie_fx!$G$70,IF(C36=Tie_fx!$E$71,Tie_fx!$G$71,IF(C36=Tie_fx!$E$72,Tie_fx!$G$72,IF(C36=Tie_fx!$E$73,Tie_fx!$G$73,IF(C36=Tie_fx!$E$74,Tie_fx!$G$74,IF(C36=Tie_fx!$E$75,Tie_fx!$G$75,IF(C36=Tie_fx!$E$76,Tie_fx!$G$76,0))))))),IF(A36=Tie_fx!$I$52,Tie_fx!$G$77,IF(A36=Tie_fx!$I$53,IF(C36=Tie_fx!$E$78,Tie_fx!$G$78,IF(C36=Tie_fx!$E$79,Tie_fx!$G$79,IF(C36=Tie_fx!$E$80,Tie_fx!$G$80,IF(C36=Tie_fx!$E$81,Tie_fx!$G$81,IF(C36=Tie_fx!$E$82,Tie_fx!$G$82,IF(C36=Tie_fx!$E$83,Tie_fx!$G$83,IF(C36=Tie_fx!$E$84,Tie_fx!$G$84,0))))))),0))))))</f>
        <v>0</v>
      </c>
      <c r="H36">
        <f>IF(A36=Tie_fx!$I$48,IF(C36=Tie_fx!$E$49,Tie_fx!$G$49,IF(C36=Tie_fx!$E$50,Tie_fx!$G$50,IF(C36=Tie_fx!$E$51,Tie_fx!$G$51,IF(C36=Tie_fx!$E$52,Tie_fx!$G$52,IF(C36=Tie_fx!$E$53,Tie_fx!$G$53,IF(C36=Tie_fx!$E$54,Tie_fx!$G$54,IF(C36=Tie_fx!$E$55,Tie_fx!$G$55,0))))))),IF(A36=Tie_fx!$I$49,IF(C36=Tie_fx!$E$56,Tie_fx!$G$56,IF(C36=Tie_fx!$E$57,Tie_fx!$G$57,IF(C36=Tie_fx!$E$58,Tie_fx!$G$58,IF(C36=Tie_fx!$E$59,Tie_fx!$G$59,IF(C36=Tie_fx!$E$60,Tie_fx!$G$60,IF(C36=Tie_fx!$E$61,Tie_fx!$G$61,IF(C36=Tie_fx!$E$62,Tie_fx!$G$62,0))))))),IF(A36=Tie_fx!$I$50,IF(C36=Tie_fx!$E$63,Tie_fx!$G$63,IF(C36=Tie_fx!$E$64,Tie_fx!$G$64,IF(C36=Tie_fx!$E$65,Tie_fx!$G$65,IF(C36=Tie_fx!$E$66,Tie_fx!$F$66,IF(C36=Tie_fx!$E$67,Tie_fx!$F$67,IF(C36=Tie_fx!$E$68,Tie_fx!$F$68,IF(C36=Tie_fx!$E$69,Tie_fx!$F$69,0))))))),IF(A36=Tie_fx!$I$51,IF(C36=Tie_fx!$E$70,Tie_fx!$F$70,IF(C36=Tie_fx!$E$71,Tie_fx!$F$71,IF(C36=Tie_fx!$E$72,Tie_fx!$F$72,IF(C36=Tie_fx!$E$73,Tie_fx!$F$73,IF(C36=Tie_fx!$E$74,Tie_fx!$F$74,IF(C36=Tie_fx!$E$75,Tie_fx!$F$75,IF(C36=Tie_fx!$E$76,Tie_fx!$F$76,0))))))),IF(A36=Tie_fx!$I$52,Tie_fx!$F$77,IF(A36=Tie_fx!$I$53,IF(C36=Tie_fx!$E$78,Tie_fx!$F$78,IF(C36=Tie_fx!$E$79,Tie_fx!$F$79,IF(C36=Tie_fx!$E$80,Tie_fx!$F$80,IF(C36=Tie_fx!$E$81,Tie_fx!$F$81,IF(C36=Tie_fx!$E$82,Tie_fx!$F$82,IF(C36=Tie_fx!$E$83,Tie_fx!$F$83,IF(C36=Tie_fx!$E$84,Tie_fx!$F$84,0))))))),0))))))</f>
        <v>0</v>
      </c>
      <c r="I36">
        <f>IF(C36=Tie_fx!$F$33,Tie_fx!$G$33,IF(C36=Tie_fx!$F$34,Tie_fx!$G$34,IF(C36=Tie_fx!$F$35,Tie_fx!$G$35,IF(C36=Tie_fx!$F$36,Tie_fx!$G$36,IF(C36=Tie_fx!$F$37,Tie_fx!$G$37,IF(C36=Tie_fx!$F$38,Tie_fx!$G$38,IF(C36=Tie_fx!$F$39,Tie_fx!$G$39,0)))))))</f>
        <v>0</v>
      </c>
      <c r="J36" s="258">
        <f t="shared" si="1"/>
        <v>0</v>
      </c>
    </row>
    <row r="37" spans="1:12" x14ac:dyDescent="0.25">
      <c r="A37" s="15">
        <f>Tie!A42</f>
        <v>0</v>
      </c>
      <c r="B37" s="15">
        <f>Tie!B42</f>
        <v>0</v>
      </c>
      <c r="C37" s="15">
        <f>Tie!C42</f>
        <v>0</v>
      </c>
      <c r="D37" s="15">
        <f>Tie!D42</f>
        <v>0</v>
      </c>
      <c r="E37" s="15">
        <f>Tie!E42</f>
        <v>0</v>
      </c>
      <c r="G37">
        <f>IF(A37=Tie_fx!$I$48,IF(C37=Tie_fx!$E$49,Tie_fx!$G$49,IF(C37=Tie_fx!$E$50,Tie_fx!$G$50,IF(C37=Tie_fx!$E$51,Tie_fx!$G$51,IF(C37=Tie_fx!$E$52,Tie_fx!$G$52,IF(C37=Tie_fx!$E$53,Tie_fx!$G$53,IF(C37=Tie_fx!$E$54,Tie_fx!$G$54,IF(C37=Tie_fx!$E$55,Tie_fx!$G$55,0))))))),IF(A37=Tie_fx!$I$49,IF(C37=Tie_fx!$E$56,Tie_fx!$G$56,IF(C37=Tie_fx!$E$57,Tie_fx!$G$57,IF(C37=Tie_fx!$E$58,Tie_fx!$G$58,IF(C37=Tie_fx!$E$59,Tie_fx!$G$59,IF(C37=Tie_fx!$E$60,Tie_fx!$G$60,IF(C37=Tie_fx!$E$61,Tie_fx!$G$61,IF(C37=Tie_fx!$E$62,Tie_fx!$G$62,0))))))),IF(A37=Tie_fx!$I$50,IF(C37=Tie_fx!$E$63,Tie_fx!$G$63,IF(C37=Tie_fx!$E$64,Tie_fx!$G$64,IF(C37=Tie_fx!$E$65,Tie_fx!$G$65,IF(C37=Tie_fx!$E$66,Tie_fx!$G$66,IF(C37=Tie_fx!$E$67,Tie_fx!$G$67,IF(C37=Tie_fx!$E$68,Tie_fx!$G$68,IF(C37=Tie_fx!$E$69,Tie_fx!$G$69,0))))))),IF(A37=Tie_fx!$I$51,IF(C37=Tie_fx!$E$70,Tie_fx!$G$70,IF(C37=Tie_fx!$E$71,Tie_fx!$G$71,IF(C37=Tie_fx!$E$72,Tie_fx!$G$72,IF(C37=Tie_fx!$E$73,Tie_fx!$G$73,IF(C37=Tie_fx!$E$74,Tie_fx!$G$74,IF(C37=Tie_fx!$E$75,Tie_fx!$G$75,IF(C37=Tie_fx!$E$76,Tie_fx!$G$76,0))))))),IF(A37=Tie_fx!$I$52,Tie_fx!$G$77,IF(A37=Tie_fx!$I$53,IF(C37=Tie_fx!$E$78,Tie_fx!$G$78,IF(C37=Tie_fx!$E$79,Tie_fx!$G$79,IF(C37=Tie_fx!$E$80,Tie_fx!$G$80,IF(C37=Tie_fx!$E$81,Tie_fx!$G$81,IF(C37=Tie_fx!$E$82,Tie_fx!$G$82,IF(C37=Tie_fx!$E$83,Tie_fx!$G$83,IF(C37=Tie_fx!$E$84,Tie_fx!$G$84,0))))))),0))))))</f>
        <v>0</v>
      </c>
      <c r="H37">
        <f>IF(A37=Tie_fx!$I$48,IF(C37=Tie_fx!$E$49,Tie_fx!$G$49,IF(C37=Tie_fx!$E$50,Tie_fx!$G$50,IF(C37=Tie_fx!$E$51,Tie_fx!$G$51,IF(C37=Tie_fx!$E$52,Tie_fx!$G$52,IF(C37=Tie_fx!$E$53,Tie_fx!$G$53,IF(C37=Tie_fx!$E$54,Tie_fx!$G$54,IF(C37=Tie_fx!$E$55,Tie_fx!$G$55,0))))))),IF(A37=Tie_fx!$I$49,IF(C37=Tie_fx!$E$56,Tie_fx!$G$56,IF(C37=Tie_fx!$E$57,Tie_fx!$G$57,IF(C37=Tie_fx!$E$58,Tie_fx!$G$58,IF(C37=Tie_fx!$E$59,Tie_fx!$G$59,IF(C37=Tie_fx!$E$60,Tie_fx!$G$60,IF(C37=Tie_fx!$E$61,Tie_fx!$G$61,IF(C37=Tie_fx!$E$62,Tie_fx!$G$62,0))))))),IF(A37=Tie_fx!$I$50,IF(C37=Tie_fx!$E$63,Tie_fx!$G$63,IF(C37=Tie_fx!$E$64,Tie_fx!$G$64,IF(C37=Tie_fx!$E$65,Tie_fx!$G$65,IF(C37=Tie_fx!$E$66,Tie_fx!$F$66,IF(C37=Tie_fx!$E$67,Tie_fx!$F$67,IF(C37=Tie_fx!$E$68,Tie_fx!$F$68,IF(C37=Tie_fx!$E$69,Tie_fx!$F$69,0))))))),IF(A37=Tie_fx!$I$51,IF(C37=Tie_fx!$E$70,Tie_fx!$F$70,IF(C37=Tie_fx!$E$71,Tie_fx!$F$71,IF(C37=Tie_fx!$E$72,Tie_fx!$F$72,IF(C37=Tie_fx!$E$73,Tie_fx!$F$73,IF(C37=Tie_fx!$E$74,Tie_fx!$F$74,IF(C37=Tie_fx!$E$75,Tie_fx!$F$75,IF(C37=Tie_fx!$E$76,Tie_fx!$F$76,0))))))),IF(A37=Tie_fx!$I$52,Tie_fx!$F$77,IF(A37=Tie_fx!$I$53,IF(C37=Tie_fx!$E$78,Tie_fx!$F$78,IF(C37=Tie_fx!$E$79,Tie_fx!$F$79,IF(C37=Tie_fx!$E$80,Tie_fx!$F$80,IF(C37=Tie_fx!$E$81,Tie_fx!$F$81,IF(C37=Tie_fx!$E$82,Tie_fx!$F$82,IF(C37=Tie_fx!$E$83,Tie_fx!$F$83,IF(C37=Tie_fx!$E$84,Tie_fx!$F$84,0))))))),0))))))</f>
        <v>0</v>
      </c>
      <c r="I37">
        <f>IF(C37=Tie_fx!$F$33,Tie_fx!$G$33,IF(C37=Tie_fx!$F$34,Tie_fx!$G$34,IF(C37=Tie_fx!$F$35,Tie_fx!$G$35,IF(C37=Tie_fx!$F$36,Tie_fx!$G$36,IF(C37=Tie_fx!$F$37,Tie_fx!$G$37,IF(C37=Tie_fx!$F$38,Tie_fx!$G$38,IF(C37=Tie_fx!$F$39,Tie_fx!$G$39,0)))))))</f>
        <v>0</v>
      </c>
      <c r="J37" s="258">
        <f t="shared" si="1"/>
        <v>0</v>
      </c>
    </row>
    <row r="38" spans="1:12" x14ac:dyDescent="0.25">
      <c r="A38" s="15">
        <f>Tie!A43</f>
        <v>0</v>
      </c>
      <c r="B38" s="15">
        <f>Tie!B43</f>
        <v>0</v>
      </c>
      <c r="C38" s="15">
        <f>Tie!C43</f>
        <v>0</v>
      </c>
      <c r="D38" s="15">
        <f>Tie!D43</f>
        <v>0</v>
      </c>
      <c r="E38" s="15">
        <f>Tie!E43</f>
        <v>0</v>
      </c>
      <c r="G38">
        <f>IF(A38=Tie_fx!$I$48,IF(C38=Tie_fx!$E$49,Tie_fx!$G$49,IF(C38=Tie_fx!$E$50,Tie_fx!$G$50,IF(C38=Tie_fx!$E$51,Tie_fx!$G$51,IF(C38=Tie_fx!$E$52,Tie_fx!$G$52,IF(C38=Tie_fx!$E$53,Tie_fx!$G$53,IF(C38=Tie_fx!$E$54,Tie_fx!$G$54,IF(C38=Tie_fx!$E$55,Tie_fx!$G$55,0))))))),IF(A38=Tie_fx!$I$49,IF(C38=Tie_fx!$E$56,Tie_fx!$G$56,IF(C38=Tie_fx!$E$57,Tie_fx!$G$57,IF(C38=Tie_fx!$E$58,Tie_fx!$G$58,IF(C38=Tie_fx!$E$59,Tie_fx!$G$59,IF(C38=Tie_fx!$E$60,Tie_fx!$G$60,IF(C38=Tie_fx!$E$61,Tie_fx!$G$61,IF(C38=Tie_fx!$E$62,Tie_fx!$G$62,0))))))),IF(A38=Tie_fx!$I$50,IF(C38=Tie_fx!$E$63,Tie_fx!$G$63,IF(C38=Tie_fx!$E$64,Tie_fx!$G$64,IF(C38=Tie_fx!$E$65,Tie_fx!$G$65,IF(C38=Tie_fx!$E$66,Tie_fx!$G$66,IF(C38=Tie_fx!$E$67,Tie_fx!$G$67,IF(C38=Tie_fx!$E$68,Tie_fx!$G$68,IF(C38=Tie_fx!$E$69,Tie_fx!$G$69,0))))))),IF(A38=Tie_fx!$I$51,IF(C38=Tie_fx!$E$70,Tie_fx!$G$70,IF(C38=Tie_fx!$E$71,Tie_fx!$G$71,IF(C38=Tie_fx!$E$72,Tie_fx!$G$72,IF(C38=Tie_fx!$E$73,Tie_fx!$G$73,IF(C38=Tie_fx!$E$74,Tie_fx!$G$74,IF(C38=Tie_fx!$E$75,Tie_fx!$G$75,IF(C38=Tie_fx!$E$76,Tie_fx!$G$76,0))))))),IF(A38=Tie_fx!$I$52,Tie_fx!$G$77,IF(A38=Tie_fx!$I$53,IF(C38=Tie_fx!$E$78,Tie_fx!$G$78,IF(C38=Tie_fx!$E$79,Tie_fx!$G$79,IF(C38=Tie_fx!$E$80,Tie_fx!$G$80,IF(C38=Tie_fx!$E$81,Tie_fx!$G$81,IF(C38=Tie_fx!$E$82,Tie_fx!$G$82,IF(C38=Tie_fx!$E$83,Tie_fx!$G$83,IF(C38=Tie_fx!$E$84,Tie_fx!$G$84,0))))))),0))))))</f>
        <v>0</v>
      </c>
      <c r="H38">
        <f>IF(A38=Tie_fx!$I$48,IF(C38=Tie_fx!$E$49,Tie_fx!$G$49,IF(C38=Tie_fx!$E$50,Tie_fx!$G$50,IF(C38=Tie_fx!$E$51,Tie_fx!$G$51,IF(C38=Tie_fx!$E$52,Tie_fx!$G$52,IF(C38=Tie_fx!$E$53,Tie_fx!$G$53,IF(C38=Tie_fx!$E$54,Tie_fx!$G$54,IF(C38=Tie_fx!$E$55,Tie_fx!$G$55,0))))))),IF(A38=Tie_fx!$I$49,IF(C38=Tie_fx!$E$56,Tie_fx!$G$56,IF(C38=Tie_fx!$E$57,Tie_fx!$G$57,IF(C38=Tie_fx!$E$58,Tie_fx!$G$58,IF(C38=Tie_fx!$E$59,Tie_fx!$G$59,IF(C38=Tie_fx!$E$60,Tie_fx!$G$60,IF(C38=Tie_fx!$E$61,Tie_fx!$G$61,IF(C38=Tie_fx!$E$62,Tie_fx!$G$62,0))))))),IF(A38=Tie_fx!$I$50,IF(C38=Tie_fx!$E$63,Tie_fx!$G$63,IF(C38=Tie_fx!$E$64,Tie_fx!$G$64,IF(C38=Tie_fx!$E$65,Tie_fx!$G$65,IF(C38=Tie_fx!$E$66,Tie_fx!$F$66,IF(C38=Tie_fx!$E$67,Tie_fx!$F$67,IF(C38=Tie_fx!$E$68,Tie_fx!$F$68,IF(C38=Tie_fx!$E$69,Tie_fx!$F$69,0))))))),IF(A38=Tie_fx!$I$51,IF(C38=Tie_fx!$E$70,Tie_fx!$F$70,IF(C38=Tie_fx!$E$71,Tie_fx!$F$71,IF(C38=Tie_fx!$E$72,Tie_fx!$F$72,IF(C38=Tie_fx!$E$73,Tie_fx!$F$73,IF(C38=Tie_fx!$E$74,Tie_fx!$F$74,IF(C38=Tie_fx!$E$75,Tie_fx!$F$75,IF(C38=Tie_fx!$E$76,Tie_fx!$F$76,0))))))),IF(A38=Tie_fx!$I$52,Tie_fx!$F$77,IF(A38=Tie_fx!$I$53,IF(C38=Tie_fx!$E$78,Tie_fx!$F$78,IF(C38=Tie_fx!$E$79,Tie_fx!$F$79,IF(C38=Tie_fx!$E$80,Tie_fx!$F$80,IF(C38=Tie_fx!$E$81,Tie_fx!$F$81,IF(C38=Tie_fx!$E$82,Tie_fx!$F$82,IF(C38=Tie_fx!$E$83,Tie_fx!$F$83,IF(C38=Tie_fx!$E$84,Tie_fx!$F$84,0))))))),0))))))</f>
        <v>0</v>
      </c>
      <c r="I38">
        <f>IF(C38=Tie_fx!$F$33,Tie_fx!$G$33,IF(C38=Tie_fx!$F$34,Tie_fx!$G$34,IF(C38=Tie_fx!$F$35,Tie_fx!$G$35,IF(C38=Tie_fx!$F$36,Tie_fx!$G$36,IF(C38=Tie_fx!$F$37,Tie_fx!$G$37,IF(C38=Tie_fx!$F$38,Tie_fx!$G$38,IF(C38=Tie_fx!$F$39,Tie_fx!$G$39,0)))))))</f>
        <v>0</v>
      </c>
      <c r="J38" s="258">
        <f t="shared" si="1"/>
        <v>0</v>
      </c>
    </row>
    <row r="39" spans="1:12" x14ac:dyDescent="0.25">
      <c r="A39" s="15">
        <f>Tie!A44</f>
        <v>0</v>
      </c>
      <c r="B39" s="15">
        <f>Tie!B44</f>
        <v>0</v>
      </c>
      <c r="C39" s="15">
        <f>Tie!C44</f>
        <v>0</v>
      </c>
      <c r="D39" s="15">
        <f>Tie!D44</f>
        <v>0</v>
      </c>
      <c r="E39" s="15">
        <f>Tie!E44</f>
        <v>0</v>
      </c>
      <c r="G39">
        <f>IF(A39=Tie_fx!$I$48,IF(C39=Tie_fx!$E$49,Tie_fx!$G$49,IF(C39=Tie_fx!$E$50,Tie_fx!$G$50,IF(C39=Tie_fx!$E$51,Tie_fx!$G$51,IF(C39=Tie_fx!$E$52,Tie_fx!$G$52,IF(C39=Tie_fx!$E$53,Tie_fx!$G$53,IF(C39=Tie_fx!$E$54,Tie_fx!$G$54,IF(C39=Tie_fx!$E$55,Tie_fx!$G$55,0))))))),IF(A39=Tie_fx!$I$49,IF(C39=Tie_fx!$E$56,Tie_fx!$G$56,IF(C39=Tie_fx!$E$57,Tie_fx!$G$57,IF(C39=Tie_fx!$E$58,Tie_fx!$G$58,IF(C39=Tie_fx!$E$59,Tie_fx!$G$59,IF(C39=Tie_fx!$E$60,Tie_fx!$G$60,IF(C39=Tie_fx!$E$61,Tie_fx!$G$61,IF(C39=Tie_fx!$E$62,Tie_fx!$G$62,0))))))),IF(A39=Tie_fx!$I$50,IF(C39=Tie_fx!$E$63,Tie_fx!$G$63,IF(C39=Tie_fx!$E$64,Tie_fx!$G$64,IF(C39=Tie_fx!$E$65,Tie_fx!$G$65,IF(C39=Tie_fx!$E$66,Tie_fx!$G$66,IF(C39=Tie_fx!$E$67,Tie_fx!$G$67,IF(C39=Tie_fx!$E$68,Tie_fx!$G$68,IF(C39=Tie_fx!$E$69,Tie_fx!$G$69,0))))))),IF(A39=Tie_fx!$I$51,IF(C39=Tie_fx!$E$70,Tie_fx!$G$70,IF(C39=Tie_fx!$E$71,Tie_fx!$G$71,IF(C39=Tie_fx!$E$72,Tie_fx!$G$72,IF(C39=Tie_fx!$E$73,Tie_fx!$G$73,IF(C39=Tie_fx!$E$74,Tie_fx!$G$74,IF(C39=Tie_fx!$E$75,Tie_fx!$G$75,IF(C39=Tie_fx!$E$76,Tie_fx!$G$76,0))))))),IF(A39=Tie_fx!$I$52,Tie_fx!$G$77,IF(A39=Tie_fx!$I$53,IF(C39=Tie_fx!$E$78,Tie_fx!$G$78,IF(C39=Tie_fx!$E$79,Tie_fx!$G$79,IF(C39=Tie_fx!$E$80,Tie_fx!$G$80,IF(C39=Tie_fx!$E$81,Tie_fx!$G$81,IF(C39=Tie_fx!$E$82,Tie_fx!$G$82,IF(C39=Tie_fx!$E$83,Tie_fx!$G$83,IF(C39=Tie_fx!$E$84,Tie_fx!$G$84,0))))))),0))))))</f>
        <v>0</v>
      </c>
      <c r="H39">
        <f>IF(A39=Tie_fx!$I$48,IF(C39=Tie_fx!$E$49,Tie_fx!$G$49,IF(C39=Tie_fx!$E$50,Tie_fx!$G$50,IF(C39=Tie_fx!$E$51,Tie_fx!$G$51,IF(C39=Tie_fx!$E$52,Tie_fx!$G$52,IF(C39=Tie_fx!$E$53,Tie_fx!$G$53,IF(C39=Tie_fx!$E$54,Tie_fx!$G$54,IF(C39=Tie_fx!$E$55,Tie_fx!$G$55,0))))))),IF(A39=Tie_fx!$I$49,IF(C39=Tie_fx!$E$56,Tie_fx!$G$56,IF(C39=Tie_fx!$E$57,Tie_fx!$G$57,IF(C39=Tie_fx!$E$58,Tie_fx!$G$58,IF(C39=Tie_fx!$E$59,Tie_fx!$G$59,IF(C39=Tie_fx!$E$60,Tie_fx!$G$60,IF(C39=Tie_fx!$E$61,Tie_fx!$G$61,IF(C39=Tie_fx!$E$62,Tie_fx!$G$62,0))))))),IF(A39=Tie_fx!$I$50,IF(C39=Tie_fx!$E$63,Tie_fx!$G$63,IF(C39=Tie_fx!$E$64,Tie_fx!$G$64,IF(C39=Tie_fx!$E$65,Tie_fx!$G$65,IF(C39=Tie_fx!$E$66,Tie_fx!$F$66,IF(C39=Tie_fx!$E$67,Tie_fx!$F$67,IF(C39=Tie_fx!$E$68,Tie_fx!$F$68,IF(C39=Tie_fx!$E$69,Tie_fx!$F$69,0))))))),IF(A39=Tie_fx!$I$51,IF(C39=Tie_fx!$E$70,Tie_fx!$F$70,IF(C39=Tie_fx!$E$71,Tie_fx!$F$71,IF(C39=Tie_fx!$E$72,Tie_fx!$F$72,IF(C39=Tie_fx!$E$73,Tie_fx!$F$73,IF(C39=Tie_fx!$E$74,Tie_fx!$F$74,IF(C39=Tie_fx!$E$75,Tie_fx!$F$75,IF(C39=Tie_fx!$E$76,Tie_fx!$F$76,0))))))),IF(A39=Tie_fx!$I$52,Tie_fx!$F$77,IF(A39=Tie_fx!$I$53,IF(C39=Tie_fx!$E$78,Tie_fx!$F$78,IF(C39=Tie_fx!$E$79,Tie_fx!$F$79,IF(C39=Tie_fx!$E$80,Tie_fx!$F$80,IF(C39=Tie_fx!$E$81,Tie_fx!$F$81,IF(C39=Tie_fx!$E$82,Tie_fx!$F$82,IF(C39=Tie_fx!$E$83,Tie_fx!$F$83,IF(C39=Tie_fx!$E$84,Tie_fx!$F$84,0))))))),0))))))</f>
        <v>0</v>
      </c>
      <c r="I39">
        <f>IF(C39=Tie_fx!$F$33,Tie_fx!$G$33,IF(C39=Tie_fx!$F$34,Tie_fx!$G$34,IF(C39=Tie_fx!$F$35,Tie_fx!$G$35,IF(C39=Tie_fx!$F$36,Tie_fx!$G$36,IF(C39=Tie_fx!$F$37,Tie_fx!$G$37,IF(C39=Tie_fx!$F$38,Tie_fx!$G$38,IF(C39=Tie_fx!$F$39,Tie_fx!$G$39,0)))))))</f>
        <v>0</v>
      </c>
      <c r="J39" s="258">
        <f t="shared" si="1"/>
        <v>0</v>
      </c>
    </row>
    <row r="40" spans="1:12" x14ac:dyDescent="0.25">
      <c r="A40" s="15">
        <f>Tie!A45</f>
        <v>0</v>
      </c>
      <c r="B40" s="15">
        <f>Tie!B45</f>
        <v>0</v>
      </c>
      <c r="C40" s="15">
        <f>Tie!C45</f>
        <v>0</v>
      </c>
      <c r="D40" s="15">
        <f>Tie!D45</f>
        <v>0</v>
      </c>
      <c r="E40" s="15">
        <f>Tie!E45</f>
        <v>0</v>
      </c>
      <c r="G40">
        <f>IF(A40=Tie_fx!$I$48,IF(C40=Tie_fx!$E$49,Tie_fx!$G$49,IF(C40=Tie_fx!$E$50,Tie_fx!$G$50,IF(C40=Tie_fx!$E$51,Tie_fx!$G$51,IF(C40=Tie_fx!$E$52,Tie_fx!$G$52,IF(C40=Tie_fx!$E$53,Tie_fx!$G$53,IF(C40=Tie_fx!$E$54,Tie_fx!$G$54,IF(C40=Tie_fx!$E$55,Tie_fx!$G$55,0))))))),IF(A40=Tie_fx!$I$49,IF(C40=Tie_fx!$E$56,Tie_fx!$G$56,IF(C40=Tie_fx!$E$57,Tie_fx!$G$57,IF(C40=Tie_fx!$E$58,Tie_fx!$G$58,IF(C40=Tie_fx!$E$59,Tie_fx!$G$59,IF(C40=Tie_fx!$E$60,Tie_fx!$G$60,IF(C40=Tie_fx!$E$61,Tie_fx!$G$61,IF(C40=Tie_fx!$E$62,Tie_fx!$G$62,0))))))),IF(A40=Tie_fx!$I$50,IF(C40=Tie_fx!$E$63,Tie_fx!$G$63,IF(C40=Tie_fx!$E$64,Tie_fx!$G$64,IF(C40=Tie_fx!$E$65,Tie_fx!$G$65,IF(C40=Tie_fx!$E$66,Tie_fx!$G$66,IF(C40=Tie_fx!$E$67,Tie_fx!$G$67,IF(C40=Tie_fx!$E$68,Tie_fx!$G$68,IF(C40=Tie_fx!$E$69,Tie_fx!$G$69,0))))))),IF(A40=Tie_fx!$I$51,IF(C40=Tie_fx!$E$70,Tie_fx!$G$70,IF(C40=Tie_fx!$E$71,Tie_fx!$G$71,IF(C40=Tie_fx!$E$72,Tie_fx!$G$72,IF(C40=Tie_fx!$E$73,Tie_fx!$G$73,IF(C40=Tie_fx!$E$74,Tie_fx!$G$74,IF(C40=Tie_fx!$E$75,Tie_fx!$G$75,IF(C40=Tie_fx!$E$76,Tie_fx!$G$76,0))))))),IF(A40=Tie_fx!$I$52,Tie_fx!$G$77,IF(A40=Tie_fx!$I$53,IF(C40=Tie_fx!$E$78,Tie_fx!$G$78,IF(C40=Tie_fx!$E$79,Tie_fx!$G$79,IF(C40=Tie_fx!$E$80,Tie_fx!$G$80,IF(C40=Tie_fx!$E$81,Tie_fx!$G$81,IF(C40=Tie_fx!$E$82,Tie_fx!$G$82,IF(C40=Tie_fx!$E$83,Tie_fx!$G$83,IF(C40=Tie_fx!$E$84,Tie_fx!$G$84,0))))))),0))))))</f>
        <v>0</v>
      </c>
      <c r="H40">
        <f>IF(A40=Tie_fx!$I$48,IF(C40=Tie_fx!$E$49,Tie_fx!$G$49,IF(C40=Tie_fx!$E$50,Tie_fx!$G$50,IF(C40=Tie_fx!$E$51,Tie_fx!$G$51,IF(C40=Tie_fx!$E$52,Tie_fx!$G$52,IF(C40=Tie_fx!$E$53,Tie_fx!$G$53,IF(C40=Tie_fx!$E$54,Tie_fx!$G$54,IF(C40=Tie_fx!$E$55,Tie_fx!$G$55,0))))))),IF(A40=Tie_fx!$I$49,IF(C40=Tie_fx!$E$56,Tie_fx!$G$56,IF(C40=Tie_fx!$E$57,Tie_fx!$G$57,IF(C40=Tie_fx!$E$58,Tie_fx!$G$58,IF(C40=Tie_fx!$E$59,Tie_fx!$G$59,IF(C40=Tie_fx!$E$60,Tie_fx!$G$60,IF(C40=Tie_fx!$E$61,Tie_fx!$G$61,IF(C40=Tie_fx!$E$62,Tie_fx!$G$62,0))))))),IF(A40=Tie_fx!$I$50,IF(C40=Tie_fx!$E$63,Tie_fx!$G$63,IF(C40=Tie_fx!$E$64,Tie_fx!$G$64,IF(C40=Tie_fx!$E$65,Tie_fx!$G$65,IF(C40=Tie_fx!$E$66,Tie_fx!$F$66,IF(C40=Tie_fx!$E$67,Tie_fx!$F$67,IF(C40=Tie_fx!$E$68,Tie_fx!$F$68,IF(C40=Tie_fx!$E$69,Tie_fx!$F$69,0))))))),IF(A40=Tie_fx!$I$51,IF(C40=Tie_fx!$E$70,Tie_fx!$F$70,IF(C40=Tie_fx!$E$71,Tie_fx!$F$71,IF(C40=Tie_fx!$E$72,Tie_fx!$F$72,IF(C40=Tie_fx!$E$73,Tie_fx!$F$73,IF(C40=Tie_fx!$E$74,Tie_fx!$F$74,IF(C40=Tie_fx!$E$75,Tie_fx!$F$75,IF(C40=Tie_fx!$E$76,Tie_fx!$F$76,0))))))),IF(A40=Tie_fx!$I$52,Tie_fx!$F$77,IF(A40=Tie_fx!$I$53,IF(C40=Tie_fx!$E$78,Tie_fx!$F$78,IF(C40=Tie_fx!$E$79,Tie_fx!$F$79,IF(C40=Tie_fx!$E$80,Tie_fx!$F$80,IF(C40=Tie_fx!$E$81,Tie_fx!$F$81,IF(C40=Tie_fx!$E$82,Tie_fx!$F$82,IF(C40=Tie_fx!$E$83,Tie_fx!$F$83,IF(C40=Tie_fx!$E$84,Tie_fx!$F$84,0))))))),0))))))</f>
        <v>0</v>
      </c>
      <c r="I40">
        <f>IF(C40=Tie_fx!$F$33,Tie_fx!$G$33,IF(C40=Tie_fx!$F$34,Tie_fx!$G$34,IF(C40=Tie_fx!$F$35,Tie_fx!$G$35,IF(C40=Tie_fx!$F$36,Tie_fx!$G$36,IF(C40=Tie_fx!$F$37,Tie_fx!$G$37,IF(C40=Tie_fx!$F$38,Tie_fx!$G$38,IF(C40=Tie_fx!$F$39,Tie_fx!$G$39,0)))))))</f>
        <v>0</v>
      </c>
      <c r="J40" s="258">
        <f t="shared" si="1"/>
        <v>0</v>
      </c>
    </row>
    <row r="41" spans="1:12" ht="15.75" x14ac:dyDescent="0.25">
      <c r="A41" s="15">
        <f>Tie!A46</f>
        <v>0</v>
      </c>
      <c r="B41" s="15">
        <f>Tie!B46</f>
        <v>0</v>
      </c>
      <c r="C41" s="15">
        <f>Tie!C46</f>
        <v>0</v>
      </c>
      <c r="D41" s="15">
        <f>Tie!D46</f>
        <v>0</v>
      </c>
      <c r="E41" s="15">
        <f>Tie!E46</f>
        <v>0</v>
      </c>
      <c r="G41">
        <f>IF(A41=Tie_fx!$I$48,IF(C41=Tie_fx!$E$49,Tie_fx!$G$49,IF(C41=Tie_fx!$E$50,Tie_fx!$G$50,IF(C41=Tie_fx!$E$51,Tie_fx!$G$51,IF(C41=Tie_fx!$E$52,Tie_fx!$G$52,IF(C41=Tie_fx!$E$53,Tie_fx!$G$53,IF(C41=Tie_fx!$E$54,Tie_fx!$G$54,IF(C41=Tie_fx!$E$55,Tie_fx!$G$55,0))))))),IF(A41=Tie_fx!$I$49,IF(C41=Tie_fx!$E$56,Tie_fx!$G$56,IF(C41=Tie_fx!$E$57,Tie_fx!$G$57,IF(C41=Tie_fx!$E$58,Tie_fx!$G$58,IF(C41=Tie_fx!$E$59,Tie_fx!$G$59,IF(C41=Tie_fx!$E$60,Tie_fx!$G$60,IF(C41=Tie_fx!$E$61,Tie_fx!$G$61,IF(C41=Tie_fx!$E$62,Tie_fx!$G$62,0))))))),IF(A41=Tie_fx!$I$50,IF(C41=Tie_fx!$E$63,Tie_fx!$G$63,IF(C41=Tie_fx!$E$64,Tie_fx!$G$64,IF(C41=Tie_fx!$E$65,Tie_fx!$G$65,IF(C41=Tie_fx!$E$66,Tie_fx!$G$66,IF(C41=Tie_fx!$E$67,Tie_fx!$G$67,IF(C41=Tie_fx!$E$68,Tie_fx!$G$68,IF(C41=Tie_fx!$E$69,Tie_fx!$G$69,0))))))),IF(A41=Tie_fx!$I$51,IF(C41=Tie_fx!$E$70,Tie_fx!$G$70,IF(C41=Tie_fx!$E$71,Tie_fx!$G$71,IF(C41=Tie_fx!$E$72,Tie_fx!$G$72,IF(C41=Tie_fx!$E$73,Tie_fx!$G$73,IF(C41=Tie_fx!$E$74,Tie_fx!$G$74,IF(C41=Tie_fx!$E$75,Tie_fx!$G$75,IF(C41=Tie_fx!$E$76,Tie_fx!$G$76,0))))))),IF(A41=Tie_fx!$I$52,Tie_fx!$G$77,IF(A41=Tie_fx!$I$53,IF(C41=Tie_fx!$E$78,Tie_fx!$G$78,IF(C41=Tie_fx!$E$79,Tie_fx!$G$79,IF(C41=Tie_fx!$E$80,Tie_fx!$G$80,IF(C41=Tie_fx!$E$81,Tie_fx!$G$81,IF(C41=Tie_fx!$E$82,Tie_fx!$G$82,IF(C41=Tie_fx!$E$83,Tie_fx!$G$83,IF(C41=Tie_fx!$E$84,Tie_fx!$G$84,0))))))),0))))))</f>
        <v>0</v>
      </c>
      <c r="H41">
        <f>IF(A41=Tie_fx!$I$48,IF(C41=Tie_fx!$E$49,Tie_fx!$G$49,IF(C41=Tie_fx!$E$50,Tie_fx!$G$50,IF(C41=Tie_fx!$E$51,Tie_fx!$G$51,IF(C41=Tie_fx!$E$52,Tie_fx!$G$52,IF(C41=Tie_fx!$E$53,Tie_fx!$G$53,IF(C41=Tie_fx!$E$54,Tie_fx!$G$54,IF(C41=Tie_fx!$E$55,Tie_fx!$G$55,0))))))),IF(A41=Tie_fx!$I$49,IF(C41=Tie_fx!$E$56,Tie_fx!$G$56,IF(C41=Tie_fx!$E$57,Tie_fx!$G$57,IF(C41=Tie_fx!$E$58,Tie_fx!$G$58,IF(C41=Tie_fx!$E$59,Tie_fx!$G$59,IF(C41=Tie_fx!$E$60,Tie_fx!$G$60,IF(C41=Tie_fx!$E$61,Tie_fx!$G$61,IF(C41=Tie_fx!$E$62,Tie_fx!$G$62,0))))))),IF(A41=Tie_fx!$I$50,IF(C41=Tie_fx!$E$63,Tie_fx!$G$63,IF(C41=Tie_fx!$E$64,Tie_fx!$G$64,IF(C41=Tie_fx!$E$65,Tie_fx!$G$65,IF(C41=Tie_fx!$E$66,Tie_fx!$F$66,IF(C41=Tie_fx!$E$67,Tie_fx!$F$67,IF(C41=Tie_fx!$E$68,Tie_fx!$F$68,IF(C41=Tie_fx!$E$69,Tie_fx!$F$69,0))))))),IF(A41=Tie_fx!$I$51,IF(C41=Tie_fx!$E$70,Tie_fx!$F$70,IF(C41=Tie_fx!$E$71,Tie_fx!$F$71,IF(C41=Tie_fx!$E$72,Tie_fx!$F$72,IF(C41=Tie_fx!$E$73,Tie_fx!$F$73,IF(C41=Tie_fx!$E$74,Tie_fx!$F$74,IF(C41=Tie_fx!$E$75,Tie_fx!$F$75,IF(C41=Tie_fx!$E$76,Tie_fx!$F$76,0))))))),IF(A41=Tie_fx!$I$52,Tie_fx!$F$77,IF(A41=Tie_fx!$I$53,IF(C41=Tie_fx!$E$78,Tie_fx!$F$78,IF(C41=Tie_fx!$E$79,Tie_fx!$F$79,IF(C41=Tie_fx!$E$80,Tie_fx!$F$80,IF(C41=Tie_fx!$E$81,Tie_fx!$F$81,IF(C41=Tie_fx!$E$82,Tie_fx!$F$82,IF(C41=Tie_fx!$E$83,Tie_fx!$F$83,IF(C41=Tie_fx!$E$84,Tie_fx!$F$84,0))))))),0))))))</f>
        <v>0</v>
      </c>
      <c r="I41">
        <f>IF(C41=Tie_fx!$F$33,Tie_fx!$G$33,IF(C41=Tie_fx!$F$34,Tie_fx!$G$34,IF(C41=Tie_fx!$F$35,Tie_fx!$G$35,IF(C41=Tie_fx!$F$36,Tie_fx!$G$36,IF(C41=Tie_fx!$F$37,Tie_fx!$G$37,IF(C41=Tie_fx!$F$38,Tie_fx!$G$38,IF(C41=Tie_fx!$F$39,Tie_fx!$G$39,0)))))))</f>
        <v>0</v>
      </c>
      <c r="J41" s="258">
        <f t="shared" ref="J41:J42" si="2">((B41*$B$28*E41/2*G41)+(B41*$B$28*E41/2*H41)+(B41*$B$28*D41*I41))/1000000</f>
        <v>0</v>
      </c>
      <c r="L41" s="253" t="s">
        <v>8</v>
      </c>
    </row>
    <row r="42" spans="1:12" ht="19.5" thickBot="1" x14ac:dyDescent="0.35">
      <c r="A42" s="15">
        <f>Tie!A47</f>
        <v>0</v>
      </c>
      <c r="B42" s="15">
        <f>Tie!B47</f>
        <v>0</v>
      </c>
      <c r="C42" s="15">
        <f>Tie!C47</f>
        <v>0</v>
      </c>
      <c r="D42" s="15">
        <f>Tie!D47</f>
        <v>0</v>
      </c>
      <c r="E42" s="15">
        <f>Tie!E47</f>
        <v>0</v>
      </c>
      <c r="G42">
        <f>IF(A42=Tie_fx!$I$48,IF(C42=Tie_fx!$E$49,Tie_fx!$G$49,IF(C42=Tie_fx!$E$50,Tie_fx!$G$50,IF(C42=Tie_fx!$E$51,Tie_fx!$G$51,IF(C42=Tie_fx!$E$52,Tie_fx!$G$52,IF(C42=Tie_fx!$E$53,Tie_fx!$G$53,IF(C42=Tie_fx!$E$54,Tie_fx!$G$54,IF(C42=Tie_fx!$E$55,Tie_fx!$G$55,0))))))),IF(A42=Tie_fx!$I$49,IF(C42=Tie_fx!$E$56,Tie_fx!$G$56,IF(C42=Tie_fx!$E$57,Tie_fx!$G$57,IF(C42=Tie_fx!$E$58,Tie_fx!$G$58,IF(C42=Tie_fx!$E$59,Tie_fx!$G$59,IF(C42=Tie_fx!$E$60,Tie_fx!$G$60,IF(C42=Tie_fx!$E$61,Tie_fx!$G$61,IF(C42=Tie_fx!$E$62,Tie_fx!$G$62,0))))))),IF(A42=Tie_fx!$I$50,IF(C42=Tie_fx!$E$63,Tie_fx!$G$63,IF(C42=Tie_fx!$E$64,Tie_fx!$G$64,IF(C42=Tie_fx!$E$65,Tie_fx!$G$65,IF(C42=Tie_fx!$E$66,Tie_fx!$G$66,IF(C42=Tie_fx!$E$67,Tie_fx!$G$67,IF(C42=Tie_fx!$E$68,Tie_fx!$G$68,IF(C42=Tie_fx!$E$69,Tie_fx!$G$69,0))))))),IF(A42=Tie_fx!$I$51,IF(C42=Tie_fx!$E$70,Tie_fx!$G$70,IF(C42=Tie_fx!$E$71,Tie_fx!$G$71,IF(C42=Tie_fx!$E$72,Tie_fx!$G$72,IF(C42=Tie_fx!$E$73,Tie_fx!$G$73,IF(C42=Tie_fx!$E$74,Tie_fx!$G$74,IF(C42=Tie_fx!$E$75,Tie_fx!$G$75,IF(C42=Tie_fx!$E$76,Tie_fx!$G$76,0))))))),IF(A42=Tie_fx!$I$52,Tie_fx!$G$77,IF(A42=Tie_fx!$I$53,IF(C42=Tie_fx!$E$78,Tie_fx!$G$78,IF(C42=Tie_fx!$E$79,Tie_fx!$G$79,IF(C42=Tie_fx!$E$80,Tie_fx!$G$80,IF(C42=Tie_fx!$E$81,Tie_fx!$G$81,IF(C42=Tie_fx!$E$82,Tie_fx!$G$82,IF(C42=Tie_fx!$E$83,Tie_fx!$G$83,IF(C42=Tie_fx!$E$84,Tie_fx!$G$84,0))))))),0))))))</f>
        <v>0</v>
      </c>
      <c r="H42">
        <f>IF(A42=Tie_fx!$I$48,IF(C42=Tie_fx!$E$49,Tie_fx!$G$49,IF(C42=Tie_fx!$E$50,Tie_fx!$G$50,IF(C42=Tie_fx!$E$51,Tie_fx!$G$51,IF(C42=Tie_fx!$E$52,Tie_fx!$G$52,IF(C42=Tie_fx!$E$53,Tie_fx!$G$53,IF(C42=Tie_fx!$E$54,Tie_fx!$G$54,IF(C42=Tie_fx!$E$55,Tie_fx!$G$55,0))))))),IF(A42=Tie_fx!$I$49,IF(C42=Tie_fx!$E$56,Tie_fx!$G$56,IF(C42=Tie_fx!$E$57,Tie_fx!$G$57,IF(C42=Tie_fx!$E$58,Tie_fx!$G$58,IF(C42=Tie_fx!$E$59,Tie_fx!$G$59,IF(C42=Tie_fx!$E$60,Tie_fx!$G$60,IF(C42=Tie_fx!$E$61,Tie_fx!$G$61,IF(C42=Tie_fx!$E$62,Tie_fx!$G$62,0))))))),IF(A42=Tie_fx!$I$50,IF(C42=Tie_fx!$E$63,Tie_fx!$G$63,IF(C42=Tie_fx!$E$64,Tie_fx!$G$64,IF(C42=Tie_fx!$E$65,Tie_fx!$G$65,IF(C42=Tie_fx!$E$66,Tie_fx!$F$66,IF(C42=Tie_fx!$E$67,Tie_fx!$F$67,IF(C42=Tie_fx!$E$68,Tie_fx!$F$68,IF(C42=Tie_fx!$E$69,Tie_fx!$F$69,0))))))),IF(A42=Tie_fx!$I$51,IF(C42=Tie_fx!$E$70,Tie_fx!$F$70,IF(C42=Tie_fx!$E$71,Tie_fx!$F$71,IF(C42=Tie_fx!$E$72,Tie_fx!$F$72,IF(C42=Tie_fx!$E$73,Tie_fx!$F$73,IF(C42=Tie_fx!$E$74,Tie_fx!$F$74,IF(C42=Tie_fx!$E$75,Tie_fx!$F$75,IF(C42=Tie_fx!$E$76,Tie_fx!$F$76,0))))))),IF(A42=Tie_fx!$I$52,Tie_fx!$F$77,IF(A42=Tie_fx!$I$53,IF(C42=Tie_fx!$E$78,Tie_fx!$F$78,IF(C42=Tie_fx!$E$79,Tie_fx!$F$79,IF(C42=Tie_fx!$E$80,Tie_fx!$F$80,IF(C42=Tie_fx!$E$81,Tie_fx!$F$81,IF(C42=Tie_fx!$E$82,Tie_fx!$F$82,IF(C42=Tie_fx!$E$83,Tie_fx!$F$83,IF(C42=Tie_fx!$E$84,Tie_fx!$F$84,0))))))),0))))))</f>
        <v>0</v>
      </c>
      <c r="I42">
        <f>IF(C42=Tie_fx!$F$33,Tie_fx!$G$33,IF(C42=Tie_fx!$F$34,Tie_fx!$G$34,IF(C42=Tie_fx!$F$35,Tie_fx!$G$35,IF(C42=Tie_fx!$F$36,Tie_fx!$G$36,IF(C42=Tie_fx!$F$37,Tie_fx!$G$37,IF(C42=Tie_fx!$F$38,Tie_fx!$G$38,IF(C42=Tie_fx!$F$39,Tie_fx!$G$39,0)))))))</f>
        <v>0</v>
      </c>
      <c r="J42" s="258">
        <f t="shared" si="2"/>
        <v>0</v>
      </c>
      <c r="L42" s="259">
        <f>SUM(J12:J21,J31:J42,J23,J44:J46)</f>
        <v>0</v>
      </c>
    </row>
    <row r="43" spans="1:12" ht="15.75" thickTop="1" x14ac:dyDescent="0.25"/>
    <row r="44" spans="1:12" x14ac:dyDescent="0.25">
      <c r="A44" t="str">
        <f>Tie!A49</f>
        <v>Pakettiauto</v>
      </c>
      <c r="B44">
        <f>Tie!B49</f>
        <v>0</v>
      </c>
      <c r="C44">
        <f>Tie!C49</f>
        <v>0</v>
      </c>
      <c r="E44">
        <f>Tie!E49</f>
        <v>0</v>
      </c>
      <c r="G44">
        <f>IF(C44=Tie_fx!$E$85,Tie_fx!$G$85,IF(C44=Tie_fx!$E$86,Tie_fx!$G$86,IF(C44=Tie_fx!$E$87,Tie_fx!$G$87,IF(C44=Tie_fx!$E$88,Tie_fx!$G$88,IF(C44=Tie_fx!$E$89,Tie_fx!$G$89,IF(C44=Tie_fx!$E$90,Tie_fx!$G$90,IF(C44=Tie_fx!$E$91,Tie_fx!$G$91,0)))))))</f>
        <v>0</v>
      </c>
      <c r="H44">
        <f>IF(C44=Tie_fx!$E$85,Tie_fx!$F$85,IF(C44=Tie_fx!$E$86,Tie_fx!$F$86,IF(C44=Tie_fx!$E$87,Tie_fx!$F$87,IF(C44=Tie_fx!$E$88,Tie_fx!$F$88,IF(C44=Tie_fx!$E$89,Tie_fx!$F$89,IF(C44=Tie_fx!$E$90,Tie_fx!$F$90,IF(C44=Tie_fx!$E$91,Tie_fx!$F$91,0)))))))</f>
        <v>0</v>
      </c>
      <c r="J44" s="258">
        <f>((B44*$B$28*E44/2*G44)+(B44*$B$28*E44/2*H44))/1000000</f>
        <v>0</v>
      </c>
    </row>
    <row r="45" spans="1:12" x14ac:dyDescent="0.25">
      <c r="A45" t="str">
        <f>Tie!A50</f>
        <v>Pakettiauto</v>
      </c>
      <c r="B45">
        <f>Tie!B50</f>
        <v>0</v>
      </c>
      <c r="C45">
        <f>Tie!C50</f>
        <v>0</v>
      </c>
      <c r="E45">
        <f>Tie!E50</f>
        <v>0</v>
      </c>
      <c r="G45">
        <f>IF(C45=Tie_fx!$E$85,Tie_fx!$G$85,IF(C45=Tie_fx!$E$86,Tie_fx!$G$86,IF(C45=Tie_fx!$E$87,Tie_fx!$G$87,IF(C45=Tie_fx!$E$88,Tie_fx!$G$88,IF(C45=Tie_fx!$E$89,Tie_fx!$G$89,IF(C45=Tie_fx!$E$90,Tie_fx!$G$90,IF(C45=Tie_fx!$E$91,Tie_fx!$G$91,0)))))))</f>
        <v>0</v>
      </c>
      <c r="H45">
        <f>IF(C45=Tie_fx!$E$85,Tie_fx!$F$85,IF(C45=Tie_fx!$E$86,Tie_fx!$F$86,IF(C45=Tie_fx!$E$87,Tie_fx!$F$87,IF(C45=Tie_fx!$E$88,Tie_fx!$F$88,IF(C45=Tie_fx!$E$89,Tie_fx!$F$89,IF(C45=Tie_fx!$E$90,Tie_fx!$F$90,IF(C45=Tie_fx!$E$91,Tie_fx!$F$91,0)))))))</f>
        <v>0</v>
      </c>
      <c r="J45" s="258">
        <f t="shared" ref="J45:J46" si="3">((B45*$B$28*E45/2*G45)+(B45*$B$28*E45/2*H45))/1000000</f>
        <v>0</v>
      </c>
    </row>
    <row r="46" spans="1:12" x14ac:dyDescent="0.25">
      <c r="A46" t="str">
        <f>Tie!A51</f>
        <v>Pakettiauto</v>
      </c>
      <c r="B46">
        <f>Tie!B51</f>
        <v>0</v>
      </c>
      <c r="C46">
        <f>Tie!C51</f>
        <v>0</v>
      </c>
      <c r="E46">
        <f>Tie!E51</f>
        <v>0</v>
      </c>
      <c r="G46">
        <f>IF(C46=Tie_fx!$E$85,Tie_fx!$G$85,IF(C46=Tie_fx!$E$86,Tie_fx!$G$86,IF(C46=Tie_fx!$E$87,Tie_fx!$G$87,IF(C46=Tie_fx!$E$88,Tie_fx!$G$88,IF(C46=Tie_fx!$E$89,Tie_fx!$G$89,IF(C46=Tie_fx!$E$90,Tie_fx!$G$90,IF(C46=Tie_fx!$E$91,Tie_fx!$G$91,0)))))))</f>
        <v>0</v>
      </c>
      <c r="H46">
        <f>IF(C46=Tie_fx!$E$85,Tie_fx!$F$85,IF(C46=Tie_fx!$E$86,Tie_fx!$F$86,IF(C46=Tie_fx!$E$87,Tie_fx!$F$87,IF(C46=Tie_fx!$E$88,Tie_fx!$F$88,IF(C46=Tie_fx!$E$89,Tie_fx!$F$89,IF(C46=Tie_fx!$E$90,Tie_fx!$F$90,IF(C46=Tie_fx!$E$91,Tie_fx!$F$91,0)))))))</f>
        <v>0</v>
      </c>
      <c r="J46" s="258">
        <f t="shared" si="3"/>
        <v>0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EE243-D8EF-442C-B6B7-6B6BBA7C51C0}">
  <sheetPr>
    <tabColor rgb="FFCC99FF"/>
  </sheetPr>
  <dimension ref="A1:T51"/>
  <sheetViews>
    <sheetView showGridLines="0" showRowColHeaders="0" zoomScaleNormal="100" workbookViewId="0">
      <pane ySplit="3" topLeftCell="A4" activePane="bottomLeft" state="frozen"/>
      <selection pane="bottomLeft" activeCell="F35" sqref="F35"/>
    </sheetView>
  </sheetViews>
  <sheetFormatPr defaultRowHeight="15" x14ac:dyDescent="0.25"/>
  <cols>
    <col min="1" max="1" width="38.42578125" customWidth="1"/>
    <col min="2" max="6" width="21.85546875" customWidth="1"/>
    <col min="7" max="7" width="18.28515625" customWidth="1"/>
    <col min="8" max="8" width="19.7109375" customWidth="1"/>
    <col min="9" max="9" width="37.28515625" customWidth="1"/>
    <col min="10" max="10" width="21.85546875" customWidth="1"/>
    <col min="11" max="13" width="19.5703125" customWidth="1"/>
    <col min="14" max="14" width="18.85546875" customWidth="1"/>
  </cols>
  <sheetData>
    <row r="1" spans="1:20" s="148" customFormat="1" ht="129" customHeight="1" x14ac:dyDescent="0.25"/>
    <row r="2" spans="1:20" s="142" customFormat="1" ht="35.25" customHeight="1" x14ac:dyDescent="0.4">
      <c r="A2" s="142" t="s">
        <v>493</v>
      </c>
      <c r="B2" s="143"/>
      <c r="D2" s="143"/>
      <c r="F2" s="144"/>
      <c r="J2" s="143"/>
      <c r="K2" s="143"/>
      <c r="L2" s="143"/>
      <c r="M2" s="143"/>
      <c r="O2" s="143"/>
      <c r="P2" s="143"/>
      <c r="Q2" s="143"/>
      <c r="R2" s="143"/>
      <c r="S2" s="143"/>
      <c r="T2" s="143"/>
    </row>
    <row r="3" spans="1:20" s="200" customFormat="1" ht="27" customHeight="1" x14ac:dyDescent="0.3">
      <c r="A3" s="200" t="s">
        <v>559</v>
      </c>
      <c r="D3" s="200">
        <f>YHTEENVETO!D3</f>
        <v>2019</v>
      </c>
    </row>
    <row r="5" spans="1:20" x14ac:dyDescent="0.25">
      <c r="A5" s="5" t="s">
        <v>572</v>
      </c>
      <c r="B5" s="5"/>
      <c r="C5" s="5"/>
      <c r="D5" s="5"/>
      <c r="E5" s="5"/>
      <c r="F5" s="5"/>
      <c r="G5" s="5"/>
    </row>
    <row r="6" spans="1:20" x14ac:dyDescent="0.25">
      <c r="A6" s="5" t="s">
        <v>903</v>
      </c>
      <c r="B6" s="5"/>
      <c r="C6" s="5"/>
      <c r="D6" s="5"/>
      <c r="E6" s="5"/>
      <c r="F6" s="5"/>
      <c r="G6" s="5"/>
    </row>
    <row r="7" spans="1:20" x14ac:dyDescent="0.25">
      <c r="A7" s="5" t="s">
        <v>904</v>
      </c>
      <c r="B7" s="5"/>
      <c r="C7" s="5"/>
      <c r="D7" s="5"/>
      <c r="E7" s="5"/>
      <c r="F7" s="5"/>
      <c r="G7" s="5"/>
    </row>
    <row r="8" spans="1:20" x14ac:dyDescent="0.25">
      <c r="A8" s="5" t="s">
        <v>905</v>
      </c>
      <c r="B8" s="5"/>
      <c r="C8" s="5"/>
      <c r="D8" s="5"/>
      <c r="E8" s="5"/>
      <c r="F8" s="5"/>
      <c r="G8" s="5"/>
    </row>
    <row r="9" spans="1:20" x14ac:dyDescent="0.25">
      <c r="A9" s="5" t="s">
        <v>573</v>
      </c>
      <c r="B9" s="5"/>
      <c r="C9" s="5"/>
      <c r="D9" s="5"/>
      <c r="E9" s="5"/>
      <c r="F9" s="5"/>
      <c r="G9" s="5"/>
    </row>
    <row r="10" spans="1:20" x14ac:dyDescent="0.25">
      <c r="A10" s="5" t="s">
        <v>574</v>
      </c>
      <c r="B10" s="5"/>
      <c r="C10" s="5"/>
      <c r="D10" s="5"/>
      <c r="E10" s="5"/>
      <c r="F10" s="5"/>
      <c r="G10" s="5"/>
    </row>
    <row r="11" spans="1:20" x14ac:dyDescent="0.25">
      <c r="A11" s="5" t="s">
        <v>575</v>
      </c>
      <c r="B11" s="5"/>
      <c r="C11" s="5"/>
      <c r="D11" s="5"/>
      <c r="E11" s="5"/>
      <c r="F11" s="5"/>
      <c r="G11" s="5"/>
    </row>
    <row r="14" spans="1:20" ht="15.75" x14ac:dyDescent="0.25">
      <c r="A14" s="238" t="s">
        <v>906</v>
      </c>
      <c r="B14" s="216"/>
      <c r="C14" s="216"/>
      <c r="D14" s="216"/>
      <c r="E14" s="216"/>
      <c r="H14" s="245" t="s">
        <v>909</v>
      </c>
      <c r="I14" s="246"/>
      <c r="J14" s="246"/>
      <c r="K14" s="246"/>
    </row>
    <row r="15" spans="1:20" x14ac:dyDescent="0.25">
      <c r="A15" s="251" t="s">
        <v>563</v>
      </c>
      <c r="B15" s="236"/>
      <c r="C15" s="236"/>
      <c r="H15" s="5" t="s">
        <v>910</v>
      </c>
      <c r="I15" s="5"/>
      <c r="J15" s="5"/>
      <c r="K15" s="5"/>
      <c r="L15" s="5"/>
      <c r="M15" s="5"/>
      <c r="N15" s="5"/>
    </row>
    <row r="16" spans="1:20" ht="49.5" customHeight="1" x14ac:dyDescent="0.25">
      <c r="A16" s="217" t="s">
        <v>564</v>
      </c>
      <c r="B16" s="217" t="s">
        <v>565</v>
      </c>
      <c r="C16" s="217" t="s">
        <v>566</v>
      </c>
      <c r="D16" s="217" t="s">
        <v>907</v>
      </c>
      <c r="E16" s="217" t="s">
        <v>908</v>
      </c>
      <c r="H16" s="5" t="s">
        <v>576</v>
      </c>
      <c r="I16" s="5"/>
      <c r="J16" s="5"/>
      <c r="K16" s="5"/>
      <c r="L16" s="5"/>
      <c r="M16" s="5"/>
      <c r="N16" s="5"/>
    </row>
    <row r="17" spans="1:14" x14ac:dyDescent="0.25">
      <c r="A17" s="252"/>
      <c r="B17" s="256"/>
      <c r="C17" s="20"/>
      <c r="D17" s="20"/>
      <c r="E17" s="20"/>
      <c r="H17" s="5" t="s">
        <v>577</v>
      </c>
      <c r="I17" s="5"/>
      <c r="J17" s="5"/>
      <c r="K17" s="5"/>
      <c r="L17" s="5"/>
      <c r="M17" s="5"/>
      <c r="N17" s="5"/>
    </row>
    <row r="18" spans="1:14" x14ac:dyDescent="0.25">
      <c r="A18" s="20"/>
      <c r="B18" s="20"/>
      <c r="C18" s="20"/>
      <c r="D18" s="252"/>
      <c r="E18" s="20"/>
    </row>
    <row r="19" spans="1:14" ht="36" x14ac:dyDescent="0.25">
      <c r="A19" s="20"/>
      <c r="B19" s="20"/>
      <c r="C19" s="20"/>
      <c r="D19" s="20"/>
      <c r="E19" s="20"/>
      <c r="H19" s="217" t="s">
        <v>578</v>
      </c>
      <c r="I19" s="217" t="s">
        <v>579</v>
      </c>
      <c r="J19" s="217" t="s">
        <v>580</v>
      </c>
      <c r="K19" s="217" t="s">
        <v>581</v>
      </c>
    </row>
    <row r="20" spans="1:14" x14ac:dyDescent="0.25">
      <c r="A20" s="20"/>
      <c r="B20" s="20"/>
      <c r="C20" s="20"/>
      <c r="D20" s="20"/>
      <c r="E20" s="20"/>
      <c r="H20" s="20"/>
      <c r="I20" s="252"/>
      <c r="J20" s="20"/>
      <c r="K20" s="304" t="e">
        <f>H20/J20</f>
        <v>#DIV/0!</v>
      </c>
    </row>
    <row r="21" spans="1:14" x14ac:dyDescent="0.25">
      <c r="A21" s="20"/>
      <c r="B21" s="20"/>
      <c r="C21" s="20"/>
      <c r="D21" s="20"/>
      <c r="E21" s="20"/>
      <c r="H21" s="20"/>
      <c r="I21" s="20"/>
      <c r="J21" s="20"/>
      <c r="K21" s="304" t="e">
        <f t="shared" ref="K21:K23" si="0">H21/J21</f>
        <v>#DIV/0!</v>
      </c>
    </row>
    <row r="22" spans="1:14" x14ac:dyDescent="0.25">
      <c r="A22" s="20"/>
      <c r="B22" s="20"/>
      <c r="C22" s="20"/>
      <c r="D22" s="20"/>
      <c r="E22" s="20"/>
      <c r="H22" s="20"/>
      <c r="I22" s="20"/>
      <c r="J22" s="20"/>
      <c r="K22" s="304" t="e">
        <f t="shared" si="0"/>
        <v>#DIV/0!</v>
      </c>
    </row>
    <row r="23" spans="1:14" x14ac:dyDescent="0.25">
      <c r="A23" s="20"/>
      <c r="B23" s="20"/>
      <c r="C23" s="20"/>
      <c r="D23" s="20"/>
      <c r="E23" s="20"/>
      <c r="H23" s="20"/>
      <c r="I23" s="20"/>
      <c r="J23" s="20"/>
      <c r="K23" s="304" t="e">
        <f t="shared" si="0"/>
        <v>#DIV/0!</v>
      </c>
    </row>
    <row r="24" spans="1:14" x14ac:dyDescent="0.25">
      <c r="A24" s="20"/>
      <c r="B24" s="20"/>
      <c r="C24" s="20"/>
      <c r="D24" s="20"/>
      <c r="E24" s="20"/>
    </row>
    <row r="25" spans="1:14" x14ac:dyDescent="0.25">
      <c r="A25" s="20"/>
      <c r="B25" s="20"/>
      <c r="C25" s="20"/>
      <c r="D25" s="20"/>
      <c r="E25" s="20"/>
    </row>
    <row r="26" spans="1:14" x14ac:dyDescent="0.25">
      <c r="A26" s="20"/>
      <c r="B26" s="20"/>
      <c r="C26" s="20"/>
      <c r="D26" s="20"/>
      <c r="E26" s="20"/>
    </row>
    <row r="28" spans="1:14" x14ac:dyDescent="0.25">
      <c r="A28" s="148" t="s">
        <v>552</v>
      </c>
      <c r="B28" s="20"/>
      <c r="C28" s="20"/>
      <c r="D28" s="148"/>
      <c r="E28" s="20"/>
    </row>
    <row r="31" spans="1:14" x14ac:dyDescent="0.25">
      <c r="A31" s="251" t="s">
        <v>570</v>
      </c>
      <c r="B31" s="236"/>
      <c r="C31" s="236"/>
    </row>
    <row r="33" spans="1:6" ht="24" x14ac:dyDescent="0.25">
      <c r="A33" s="217" t="s">
        <v>911</v>
      </c>
      <c r="B33" s="20"/>
    </row>
    <row r="35" spans="1:6" ht="48" x14ac:dyDescent="0.25">
      <c r="A35" s="217" t="s">
        <v>564</v>
      </c>
      <c r="B35" s="217" t="s">
        <v>571</v>
      </c>
      <c r="C35" s="217" t="s">
        <v>566</v>
      </c>
      <c r="D35" s="217" t="s">
        <v>907</v>
      </c>
      <c r="E35" s="217" t="s">
        <v>908</v>
      </c>
      <c r="F35" s="217"/>
    </row>
    <row r="36" spans="1:6" x14ac:dyDescent="0.25">
      <c r="A36" s="252"/>
      <c r="B36" s="257"/>
      <c r="C36" s="20"/>
      <c r="D36" s="20"/>
      <c r="E36" s="20"/>
    </row>
    <row r="37" spans="1:6" x14ac:dyDescent="0.25">
      <c r="A37" s="20"/>
      <c r="B37" s="257"/>
      <c r="C37" s="20"/>
      <c r="D37" s="20"/>
      <c r="E37" s="20"/>
    </row>
    <row r="38" spans="1:6" x14ac:dyDescent="0.25">
      <c r="A38" s="20"/>
      <c r="B38" s="257"/>
      <c r="C38" s="20"/>
      <c r="D38" s="20"/>
      <c r="E38" s="20"/>
    </row>
    <row r="39" spans="1:6" x14ac:dyDescent="0.25">
      <c r="A39" s="20"/>
      <c r="B39" s="257"/>
      <c r="C39" s="20"/>
      <c r="D39" s="20"/>
      <c r="E39" s="20"/>
    </row>
    <row r="40" spans="1:6" x14ac:dyDescent="0.25">
      <c r="A40" s="20"/>
      <c r="B40" s="257"/>
      <c r="C40" s="20"/>
      <c r="D40" s="20"/>
      <c r="E40" s="20"/>
    </row>
    <row r="41" spans="1:6" x14ac:dyDescent="0.25">
      <c r="A41" s="20"/>
      <c r="B41" s="257"/>
      <c r="C41" s="20"/>
      <c r="D41" s="20"/>
      <c r="E41" s="20"/>
    </row>
    <row r="42" spans="1:6" x14ac:dyDescent="0.25">
      <c r="A42" s="20"/>
      <c r="B42" s="257"/>
      <c r="C42" s="20"/>
      <c r="D42" s="20"/>
      <c r="E42" s="20"/>
    </row>
    <row r="43" spans="1:6" x14ac:dyDescent="0.25">
      <c r="A43" s="20"/>
      <c r="B43" s="257"/>
      <c r="C43" s="20"/>
      <c r="D43" s="20"/>
      <c r="E43" s="20"/>
    </row>
    <row r="44" spans="1:6" x14ac:dyDescent="0.25">
      <c r="A44" s="20"/>
      <c r="B44" s="257"/>
      <c r="C44" s="20"/>
      <c r="D44" s="20"/>
      <c r="E44" s="20"/>
    </row>
    <row r="45" spans="1:6" x14ac:dyDescent="0.25">
      <c r="A45" s="20"/>
      <c r="B45" s="257"/>
      <c r="C45" s="20"/>
      <c r="D45" s="20"/>
      <c r="E45" s="20"/>
    </row>
    <row r="46" spans="1:6" x14ac:dyDescent="0.25">
      <c r="A46" s="20"/>
      <c r="B46" s="257"/>
      <c r="C46" s="20"/>
      <c r="D46" s="20"/>
      <c r="E46" s="20"/>
    </row>
    <row r="47" spans="1:6" x14ac:dyDescent="0.25">
      <c r="A47" s="20"/>
      <c r="B47" s="257"/>
      <c r="C47" s="20"/>
      <c r="D47" s="20"/>
      <c r="E47" s="20"/>
    </row>
    <row r="49" spans="1:5" x14ac:dyDescent="0.25">
      <c r="A49" s="148" t="s">
        <v>552</v>
      </c>
      <c r="B49" s="20"/>
      <c r="C49" s="20"/>
      <c r="D49" s="148"/>
      <c r="E49" s="20"/>
    </row>
    <row r="50" spans="1:5" x14ac:dyDescent="0.25">
      <c r="A50" s="148" t="s">
        <v>552</v>
      </c>
      <c r="B50" s="20"/>
      <c r="C50" s="20"/>
      <c r="D50" s="148"/>
      <c r="E50" s="20"/>
    </row>
    <row r="51" spans="1:5" x14ac:dyDescent="0.25">
      <c r="A51" s="148" t="s">
        <v>552</v>
      </c>
      <c r="B51" s="20"/>
      <c r="C51" s="20"/>
      <c r="D51" s="148"/>
      <c r="E51" s="20"/>
    </row>
  </sheetData>
  <dataConsolidate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489ACC2-7218-4202-944D-CA8E0A802BD5}">
          <x14:formula1>
            <xm:f>Tie_fx!$I$48:$I$53</xm:f>
          </x14:formula1>
          <xm:sqref>I20:I23 A17:A26 A36:A47</xm:sqref>
        </x14:dataValidation>
        <x14:dataValidation type="list" allowBlank="1" showInputMessage="1" showErrorMessage="1" xr:uid="{BBE41593-031A-47FD-AFDD-C30A9256ADA9}">
          <x14:formula1>
            <xm:f>Tie_fx!$E$49:$E$55</xm:f>
          </x14:formula1>
          <xm:sqref>C17:C26 C36:C47</xm:sqref>
        </x14:dataValidation>
        <x14:dataValidation type="list" allowBlank="1" showInputMessage="1" showErrorMessage="1" xr:uid="{B10C1F42-F20C-47DD-BEC1-55EF3A225B3A}">
          <x14:formula1>
            <xm:f>Tie_fx!$E$85:$E$91</xm:f>
          </x14:formula1>
          <xm:sqref>C28 C49:C51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AFB2E-67CB-4097-A5E5-B75D4342C121}">
  <sheetPr codeName="Sheet4">
    <tabColor rgb="FFCCFF33"/>
  </sheetPr>
  <dimension ref="A1:T60"/>
  <sheetViews>
    <sheetView workbookViewId="0">
      <pane ySplit="2" topLeftCell="A37" activePane="bottomLeft" state="frozen"/>
      <selection activeCell="F13" sqref="F13"/>
      <selection pane="bottomLeft" activeCell="F13" sqref="F13"/>
    </sheetView>
  </sheetViews>
  <sheetFormatPr defaultRowHeight="15" x14ac:dyDescent="0.25"/>
  <cols>
    <col min="1" max="1" width="15" customWidth="1"/>
    <col min="2" max="2" width="20.85546875" customWidth="1"/>
    <col min="3" max="3" width="24" customWidth="1"/>
    <col min="4" max="4" width="13.28515625" customWidth="1"/>
    <col min="5" max="5" width="15.85546875" customWidth="1"/>
    <col min="6" max="6" width="18.7109375" customWidth="1"/>
    <col min="7" max="7" width="19.28515625" customWidth="1"/>
    <col min="8" max="9" width="27.140625" customWidth="1"/>
    <col min="10" max="10" width="25.5703125" customWidth="1"/>
    <col min="11" max="11" width="24.7109375" customWidth="1"/>
    <col min="12" max="12" width="36.28515625" customWidth="1"/>
    <col min="17" max="18" width="16.42578125" customWidth="1"/>
  </cols>
  <sheetData>
    <row r="1" spans="1:20" s="148" customFormat="1" ht="129" customHeight="1" x14ac:dyDescent="0.25"/>
    <row r="2" spans="1:20" s="164" customFormat="1" ht="35.25" customHeight="1" x14ac:dyDescent="0.4">
      <c r="A2" s="164" t="s">
        <v>868</v>
      </c>
      <c r="B2" s="165"/>
      <c r="D2" s="165"/>
      <c r="F2" s="166"/>
      <c r="J2" s="165"/>
      <c r="K2" s="165"/>
      <c r="L2" s="165"/>
      <c r="M2" s="165"/>
      <c r="O2" s="165"/>
      <c r="P2" s="165"/>
      <c r="Q2" s="165"/>
      <c r="R2" s="165"/>
      <c r="S2" s="165"/>
      <c r="T2" s="165"/>
    </row>
    <row r="3" spans="1:20" ht="15.75" thickBot="1" x14ac:dyDescent="0.3"/>
    <row r="4" spans="1:20" ht="18.75" x14ac:dyDescent="0.3">
      <c r="A4" s="2" t="s">
        <v>582</v>
      </c>
      <c r="G4" s="7" t="s">
        <v>104</v>
      </c>
      <c r="H4" s="8" t="s">
        <v>105</v>
      </c>
      <c r="I4" s="8" t="s">
        <v>106</v>
      </c>
      <c r="J4" s="9" t="s">
        <v>107</v>
      </c>
    </row>
    <row r="5" spans="1:20" ht="15.75" thickBot="1" x14ac:dyDescent="0.3">
      <c r="G5" s="10"/>
      <c r="H5" s="11">
        <v>1</v>
      </c>
      <c r="I5" s="11">
        <v>25</v>
      </c>
      <c r="J5" s="12">
        <v>298</v>
      </c>
    </row>
    <row r="6" spans="1:20" ht="15.75" x14ac:dyDescent="0.25">
      <c r="A6" s="47" t="s">
        <v>583</v>
      </c>
    </row>
    <row r="7" spans="1:20" x14ac:dyDescent="0.25">
      <c r="A7" s="125" t="s">
        <v>584</v>
      </c>
      <c r="G7" s="5" t="s">
        <v>468</v>
      </c>
      <c r="H7" s="5"/>
      <c r="I7" s="5"/>
      <c r="J7" s="5"/>
    </row>
    <row r="8" spans="1:20" ht="15.75" thickBot="1" x14ac:dyDescent="0.3">
      <c r="G8" s="5" t="s">
        <v>470</v>
      </c>
      <c r="H8" s="5"/>
      <c r="I8" s="5"/>
      <c r="J8" s="5"/>
    </row>
    <row r="9" spans="1:20" x14ac:dyDescent="0.25">
      <c r="A9" t="s">
        <v>585</v>
      </c>
      <c r="G9" s="67" t="s">
        <v>51</v>
      </c>
      <c r="H9" s="105"/>
    </row>
    <row r="10" spans="1:20" x14ac:dyDescent="0.25">
      <c r="A10" t="s">
        <v>586</v>
      </c>
      <c r="G10" s="55" t="s">
        <v>53</v>
      </c>
      <c r="H10" s="56" t="s">
        <v>54</v>
      </c>
      <c r="J10" s="42" t="s">
        <v>91</v>
      </c>
    </row>
    <row r="11" spans="1:20" x14ac:dyDescent="0.25">
      <c r="A11" t="s">
        <v>587</v>
      </c>
      <c r="G11" s="132">
        <v>2018</v>
      </c>
      <c r="H11" s="133">
        <v>119</v>
      </c>
      <c r="J11" t="s">
        <v>55</v>
      </c>
    </row>
    <row r="12" spans="1:20" x14ac:dyDescent="0.25">
      <c r="G12" s="156">
        <v>2019</v>
      </c>
      <c r="H12" s="163">
        <v>101</v>
      </c>
      <c r="J12" t="s">
        <v>57</v>
      </c>
    </row>
    <row r="13" spans="1:20" ht="15.75" thickBot="1" x14ac:dyDescent="0.3">
      <c r="G13" s="134">
        <v>2020</v>
      </c>
      <c r="H13" s="135">
        <v>72</v>
      </c>
    </row>
    <row r="14" spans="1:20" ht="18.75" x14ac:dyDescent="0.3">
      <c r="A14" s="2" t="s">
        <v>588</v>
      </c>
    </row>
    <row r="16" spans="1:20" ht="15.75" x14ac:dyDescent="0.25">
      <c r="A16" s="353" t="s">
        <v>589</v>
      </c>
      <c r="B16" s="236"/>
    </row>
    <row r="17" spans="1:12" ht="15.75" thickBot="1" x14ac:dyDescent="0.3"/>
    <row r="18" spans="1:12" ht="15.75" x14ac:dyDescent="0.25">
      <c r="A18" s="47" t="s">
        <v>590</v>
      </c>
      <c r="G18" s="67" t="s">
        <v>591</v>
      </c>
      <c r="H18" s="23"/>
      <c r="I18" s="23"/>
      <c r="J18" s="23"/>
      <c r="K18" s="24"/>
    </row>
    <row r="19" spans="1:12" x14ac:dyDescent="0.25">
      <c r="G19" s="55" t="s">
        <v>592</v>
      </c>
      <c r="H19" s="50" t="s">
        <v>593</v>
      </c>
      <c r="I19" s="50" t="s">
        <v>170</v>
      </c>
      <c r="J19" s="50" t="s">
        <v>170</v>
      </c>
      <c r="K19" s="56" t="s">
        <v>170</v>
      </c>
    </row>
    <row r="20" spans="1:12" ht="15.75" x14ac:dyDescent="0.25">
      <c r="A20" s="47" t="s">
        <v>851</v>
      </c>
      <c r="G20" s="64"/>
      <c r="H20" s="17"/>
      <c r="I20" s="17" t="s">
        <v>594</v>
      </c>
      <c r="J20" s="17" t="s">
        <v>595</v>
      </c>
      <c r="K20" s="65" t="s">
        <v>596</v>
      </c>
      <c r="L20" s="55" t="s">
        <v>592</v>
      </c>
    </row>
    <row r="21" spans="1:12" x14ac:dyDescent="0.25">
      <c r="G21" s="156" t="s">
        <v>597</v>
      </c>
      <c r="H21" s="148"/>
      <c r="I21" s="148">
        <v>13382</v>
      </c>
      <c r="J21" s="148">
        <v>25.5</v>
      </c>
      <c r="K21" s="149" t="s">
        <v>138</v>
      </c>
      <c r="L21" t="s">
        <v>597</v>
      </c>
    </row>
    <row r="22" spans="1:12" x14ac:dyDescent="0.25">
      <c r="G22" s="27" t="s">
        <v>598</v>
      </c>
      <c r="H22" s="20" t="s">
        <v>599</v>
      </c>
      <c r="I22" s="20">
        <v>13343</v>
      </c>
      <c r="J22" s="20">
        <v>17.100000000000001</v>
      </c>
      <c r="K22" s="26" t="s">
        <v>138</v>
      </c>
      <c r="L22" t="s">
        <v>598</v>
      </c>
    </row>
    <row r="23" spans="1:12" x14ac:dyDescent="0.25">
      <c r="G23" s="27"/>
      <c r="H23" s="20" t="s">
        <v>600</v>
      </c>
      <c r="I23" s="20">
        <v>10677</v>
      </c>
      <c r="J23" s="20" t="s">
        <v>138</v>
      </c>
      <c r="K23" s="26" t="s">
        <v>138</v>
      </c>
      <c r="L23" t="s">
        <v>601</v>
      </c>
    </row>
    <row r="24" spans="1:12" x14ac:dyDescent="0.25">
      <c r="G24" s="147" t="s">
        <v>601</v>
      </c>
      <c r="H24" s="148" t="s">
        <v>599</v>
      </c>
      <c r="I24" s="148">
        <v>13650</v>
      </c>
      <c r="J24" s="148">
        <v>10.199999999999999</v>
      </c>
      <c r="K24" s="149" t="s">
        <v>138</v>
      </c>
      <c r="L24" t="s">
        <v>602</v>
      </c>
    </row>
    <row r="25" spans="1:12" x14ac:dyDescent="0.25">
      <c r="G25" s="147"/>
      <c r="H25" s="148" t="s">
        <v>600</v>
      </c>
      <c r="I25" s="148">
        <v>11671</v>
      </c>
      <c r="J25" s="148" t="s">
        <v>138</v>
      </c>
      <c r="K25" s="149" t="s">
        <v>138</v>
      </c>
    </row>
    <row r="26" spans="1:12" ht="15.75" thickBot="1" x14ac:dyDescent="0.3">
      <c r="G26" s="68" t="s">
        <v>602</v>
      </c>
      <c r="H26" s="69"/>
      <c r="I26" s="69">
        <v>12296</v>
      </c>
      <c r="J26" s="69">
        <v>18</v>
      </c>
      <c r="K26" s="70">
        <v>124</v>
      </c>
    </row>
    <row r="32" spans="1:12" ht="16.5" thickBot="1" x14ac:dyDescent="0.3">
      <c r="A32" s="172" t="s">
        <v>603</v>
      </c>
    </row>
    <row r="33" spans="1:10" x14ac:dyDescent="0.25">
      <c r="G33" s="67" t="s">
        <v>604</v>
      </c>
      <c r="H33" s="23"/>
      <c r="I33" s="23"/>
      <c r="J33" s="24"/>
    </row>
    <row r="34" spans="1:10" ht="15.75" x14ac:dyDescent="0.25">
      <c r="A34" s="47" t="s">
        <v>605</v>
      </c>
      <c r="G34" s="55" t="s">
        <v>390</v>
      </c>
      <c r="H34" s="50" t="s">
        <v>105</v>
      </c>
      <c r="I34" s="50" t="s">
        <v>106</v>
      </c>
      <c r="J34" s="56" t="s">
        <v>107</v>
      </c>
    </row>
    <row r="35" spans="1:10" x14ac:dyDescent="0.25">
      <c r="G35" s="64"/>
      <c r="H35" s="17" t="s">
        <v>606</v>
      </c>
      <c r="I35" s="17" t="s">
        <v>606</v>
      </c>
      <c r="J35" s="65" t="s">
        <v>606</v>
      </c>
    </row>
    <row r="36" spans="1:10" ht="15.75" thickBot="1" x14ac:dyDescent="0.3">
      <c r="G36" s="150" t="s">
        <v>394</v>
      </c>
      <c r="H36" s="151">
        <v>2.6764919999999999E-3</v>
      </c>
      <c r="I36" s="151">
        <f>I5*0.000000149898</f>
        <v>3.7474500000000004E-6</v>
      </c>
      <c r="J36" s="152">
        <f>0.000001033032*J5</f>
        <v>3.07843536E-4</v>
      </c>
    </row>
    <row r="39" spans="1:10" ht="15.75" x14ac:dyDescent="0.25">
      <c r="A39" s="172" t="s">
        <v>607</v>
      </c>
    </row>
    <row r="40" spans="1:10" ht="15.75" thickBot="1" x14ac:dyDescent="0.3"/>
    <row r="41" spans="1:10" ht="15.75" x14ac:dyDescent="0.25">
      <c r="A41" s="47" t="s">
        <v>608</v>
      </c>
      <c r="G41" s="7" t="s">
        <v>328</v>
      </c>
      <c r="H41" s="8"/>
      <c r="I41" s="8"/>
      <c r="J41" s="9"/>
    </row>
    <row r="42" spans="1:10" ht="30.75" thickBot="1" x14ac:dyDescent="0.3">
      <c r="A42" s="47" t="s">
        <v>857</v>
      </c>
      <c r="G42" s="169" t="s">
        <v>609</v>
      </c>
      <c r="H42" s="11" t="s">
        <v>610</v>
      </c>
      <c r="I42" s="11">
        <v>1.341</v>
      </c>
      <c r="J42" s="12" t="s">
        <v>611</v>
      </c>
    </row>
    <row r="43" spans="1:10" x14ac:dyDescent="0.25">
      <c r="A43" s="125" t="s">
        <v>612</v>
      </c>
    </row>
    <row r="44" spans="1:10" ht="15.75" thickBot="1" x14ac:dyDescent="0.3"/>
    <row r="45" spans="1:10" x14ac:dyDescent="0.25">
      <c r="B45" s="170" t="s">
        <v>858</v>
      </c>
      <c r="C45" s="171"/>
      <c r="F45" s="67" t="s">
        <v>613</v>
      </c>
      <c r="G45" s="23"/>
      <c r="H45" s="23"/>
      <c r="I45" s="24"/>
    </row>
    <row r="46" spans="1:10" x14ac:dyDescent="0.25">
      <c r="B46" s="50" t="s">
        <v>614</v>
      </c>
      <c r="C46" s="50" t="s">
        <v>852</v>
      </c>
      <c r="F46" s="173" t="s">
        <v>850</v>
      </c>
      <c r="G46" s="174"/>
      <c r="H46" s="174"/>
      <c r="I46" s="175"/>
    </row>
    <row r="47" spans="1:10" x14ac:dyDescent="0.25">
      <c r="B47" s="20" t="s">
        <v>615</v>
      </c>
      <c r="C47" s="20">
        <v>2.1000000000000001E-2</v>
      </c>
      <c r="F47" s="55" t="s">
        <v>105</v>
      </c>
      <c r="G47" s="50" t="s">
        <v>106</v>
      </c>
      <c r="H47" s="50" t="s">
        <v>107</v>
      </c>
      <c r="I47" s="56"/>
    </row>
    <row r="48" spans="1:10" x14ac:dyDescent="0.25">
      <c r="B48" s="148" t="s">
        <v>616</v>
      </c>
      <c r="C48" s="148">
        <v>4.0000000000000001E-3</v>
      </c>
      <c r="F48" s="64" t="s">
        <v>135</v>
      </c>
      <c r="G48" s="17" t="s">
        <v>135</v>
      </c>
      <c r="H48" s="17" t="s">
        <v>135</v>
      </c>
      <c r="I48" s="65"/>
    </row>
    <row r="49" spans="2:9" x14ac:dyDescent="0.25">
      <c r="B49" s="20" t="s">
        <v>617</v>
      </c>
      <c r="C49" s="20">
        <v>0.05</v>
      </c>
      <c r="F49" s="147">
        <f>489*I42</f>
        <v>655.74900000000002</v>
      </c>
      <c r="G49" s="148">
        <f>0.04*I42*I5</f>
        <v>1.341</v>
      </c>
      <c r="H49" s="148">
        <f>0.013*J5*I42</f>
        <v>5.1950339999999997</v>
      </c>
      <c r="I49" s="149"/>
    </row>
    <row r="50" spans="2:9" x14ac:dyDescent="0.25">
      <c r="B50" s="148" t="s">
        <v>618</v>
      </c>
      <c r="C50" s="148">
        <v>0.114</v>
      </c>
      <c r="F50" s="29"/>
      <c r="I50" s="28"/>
    </row>
    <row r="51" spans="2:9" x14ac:dyDescent="0.25">
      <c r="B51" s="20" t="s">
        <v>619</v>
      </c>
      <c r="C51" s="20">
        <v>0.23499999999999999</v>
      </c>
      <c r="F51" s="173" t="s">
        <v>620</v>
      </c>
      <c r="G51" s="174"/>
      <c r="H51" s="174"/>
      <c r="I51" s="175"/>
    </row>
    <row r="52" spans="2:9" x14ac:dyDescent="0.25">
      <c r="B52" s="148" t="s">
        <v>621</v>
      </c>
      <c r="C52" s="148">
        <v>0.34300000000000003</v>
      </c>
      <c r="F52" s="55" t="s">
        <v>622</v>
      </c>
      <c r="G52" s="50" t="s">
        <v>105</v>
      </c>
      <c r="H52" s="50" t="s">
        <v>106</v>
      </c>
      <c r="I52" s="56" t="s">
        <v>107</v>
      </c>
    </row>
    <row r="53" spans="2:9" x14ac:dyDescent="0.25">
      <c r="B53" s="20" t="s">
        <v>623</v>
      </c>
      <c r="C53" s="20">
        <v>0.48099999999999998</v>
      </c>
      <c r="F53" s="64"/>
      <c r="G53" s="17" t="s">
        <v>135</v>
      </c>
      <c r="H53" s="17" t="s">
        <v>135</v>
      </c>
      <c r="I53" s="65" t="s">
        <v>135</v>
      </c>
    </row>
    <row r="54" spans="2:9" x14ac:dyDescent="0.25">
      <c r="B54" s="148" t="s">
        <v>624</v>
      </c>
      <c r="C54" s="148">
        <v>0.64300000000000002</v>
      </c>
      <c r="F54" s="147" t="s">
        <v>625</v>
      </c>
      <c r="G54" s="155">
        <f t="shared" ref="G54:G59" si="0">678*$I$42</f>
        <v>909.19799999999998</v>
      </c>
      <c r="H54" s="176">
        <f t="shared" ref="H54:H59" si="1">0.017*$I$42*$I$5</f>
        <v>0.56992500000000001</v>
      </c>
      <c r="I54" s="177">
        <f t="shared" ref="I54:I60" si="2">0.05*$I$42*$J$5</f>
        <v>19.980899999999998</v>
      </c>
    </row>
    <row r="55" spans="2:9" x14ac:dyDescent="0.25">
      <c r="B55" s="20" t="s">
        <v>626</v>
      </c>
      <c r="C55" s="20">
        <v>0.88600000000000001</v>
      </c>
      <c r="F55" s="27" t="s">
        <v>627</v>
      </c>
      <c r="G55" s="46">
        <f t="shared" si="0"/>
        <v>909.19799999999998</v>
      </c>
      <c r="H55" s="178">
        <f t="shared" si="1"/>
        <v>0.56992500000000001</v>
      </c>
      <c r="I55" s="179">
        <f t="shared" si="2"/>
        <v>19.980899999999998</v>
      </c>
    </row>
    <row r="56" spans="2:9" x14ac:dyDescent="0.25">
      <c r="B56" s="148" t="s">
        <v>628</v>
      </c>
      <c r="C56" s="148">
        <v>1.0249999999999999</v>
      </c>
      <c r="F56" s="147" t="s">
        <v>629</v>
      </c>
      <c r="G56" s="155">
        <f t="shared" si="0"/>
        <v>909.19799999999998</v>
      </c>
      <c r="H56" s="176">
        <f t="shared" si="1"/>
        <v>0.56992500000000001</v>
      </c>
      <c r="I56" s="177">
        <f t="shared" si="2"/>
        <v>19.980899999999998</v>
      </c>
    </row>
    <row r="57" spans="2:9" x14ac:dyDescent="0.25">
      <c r="F57" s="27" t="s">
        <v>630</v>
      </c>
      <c r="G57" s="46">
        <f t="shared" si="0"/>
        <v>909.19799999999998</v>
      </c>
      <c r="H57" s="178">
        <f t="shared" si="1"/>
        <v>0.56992500000000001</v>
      </c>
      <c r="I57" s="179">
        <f t="shared" si="2"/>
        <v>19.980899999999998</v>
      </c>
    </row>
    <row r="58" spans="2:9" x14ac:dyDescent="0.25">
      <c r="F58" s="180" t="s">
        <v>631</v>
      </c>
      <c r="G58" s="155">
        <f t="shared" si="0"/>
        <v>909.19799999999998</v>
      </c>
      <c r="H58" s="176">
        <f t="shared" si="1"/>
        <v>0.56992500000000001</v>
      </c>
      <c r="I58" s="177">
        <f t="shared" si="2"/>
        <v>19.980899999999998</v>
      </c>
    </row>
    <row r="59" spans="2:9" x14ac:dyDescent="0.25">
      <c r="F59" s="27" t="s">
        <v>632</v>
      </c>
      <c r="G59" s="46">
        <f t="shared" si="0"/>
        <v>909.19799999999998</v>
      </c>
      <c r="H59" s="178">
        <f t="shared" si="1"/>
        <v>0.56992500000000001</v>
      </c>
      <c r="I59" s="179">
        <f t="shared" si="2"/>
        <v>19.980899999999998</v>
      </c>
    </row>
    <row r="60" spans="2:9" ht="15.75" thickBot="1" x14ac:dyDescent="0.3">
      <c r="F60" s="150" t="s">
        <v>633</v>
      </c>
      <c r="G60" s="181">
        <f>578*I42</f>
        <v>775.09799999999996</v>
      </c>
      <c r="H60" s="182">
        <f>0.015*$I$42*$I$5</f>
        <v>0.50287499999999996</v>
      </c>
      <c r="I60" s="183">
        <f t="shared" si="2"/>
        <v>19.980899999999998</v>
      </c>
    </row>
  </sheetData>
  <phoneticPr fontId="19" type="noConversion"/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42836-5B59-497F-8A07-526473D2512A}">
  <sheetPr>
    <tabColor rgb="FFCCFF33"/>
  </sheetPr>
  <dimension ref="A1:T25"/>
  <sheetViews>
    <sheetView workbookViewId="0">
      <pane ySplit="3" topLeftCell="A4" activePane="bottomLeft" state="frozen"/>
      <selection activeCell="F13" sqref="F13"/>
      <selection pane="bottomLeft" activeCell="F13" sqref="F13"/>
    </sheetView>
  </sheetViews>
  <sheetFormatPr defaultRowHeight="15" x14ac:dyDescent="0.25"/>
  <cols>
    <col min="1" max="1" width="23.28515625" customWidth="1"/>
    <col min="2" max="2" width="36.5703125" customWidth="1"/>
    <col min="3" max="3" width="23" customWidth="1"/>
    <col min="4" max="4" width="24.85546875" customWidth="1"/>
    <col min="5" max="5" width="23.28515625" customWidth="1"/>
    <col min="6" max="6" width="18.85546875" customWidth="1"/>
    <col min="7" max="7" width="20" customWidth="1"/>
    <col min="8" max="8" width="20.7109375" customWidth="1"/>
    <col min="9" max="9" width="18.140625" customWidth="1"/>
    <col min="10" max="13" width="18.42578125" customWidth="1"/>
  </cols>
  <sheetData>
    <row r="1" spans="1:20" s="148" customFormat="1" ht="129" customHeight="1" x14ac:dyDescent="0.25"/>
    <row r="2" spans="1:20" s="164" customFormat="1" ht="35.25" customHeight="1" x14ac:dyDescent="0.4">
      <c r="A2" s="164" t="s">
        <v>868</v>
      </c>
      <c r="B2" s="165"/>
      <c r="D2" s="165"/>
      <c r="F2" s="166"/>
      <c r="J2" s="165"/>
      <c r="K2" s="165"/>
      <c r="L2" s="165"/>
      <c r="M2" s="165"/>
      <c r="O2" s="165"/>
      <c r="P2" s="165"/>
      <c r="Q2" s="165"/>
      <c r="R2" s="165"/>
      <c r="S2" s="165"/>
      <c r="T2" s="165"/>
    </row>
    <row r="3" spans="1:20" s="200" customFormat="1" ht="27" customHeight="1" x14ac:dyDescent="0.3">
      <c r="A3" s="200" t="s">
        <v>559</v>
      </c>
      <c r="D3" s="200">
        <f>YHTEENVETO!D3</f>
        <v>2019</v>
      </c>
    </row>
    <row r="5" spans="1:20" x14ac:dyDescent="0.25">
      <c r="A5" s="5" t="s">
        <v>634</v>
      </c>
      <c r="B5" s="5"/>
      <c r="C5" s="5"/>
      <c r="D5" s="5"/>
      <c r="E5" s="5"/>
      <c r="F5" s="5"/>
    </row>
    <row r="6" spans="1:20" x14ac:dyDescent="0.25">
      <c r="A6" s="5" t="s">
        <v>923</v>
      </c>
      <c r="B6" s="5"/>
      <c r="C6" s="5"/>
      <c r="D6" s="5"/>
      <c r="E6" s="5"/>
      <c r="F6" s="5"/>
    </row>
    <row r="9" spans="1:20" ht="15.75" x14ac:dyDescent="0.25">
      <c r="A9" s="238" t="s">
        <v>635</v>
      </c>
      <c r="B9" s="216"/>
      <c r="C9" s="216"/>
      <c r="D9" s="216"/>
      <c r="E9" s="216"/>
    </row>
    <row r="10" spans="1:20" x14ac:dyDescent="0.25">
      <c r="A10" s="251" t="s">
        <v>636</v>
      </c>
      <c r="B10" s="236"/>
    </row>
    <row r="11" spans="1:20" ht="50.25" customHeight="1" x14ac:dyDescent="0.25">
      <c r="A11" s="217" t="s">
        <v>637</v>
      </c>
      <c r="B11" s="217" t="s">
        <v>592</v>
      </c>
      <c r="C11" s="217" t="s">
        <v>638</v>
      </c>
      <c r="D11" s="217" t="s">
        <v>639</v>
      </c>
      <c r="F11" s="217" t="s">
        <v>640</v>
      </c>
      <c r="G11" s="217" t="s">
        <v>641</v>
      </c>
      <c r="H11" s="217" t="s">
        <v>642</v>
      </c>
      <c r="I11" s="217" t="s">
        <v>568</v>
      </c>
      <c r="J11" s="217" t="s">
        <v>93</v>
      </c>
    </row>
    <row r="12" spans="1:20" x14ac:dyDescent="0.25">
      <c r="A12">
        <f>Rautatie!A14</f>
        <v>0</v>
      </c>
      <c r="B12">
        <f>Rautatie!B14</f>
        <v>0</v>
      </c>
      <c r="C12">
        <f>Rautatie!C14</f>
        <v>0</v>
      </c>
      <c r="D12">
        <f>Rautatie!D14</f>
        <v>0</v>
      </c>
      <c r="F12">
        <f>C12*D12</f>
        <v>0</v>
      </c>
      <c r="G12">
        <f>C12*D12</f>
        <v>0</v>
      </c>
      <c r="H12">
        <f>IF(B12=Rautatie_fx!$L$21,Rautatie_fx!$I$21,IF(B12=Rautatie_fx!$L$22,Rautatie_fx!$I$22,IF(B12=Rautatie_fx!$L$23,Rautatie_fx!$I$24,IF(B12=Rautatie_fx!$L$24,Rautatie_fx!$I$26,0))))</f>
        <v>0</v>
      </c>
      <c r="I12">
        <f>IF(B12=Rautatie_fx!$L$21,Rautatie_fx!$I$21,IF(B12=Rautatie_fx!$L$22,Rautatie_fx!$I$23,IF(B12=Rautatie_fx!$L$23,Rautatie_fx!$I$25,IF(B12=Rautatie_fx!$L$24,Rautatie_fx!$I$26,0))))</f>
        <v>0</v>
      </c>
      <c r="J12">
        <f>(F12*H12+G12*I12)/1000000</f>
        <v>0</v>
      </c>
    </row>
    <row r="13" spans="1:20" x14ac:dyDescent="0.25">
      <c r="A13">
        <f>Rautatie!A15</f>
        <v>0</v>
      </c>
      <c r="B13">
        <f>Rautatie!B15</f>
        <v>0</v>
      </c>
      <c r="C13">
        <f>Rautatie!C15</f>
        <v>0</v>
      </c>
      <c r="D13">
        <f>Rautatie!D15</f>
        <v>0</v>
      </c>
      <c r="F13">
        <f t="shared" ref="F13:F14" si="0">C13*D13</f>
        <v>0</v>
      </c>
      <c r="G13">
        <f t="shared" ref="G13:G14" si="1">C13*D13</f>
        <v>0</v>
      </c>
      <c r="H13">
        <f>IF(B13=Rautatie_fx!$L$21,Rautatie_fx!$I$21,IF(B13=Rautatie_fx!$L$22,Rautatie_fx!$I$22,IF(B13=Rautatie_fx!$L$23,Rautatie_fx!$I$24,IF(B13=Rautatie_fx!$L$24,Rautatie_fx!$I$26,0))))</f>
        <v>0</v>
      </c>
      <c r="I13">
        <f>IF(B13=Rautatie_fx!$L$21,Rautatie_fx!$I$21,IF(B13=Rautatie_fx!$L$22,Rautatie_fx!$I$23,IF(B13=Rautatie_fx!$L$23,Rautatie_fx!$I$25,IF(B13=Rautatie_fx!$L$24,Rautatie_fx!$I$26,0))))</f>
        <v>0</v>
      </c>
      <c r="J13">
        <f t="shared" ref="J13:J14" si="2">(F13*H13+G13*I13)/1000000</f>
        <v>0</v>
      </c>
    </row>
    <row r="14" spans="1:20" x14ac:dyDescent="0.25">
      <c r="A14">
        <f>Rautatie!A16</f>
        <v>0</v>
      </c>
      <c r="B14">
        <f>Rautatie!B16</f>
        <v>0</v>
      </c>
      <c r="C14">
        <f>Rautatie!C16</f>
        <v>0</v>
      </c>
      <c r="D14">
        <f>Rautatie!D16</f>
        <v>0</v>
      </c>
      <c r="F14">
        <f t="shared" si="0"/>
        <v>0</v>
      </c>
      <c r="G14">
        <f t="shared" si="1"/>
        <v>0</v>
      </c>
      <c r="H14">
        <f>IF(B14=Rautatie_fx!$L$21,Rautatie_fx!$I$21,IF(B14=Rautatie_fx!$L$22,Rautatie_fx!$I$22,IF(B14=Rautatie_fx!$L$23,Rautatie_fx!$I$24,IF(B14=Rautatie_fx!$L$24,Rautatie_fx!$I$26,0))))</f>
        <v>0</v>
      </c>
      <c r="I14">
        <f>IF(B14=Rautatie_fx!$L$21,Rautatie_fx!$I$21,IF(B14=Rautatie_fx!$L$22,Rautatie_fx!$I$23,IF(B14=Rautatie_fx!$L$23,Rautatie_fx!$I$25,IF(B14=Rautatie_fx!$L$24,Rautatie_fx!$I$26,0))))</f>
        <v>0</v>
      </c>
      <c r="J14">
        <f t="shared" si="2"/>
        <v>0</v>
      </c>
    </row>
    <row r="17" spans="1:11" ht="15.75" x14ac:dyDescent="0.25">
      <c r="A17" s="238" t="s">
        <v>635</v>
      </c>
      <c r="B17" s="216"/>
      <c r="C17" s="216"/>
      <c r="D17" s="216"/>
      <c r="E17" s="216"/>
    </row>
    <row r="18" spans="1:11" x14ac:dyDescent="0.25">
      <c r="A18" s="251" t="s">
        <v>643</v>
      </c>
      <c r="B18" s="236"/>
    </row>
    <row r="19" spans="1:11" ht="24" x14ac:dyDescent="0.25">
      <c r="A19" s="217" t="s">
        <v>637</v>
      </c>
      <c r="B19" s="217" t="s">
        <v>638</v>
      </c>
      <c r="C19" s="217" t="s">
        <v>924</v>
      </c>
      <c r="D19" s="217" t="s">
        <v>644</v>
      </c>
      <c r="F19" s="217" t="s">
        <v>645</v>
      </c>
      <c r="G19" s="217" t="s">
        <v>646</v>
      </c>
      <c r="H19" s="217" t="s">
        <v>647</v>
      </c>
      <c r="I19" s="217" t="s">
        <v>93</v>
      </c>
    </row>
    <row r="20" spans="1:11" x14ac:dyDescent="0.25">
      <c r="A20">
        <f>Rautatie!A21</f>
        <v>0</v>
      </c>
      <c r="B20">
        <f>Rautatie!B21</f>
        <v>0</v>
      </c>
      <c r="C20">
        <f>Rautatie!C21</f>
        <v>0</v>
      </c>
      <c r="D20">
        <f>Rautatie!D21</f>
        <v>0</v>
      </c>
      <c r="F20">
        <f>B20*C20</f>
        <v>0</v>
      </c>
      <c r="G20">
        <f>IF(D20=Rautatie_fx!$J$11,0,IF($D$3=2018,Energia_fx!$C$12,IF($D$3=2019,Energia_fx!$C$13,IF($D$3=2020,Energia_fx!$C$14,IF($D$3=2021,Energia_fx!$C$15,Energia_fx!$C$16)))))</f>
        <v>101</v>
      </c>
      <c r="H20">
        <v>14</v>
      </c>
      <c r="I20">
        <f>F20*H20*G20/1000000</f>
        <v>0</v>
      </c>
    </row>
    <row r="21" spans="1:11" x14ac:dyDescent="0.25">
      <c r="A21">
        <f>Rautatie!A22</f>
        <v>0</v>
      </c>
      <c r="B21">
        <f>Rautatie!B22</f>
        <v>0</v>
      </c>
      <c r="C21">
        <f>Rautatie!C22</f>
        <v>0</v>
      </c>
      <c r="D21">
        <f>Rautatie!D22</f>
        <v>0</v>
      </c>
      <c r="F21">
        <f t="shared" ref="F21:F22" si="3">B21*C21</f>
        <v>0</v>
      </c>
      <c r="G21">
        <f>IF(D21=Rautatie_fx!$J$11,0,IF($D$3=2018,Energia_fx!$C$12,IF($D$3=2019,Energia_fx!$C$13,IF($D$3=2020,Energia_fx!$C$14,IF($D$3=2021,Energia_fx!$C$15,Energia_fx!$C$16)))))</f>
        <v>101</v>
      </c>
      <c r="H21">
        <v>14</v>
      </c>
      <c r="I21">
        <f t="shared" ref="I21:I22" si="4">F21*H21*G21/1000000</f>
        <v>0</v>
      </c>
    </row>
    <row r="22" spans="1:11" x14ac:dyDescent="0.25">
      <c r="A22">
        <f>Rautatie!A23</f>
        <v>0</v>
      </c>
      <c r="B22">
        <f>Rautatie!B23</f>
        <v>0</v>
      </c>
      <c r="C22">
        <f>Rautatie!C23</f>
        <v>0</v>
      </c>
      <c r="D22">
        <f>Rautatie!D23</f>
        <v>0</v>
      </c>
      <c r="F22">
        <f t="shared" si="3"/>
        <v>0</v>
      </c>
      <c r="G22">
        <f>IF(D22=Rautatie_fx!$J$11,0,IF($D$3=2018,Energia_fx!$C$12,IF($D$3=2019,Energia_fx!$C$13,IF($D$3=2020,Energia_fx!$C$14,IF($D$3=2021,Energia_fx!$C$15,Energia_fx!$C$16)))))</f>
        <v>101</v>
      </c>
      <c r="H22">
        <v>14</v>
      </c>
      <c r="I22">
        <f t="shared" si="4"/>
        <v>0</v>
      </c>
    </row>
    <row r="23" spans="1:11" ht="15.75" x14ac:dyDescent="0.25">
      <c r="K23" s="253" t="s">
        <v>8</v>
      </c>
    </row>
    <row r="24" spans="1:11" ht="19.5" thickBot="1" x14ac:dyDescent="0.35">
      <c r="K24" s="259">
        <f>SUM(J12:J14,I20:I22)</f>
        <v>0</v>
      </c>
    </row>
    <row r="25" spans="1:11" ht="15.75" thickTop="1" x14ac:dyDescent="0.25"/>
  </sheetData>
  <pageMargins left="0.7" right="0.7" top="0.75" bottom="0.75" header="0.3" footer="0.3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E2202-2135-4F1D-8700-018E95AD7D0F}">
  <sheetPr>
    <tabColor rgb="FFCCFF33"/>
  </sheetPr>
  <dimension ref="A1:T23"/>
  <sheetViews>
    <sheetView showGridLines="0" showRowColHeaders="0" workbookViewId="0">
      <pane ySplit="3" topLeftCell="A4" activePane="bottomLeft" state="frozen"/>
      <selection pane="bottomLeft" activeCell="D9" sqref="D9"/>
    </sheetView>
  </sheetViews>
  <sheetFormatPr defaultRowHeight="15" x14ac:dyDescent="0.25"/>
  <cols>
    <col min="1" max="1" width="23.28515625" customWidth="1"/>
    <col min="2" max="2" width="34.42578125" customWidth="1"/>
    <col min="3" max="3" width="23" customWidth="1"/>
    <col min="4" max="4" width="25" customWidth="1"/>
    <col min="5" max="5" width="23.28515625" customWidth="1"/>
    <col min="6" max="6" width="18.85546875" customWidth="1"/>
    <col min="7" max="7" width="20" customWidth="1"/>
    <col min="8" max="13" width="25.85546875" customWidth="1"/>
  </cols>
  <sheetData>
    <row r="1" spans="1:20" s="148" customFormat="1" ht="129" customHeight="1" x14ac:dyDescent="0.25"/>
    <row r="2" spans="1:20" s="164" customFormat="1" ht="35.25" customHeight="1" x14ac:dyDescent="0.4">
      <c r="A2" s="164" t="s">
        <v>868</v>
      </c>
      <c r="B2" s="165"/>
      <c r="D2" s="165"/>
      <c r="F2" s="166"/>
      <c r="J2" s="165"/>
      <c r="K2" s="165"/>
      <c r="L2" s="165"/>
      <c r="M2" s="165"/>
      <c r="O2" s="165"/>
      <c r="P2" s="165"/>
      <c r="Q2" s="165"/>
      <c r="R2" s="165"/>
      <c r="S2" s="165"/>
      <c r="T2" s="165"/>
    </row>
    <row r="3" spans="1:20" s="200" customFormat="1" ht="27" customHeight="1" x14ac:dyDescent="0.3">
      <c r="A3" s="200" t="s">
        <v>559</v>
      </c>
      <c r="D3" s="200">
        <f>YHTEENVETO!D3</f>
        <v>2019</v>
      </c>
    </row>
    <row r="5" spans="1:20" x14ac:dyDescent="0.25">
      <c r="A5" s="5" t="s">
        <v>648</v>
      </c>
      <c r="B5" s="5"/>
      <c r="C5" s="5"/>
      <c r="D5" s="5"/>
      <c r="E5" s="5"/>
      <c r="F5" s="5"/>
      <c r="G5" s="5"/>
      <c r="H5" s="5"/>
      <c r="I5" s="5"/>
    </row>
    <row r="6" spans="1:20" x14ac:dyDescent="0.25">
      <c r="A6" s="5" t="s">
        <v>649</v>
      </c>
      <c r="B6" s="5"/>
      <c r="C6" s="5"/>
      <c r="D6" s="5"/>
      <c r="E6" s="5"/>
      <c r="F6" s="5"/>
      <c r="G6" s="5"/>
      <c r="H6" s="5"/>
      <c r="I6" s="5"/>
    </row>
    <row r="7" spans="1:20" x14ac:dyDescent="0.25">
      <c r="A7" s="5" t="s">
        <v>900</v>
      </c>
      <c r="B7" s="5"/>
      <c r="C7" s="5"/>
      <c r="D7" s="5"/>
      <c r="E7" s="5"/>
      <c r="F7" s="5"/>
      <c r="G7" s="5"/>
      <c r="H7" s="5"/>
      <c r="I7" s="5"/>
    </row>
    <row r="8" spans="1:20" x14ac:dyDescent="0.25">
      <c r="A8" s="5" t="s">
        <v>650</v>
      </c>
      <c r="B8" s="5"/>
      <c r="C8" s="5"/>
      <c r="D8" s="5"/>
      <c r="E8" s="5"/>
      <c r="F8" s="5"/>
      <c r="G8" s="5"/>
      <c r="H8" s="5"/>
      <c r="I8" s="5"/>
    </row>
    <row r="11" spans="1:20" ht="15.75" x14ac:dyDescent="0.25">
      <c r="A11" s="238" t="s">
        <v>635</v>
      </c>
      <c r="B11" s="216"/>
      <c r="C11" s="216"/>
      <c r="D11" s="216"/>
      <c r="E11" s="216"/>
    </row>
    <row r="12" spans="1:20" x14ac:dyDescent="0.25">
      <c r="A12" s="251" t="s">
        <v>636</v>
      </c>
      <c r="B12" s="236"/>
    </row>
    <row r="13" spans="1:20" ht="54" customHeight="1" x14ac:dyDescent="0.25">
      <c r="A13" s="217" t="s">
        <v>637</v>
      </c>
      <c r="B13" s="217" t="s">
        <v>592</v>
      </c>
      <c r="C13" s="217" t="s">
        <v>638</v>
      </c>
      <c r="D13" s="217" t="s">
        <v>924</v>
      </c>
      <c r="E13" s="217"/>
      <c r="F13" s="217"/>
    </row>
    <row r="14" spans="1:20" x14ac:dyDescent="0.25">
      <c r="A14" s="20"/>
      <c r="B14" s="20"/>
      <c r="C14" s="20"/>
      <c r="D14" s="20"/>
    </row>
    <row r="15" spans="1:20" x14ac:dyDescent="0.25">
      <c r="A15" s="20"/>
      <c r="B15" s="20"/>
      <c r="C15" s="20"/>
      <c r="D15" s="20"/>
    </row>
    <row r="16" spans="1:20" x14ac:dyDescent="0.25">
      <c r="A16" s="20"/>
      <c r="B16" s="20"/>
      <c r="C16" s="20"/>
      <c r="D16" s="20"/>
    </row>
    <row r="19" spans="1:4" x14ac:dyDescent="0.25">
      <c r="A19" s="251" t="s">
        <v>643</v>
      </c>
      <c r="B19" s="236"/>
    </row>
    <row r="20" spans="1:4" ht="36" x14ac:dyDescent="0.25">
      <c r="A20" s="217" t="s">
        <v>637</v>
      </c>
      <c r="B20" s="217" t="s">
        <v>638</v>
      </c>
      <c r="C20" s="217" t="s">
        <v>639</v>
      </c>
      <c r="D20" s="217" t="s">
        <v>644</v>
      </c>
    </row>
    <row r="21" spans="1:4" x14ac:dyDescent="0.25">
      <c r="A21" s="20"/>
      <c r="B21" s="20"/>
      <c r="C21" s="20"/>
      <c r="D21" s="20"/>
    </row>
    <row r="22" spans="1:4" x14ac:dyDescent="0.25">
      <c r="A22" s="20"/>
      <c r="B22" s="20"/>
      <c r="C22" s="20"/>
      <c r="D22" s="20"/>
    </row>
    <row r="23" spans="1:4" x14ac:dyDescent="0.25">
      <c r="A23" s="20"/>
      <c r="B23" s="20"/>
      <c r="C23" s="20"/>
      <c r="D23" s="20"/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9D950C8-9017-4908-90E8-4EBAEE62A80B}">
          <x14:formula1>
            <xm:f>Rautatie_fx!$L$21:$L$24</xm:f>
          </x14:formula1>
          <xm:sqref>B14:B16</xm:sqref>
        </x14:dataValidation>
        <x14:dataValidation type="list" allowBlank="1" showInputMessage="1" showErrorMessage="1" xr:uid="{3D2C9A57-868B-4EB8-8BDF-DC9FCCA59519}">
          <x14:formula1>
            <xm:f>Rautatie_fx!$J$11:$J$12</xm:f>
          </x14:formula1>
          <xm:sqref>D21:D23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3711D-8FB4-4BF2-8154-D56DF4233178}">
  <sheetPr codeName="Sheet8">
    <tabColor rgb="FFFFFF66"/>
  </sheetPr>
  <dimension ref="A1:V96"/>
  <sheetViews>
    <sheetView zoomScaleNormal="100" workbookViewId="0">
      <pane ySplit="2" topLeftCell="A3" activePane="bottomLeft" state="frozen"/>
      <selection activeCell="F13" sqref="F13"/>
      <selection pane="bottomLeft" activeCell="F13" sqref="F13"/>
    </sheetView>
  </sheetViews>
  <sheetFormatPr defaultRowHeight="15" x14ac:dyDescent="0.25"/>
  <cols>
    <col min="1" max="1" width="33.5703125" customWidth="1"/>
    <col min="2" max="2" width="31.42578125" customWidth="1"/>
    <col min="3" max="3" width="20.7109375" customWidth="1"/>
    <col min="4" max="5" width="18.42578125" customWidth="1"/>
    <col min="6" max="7" width="19" customWidth="1"/>
    <col min="8" max="9" width="18.85546875" customWidth="1"/>
    <col min="10" max="10" width="20.140625" customWidth="1"/>
    <col min="11" max="11" width="18.140625" customWidth="1"/>
    <col min="12" max="15" width="14.28515625" customWidth="1"/>
    <col min="17" max="17" width="30.7109375" customWidth="1"/>
    <col min="18" max="18" width="16.7109375" customWidth="1"/>
    <col min="19" max="19" width="15.140625" customWidth="1"/>
  </cols>
  <sheetData>
    <row r="1" spans="1:22" s="148" customFormat="1" ht="129" customHeight="1" x14ac:dyDescent="0.25"/>
    <row r="2" spans="1:22" s="184" customFormat="1" ht="35.25" customHeight="1" x14ac:dyDescent="0.4">
      <c r="A2" s="184" t="s">
        <v>32</v>
      </c>
      <c r="B2" s="185"/>
      <c r="F2" s="186"/>
      <c r="G2" s="186"/>
      <c r="L2" s="185"/>
      <c r="M2" s="185"/>
      <c r="N2" s="185"/>
      <c r="O2" s="185"/>
      <c r="Q2" s="185"/>
      <c r="R2" s="185"/>
      <c r="S2" s="185"/>
      <c r="T2" s="185"/>
      <c r="U2" s="185"/>
      <c r="V2" s="185"/>
    </row>
    <row r="3" spans="1:22" ht="15.75" thickBot="1" x14ac:dyDescent="0.3"/>
    <row r="4" spans="1:22" ht="15.75" x14ac:dyDescent="0.25">
      <c r="A4" s="80" t="s">
        <v>651</v>
      </c>
      <c r="F4" s="7" t="s">
        <v>104</v>
      </c>
      <c r="G4" s="8" t="s">
        <v>105</v>
      </c>
      <c r="H4" s="8" t="s">
        <v>106</v>
      </c>
      <c r="I4" s="9" t="s">
        <v>107</v>
      </c>
    </row>
    <row r="5" spans="1:22" ht="15.75" thickBot="1" x14ac:dyDescent="0.3">
      <c r="F5" s="10"/>
      <c r="G5" s="11">
        <v>1</v>
      </c>
      <c r="H5" s="11">
        <v>25</v>
      </c>
      <c r="I5" s="12">
        <v>298</v>
      </c>
    </row>
    <row r="6" spans="1:22" x14ac:dyDescent="0.25">
      <c r="A6" s="42" t="s">
        <v>652</v>
      </c>
    </row>
    <row r="7" spans="1:22" x14ac:dyDescent="0.25">
      <c r="A7" t="s">
        <v>653</v>
      </c>
    </row>
    <row r="8" spans="1:22" ht="15.75" thickBot="1" x14ac:dyDescent="0.3">
      <c r="A8" t="s">
        <v>654</v>
      </c>
    </row>
    <row r="9" spans="1:22" ht="15.75" x14ac:dyDescent="0.25">
      <c r="A9" t="s">
        <v>655</v>
      </c>
      <c r="B9" s="189" t="s">
        <v>456</v>
      </c>
      <c r="C9" s="23"/>
      <c r="D9" s="24"/>
    </row>
    <row r="10" spans="1:22" x14ac:dyDescent="0.25">
      <c r="B10" s="190" t="s">
        <v>390</v>
      </c>
      <c r="C10" s="188" t="s">
        <v>656</v>
      </c>
      <c r="D10" s="360" t="s">
        <v>657</v>
      </c>
    </row>
    <row r="11" spans="1:22" x14ac:dyDescent="0.25">
      <c r="A11" t="s">
        <v>658</v>
      </c>
      <c r="B11" s="64"/>
      <c r="C11" s="19" t="s">
        <v>659</v>
      </c>
      <c r="D11" s="191" t="s">
        <v>660</v>
      </c>
    </row>
    <row r="12" spans="1:22" x14ac:dyDescent="0.25">
      <c r="A12" t="s">
        <v>661</v>
      </c>
      <c r="B12" s="29" t="s">
        <v>662</v>
      </c>
      <c r="C12">
        <v>9.4061999999999998E-4</v>
      </c>
      <c r="D12" s="28"/>
    </row>
    <row r="13" spans="1:22" x14ac:dyDescent="0.25">
      <c r="B13" s="29" t="s">
        <v>663</v>
      </c>
      <c r="C13">
        <v>2.9954633999999996E-3</v>
      </c>
      <c r="D13" s="28"/>
    </row>
    <row r="14" spans="1:22" x14ac:dyDescent="0.25">
      <c r="B14" s="29" t="s">
        <v>664</v>
      </c>
      <c r="C14">
        <v>1.0476227199999999E-3</v>
      </c>
      <c r="D14" s="28"/>
    </row>
    <row r="15" spans="1:22" x14ac:dyDescent="0.25">
      <c r="B15" s="29" t="s">
        <v>665</v>
      </c>
      <c r="C15">
        <v>1.9132952E-3</v>
      </c>
      <c r="D15" s="28"/>
    </row>
    <row r="16" spans="1:22" x14ac:dyDescent="0.25">
      <c r="B16" s="29" t="s">
        <v>666</v>
      </c>
      <c r="C16">
        <v>1.1758521999999999E-3</v>
      </c>
      <c r="D16" s="28"/>
    </row>
    <row r="17" spans="2:4" x14ac:dyDescent="0.25">
      <c r="B17" s="29" t="s">
        <v>667</v>
      </c>
      <c r="C17">
        <v>3.3412189999999999E-3</v>
      </c>
      <c r="D17" s="28"/>
    </row>
    <row r="18" spans="2:4" x14ac:dyDescent="0.25">
      <c r="B18" s="29" t="s">
        <v>668</v>
      </c>
      <c r="C18">
        <v>1.9176875999999999E-3</v>
      </c>
      <c r="D18" s="28"/>
    </row>
    <row r="19" spans="2:4" x14ac:dyDescent="0.25">
      <c r="B19" s="29" t="s">
        <v>669</v>
      </c>
      <c r="C19">
        <v>1.9176875999999999E-3</v>
      </c>
      <c r="D19" s="28"/>
    </row>
    <row r="20" spans="2:4" x14ac:dyDescent="0.25">
      <c r="B20" s="29" t="s">
        <v>670</v>
      </c>
      <c r="C20">
        <v>2.1871991199999999E-3</v>
      </c>
      <c r="D20" s="28"/>
    </row>
    <row r="21" spans="2:4" x14ac:dyDescent="0.25">
      <c r="B21" s="29" t="s">
        <v>671</v>
      </c>
      <c r="C21">
        <v>2.76204192E-3</v>
      </c>
      <c r="D21" s="28">
        <v>2.4791417280000003E-6</v>
      </c>
    </row>
    <row r="22" spans="2:4" x14ac:dyDescent="0.25">
      <c r="B22" s="29" t="s">
        <v>672</v>
      </c>
      <c r="C22">
        <v>2.7565144199999999E-3</v>
      </c>
      <c r="D22" s="28"/>
    </row>
    <row r="23" spans="2:4" x14ac:dyDescent="0.25">
      <c r="B23" s="29" t="s">
        <v>673</v>
      </c>
      <c r="C23">
        <v>2.75540442E-3</v>
      </c>
      <c r="D23" s="28"/>
    </row>
    <row r="24" spans="2:4" x14ac:dyDescent="0.25">
      <c r="B24" s="29" t="s">
        <v>674</v>
      </c>
      <c r="C24">
        <v>1.1771422E-3</v>
      </c>
      <c r="D24" s="28"/>
    </row>
    <row r="25" spans="2:4" x14ac:dyDescent="0.25">
      <c r="B25" s="29" t="s">
        <v>675</v>
      </c>
      <c r="C25">
        <v>3.1114757399999999E-3</v>
      </c>
      <c r="D25" s="28">
        <v>2.4890605920000002E-3</v>
      </c>
    </row>
    <row r="26" spans="2:4" x14ac:dyDescent="0.25">
      <c r="B26" s="29" t="s">
        <v>676</v>
      </c>
      <c r="C26">
        <v>2.8488654599999994E-3</v>
      </c>
      <c r="D26" s="28"/>
    </row>
    <row r="27" spans="2:4" x14ac:dyDescent="0.25">
      <c r="B27" s="29" t="s">
        <v>677</v>
      </c>
      <c r="C27">
        <v>3.0812183399999997E-3</v>
      </c>
      <c r="D27" s="28">
        <v>2.2801126715999995E-3</v>
      </c>
    </row>
    <row r="28" spans="2:4" x14ac:dyDescent="0.25">
      <c r="B28" s="29" t="s">
        <v>678</v>
      </c>
      <c r="C28">
        <v>2.80072478E-3</v>
      </c>
      <c r="D28" s="28">
        <v>2.80239978E-3</v>
      </c>
    </row>
    <row r="29" spans="2:4" x14ac:dyDescent="0.25">
      <c r="B29" s="29" t="s">
        <v>679</v>
      </c>
      <c r="C29">
        <v>3.1951484000000002E-3</v>
      </c>
      <c r="D29" s="28">
        <v>2.6856592559999998E-3</v>
      </c>
    </row>
    <row r="30" spans="2:4" x14ac:dyDescent="0.25">
      <c r="B30" s="29" t="s">
        <v>680</v>
      </c>
      <c r="C30">
        <v>3.1375210200000002E-3</v>
      </c>
      <c r="D30" s="28">
        <v>2.9489807087999995E-3</v>
      </c>
    </row>
    <row r="31" spans="2:4" x14ac:dyDescent="0.25">
      <c r="B31" s="29" t="s">
        <v>395</v>
      </c>
      <c r="C31">
        <v>2.9890545400000001E-3</v>
      </c>
      <c r="D31" s="28">
        <v>1.6130999016000004E-3</v>
      </c>
    </row>
    <row r="32" spans="2:4" x14ac:dyDescent="0.25">
      <c r="B32" s="29" t="s">
        <v>681</v>
      </c>
      <c r="C32">
        <v>2.8626377199999996E-3</v>
      </c>
      <c r="D32" s="28">
        <v>3.7190175359999995E-6</v>
      </c>
    </row>
    <row r="33" spans="1:13" x14ac:dyDescent="0.25">
      <c r="B33" s="29" t="s">
        <v>682</v>
      </c>
      <c r="C33">
        <v>2.95449276E-3</v>
      </c>
      <c r="D33" s="28"/>
    </row>
    <row r="34" spans="1:13" x14ac:dyDescent="0.25">
      <c r="B34" s="29" t="s">
        <v>683</v>
      </c>
      <c r="C34">
        <v>1.2077368000000001E-3</v>
      </c>
      <c r="D34" s="28"/>
    </row>
    <row r="35" spans="1:13" x14ac:dyDescent="0.25">
      <c r="B35" s="29" t="s">
        <v>684</v>
      </c>
      <c r="C35">
        <v>9.569833E-4</v>
      </c>
      <c r="D35" s="28"/>
    </row>
    <row r="36" spans="1:13" x14ac:dyDescent="0.25">
      <c r="B36" s="29" t="s">
        <v>685</v>
      </c>
      <c r="C36">
        <v>2.0282079000000001E-3</v>
      </c>
      <c r="D36" s="28"/>
    </row>
    <row r="37" spans="1:13" ht="15.75" thickBot="1" x14ac:dyDescent="0.3">
      <c r="B37" s="34" t="s">
        <v>686</v>
      </c>
      <c r="C37" s="59">
        <v>2.6954303999999997E-3</v>
      </c>
      <c r="D37" s="403">
        <v>4.9009961279999995E-5</v>
      </c>
    </row>
    <row r="41" spans="1:13" ht="15.75" thickBot="1" x14ac:dyDescent="0.3"/>
    <row r="42" spans="1:13" ht="15.75" x14ac:dyDescent="0.25">
      <c r="A42" s="189" t="s">
        <v>687</v>
      </c>
      <c r="B42" s="23"/>
      <c r="C42" s="23"/>
      <c r="D42" s="23"/>
      <c r="E42" s="23"/>
      <c r="F42" s="23"/>
      <c r="G42" s="23"/>
      <c r="H42" s="23"/>
      <c r="I42" s="23"/>
      <c r="J42" s="23"/>
      <c r="K42" s="24"/>
      <c r="L42" s="348"/>
      <c r="M42" s="24"/>
    </row>
    <row r="43" spans="1:13" x14ac:dyDescent="0.25">
      <c r="A43" s="190" t="s">
        <v>390</v>
      </c>
      <c r="B43" s="188" t="s">
        <v>688</v>
      </c>
      <c r="C43" s="188" t="s">
        <v>689</v>
      </c>
      <c r="D43" s="415" t="s">
        <v>690</v>
      </c>
      <c r="E43" s="415"/>
      <c r="F43" s="415" t="s">
        <v>691</v>
      </c>
      <c r="G43" s="415"/>
      <c r="H43" s="415" t="s">
        <v>692</v>
      </c>
      <c r="I43" s="415"/>
      <c r="J43" s="415" t="s">
        <v>693</v>
      </c>
      <c r="K43" s="416"/>
      <c r="L43" s="55" t="s">
        <v>694</v>
      </c>
      <c r="M43" s="56" t="s">
        <v>695</v>
      </c>
    </row>
    <row r="44" spans="1:13" x14ac:dyDescent="0.25">
      <c r="A44" s="64"/>
      <c r="B44" s="19" t="s">
        <v>854</v>
      </c>
      <c r="C44" s="19" t="s">
        <v>837</v>
      </c>
      <c r="D44" s="19" t="s">
        <v>855</v>
      </c>
      <c r="E44" s="19" t="s">
        <v>854</v>
      </c>
      <c r="F44" s="19" t="s">
        <v>838</v>
      </c>
      <c r="G44" s="19" t="s">
        <v>837</v>
      </c>
      <c r="H44" s="19" t="s">
        <v>856</v>
      </c>
      <c r="I44" s="19" t="s">
        <v>854</v>
      </c>
      <c r="J44" s="19" t="s">
        <v>839</v>
      </c>
      <c r="K44" s="191" t="s">
        <v>837</v>
      </c>
      <c r="L44" s="354" t="s">
        <v>659</v>
      </c>
      <c r="M44" s="191" t="s">
        <v>696</v>
      </c>
    </row>
    <row r="45" spans="1:13" x14ac:dyDescent="0.25">
      <c r="A45" s="260" t="s">
        <v>697</v>
      </c>
      <c r="B45">
        <v>9.1699999999999995E-4</v>
      </c>
      <c r="C45">
        <v>0</v>
      </c>
      <c r="D45">
        <v>4.6800000000000001E-7</v>
      </c>
      <c r="E45">
        <f t="shared" ref="E45:E76" si="0">D45*$H$5</f>
        <v>1.17E-5</v>
      </c>
      <c r="F45" t="s">
        <v>698</v>
      </c>
      <c r="H45">
        <v>4.0000000000000001E-8</v>
      </c>
      <c r="I45">
        <f t="shared" ref="I45:I76" si="1">H45*$I$5</f>
        <v>1.1920000000000001E-5</v>
      </c>
      <c r="J45" t="s">
        <v>698</v>
      </c>
      <c r="K45" s="28"/>
      <c r="L45" s="355">
        <f>B45+E45+I45</f>
        <v>9.4061999999999998E-4</v>
      </c>
      <c r="M45" s="28"/>
    </row>
    <row r="46" spans="1:13" x14ac:dyDescent="0.25">
      <c r="A46" s="260" t="s">
        <v>663</v>
      </c>
      <c r="B46" s="20">
        <v>2.9466599999999998E-3</v>
      </c>
      <c r="C46" s="20">
        <v>0</v>
      </c>
      <c r="D46" s="20">
        <v>3.5400000000000006E-8</v>
      </c>
      <c r="E46" s="20">
        <f t="shared" si="0"/>
        <v>8.850000000000001E-7</v>
      </c>
      <c r="F46" s="20" t="s">
        <v>698</v>
      </c>
      <c r="G46" s="20"/>
      <c r="H46" s="20">
        <v>1.6080000000000001E-7</v>
      </c>
      <c r="I46" s="20">
        <f t="shared" si="1"/>
        <v>4.7918400000000005E-5</v>
      </c>
      <c r="J46" s="20" t="s">
        <v>698</v>
      </c>
      <c r="K46" s="26"/>
      <c r="L46" s="355">
        <f t="shared" ref="L46:L96" si="2">B46+E46+I46</f>
        <v>2.9954633999999996E-3</v>
      </c>
      <c r="M46" s="28"/>
    </row>
    <row r="47" spans="1:13" x14ac:dyDescent="0.25">
      <c r="A47" s="260" t="s">
        <v>664</v>
      </c>
      <c r="B47">
        <v>1.0345599999999999E-3</v>
      </c>
      <c r="C47">
        <v>0</v>
      </c>
      <c r="D47">
        <v>3.4799999999999999E-7</v>
      </c>
      <c r="E47">
        <f t="shared" si="0"/>
        <v>8.6999999999999997E-6</v>
      </c>
      <c r="F47" t="s">
        <v>698</v>
      </c>
      <c r="H47">
        <v>1.4640000000000001E-8</v>
      </c>
      <c r="I47">
        <f t="shared" si="1"/>
        <v>4.3627200000000003E-6</v>
      </c>
      <c r="J47" t="s">
        <v>698</v>
      </c>
      <c r="K47" s="28"/>
      <c r="L47" s="355">
        <f t="shared" si="2"/>
        <v>1.0476227199999999E-3</v>
      </c>
      <c r="M47" s="28"/>
    </row>
    <row r="48" spans="1:13" x14ac:dyDescent="0.25">
      <c r="A48" s="260" t="s">
        <v>665</v>
      </c>
      <c r="B48" s="20">
        <v>1.7472E-3</v>
      </c>
      <c r="C48" s="20">
        <v>0</v>
      </c>
      <c r="D48" s="20">
        <v>5.9000000000000003E-6</v>
      </c>
      <c r="E48" s="20">
        <f t="shared" si="0"/>
        <v>1.4750000000000001E-4</v>
      </c>
      <c r="F48" s="20" t="s">
        <v>698</v>
      </c>
      <c r="G48" s="20"/>
      <c r="H48" s="20">
        <v>6.2400000000000003E-8</v>
      </c>
      <c r="I48" s="20">
        <f t="shared" si="1"/>
        <v>1.8595200000000001E-5</v>
      </c>
      <c r="J48" s="20" t="s">
        <v>698</v>
      </c>
      <c r="K48" s="26"/>
      <c r="L48" s="355">
        <f t="shared" si="2"/>
        <v>1.9132952E-3</v>
      </c>
      <c r="M48" s="28"/>
    </row>
    <row r="49" spans="1:13" x14ac:dyDescent="0.25">
      <c r="A49" s="29" t="s">
        <v>925</v>
      </c>
      <c r="B49">
        <v>1.12454E-3</v>
      </c>
      <c r="C49">
        <v>0</v>
      </c>
      <c r="D49">
        <v>8.0999999999999997E-8</v>
      </c>
      <c r="E49">
        <f t="shared" si="0"/>
        <v>2.0250000000000001E-6</v>
      </c>
      <c r="F49" t="s">
        <v>698</v>
      </c>
      <c r="H49">
        <v>2.3600000000000003E-8</v>
      </c>
      <c r="I49">
        <f t="shared" si="1"/>
        <v>7.0328000000000007E-6</v>
      </c>
      <c r="J49" t="s">
        <v>698</v>
      </c>
      <c r="K49" s="28"/>
      <c r="L49" s="356">
        <f t="shared" si="2"/>
        <v>1.1335977999999999E-3</v>
      </c>
      <c r="M49" s="28"/>
    </row>
    <row r="50" spans="1:13" x14ac:dyDescent="0.25">
      <c r="A50" s="260" t="s">
        <v>666</v>
      </c>
      <c r="B50" s="20">
        <v>1.16E-3</v>
      </c>
      <c r="C50" s="20">
        <v>0</v>
      </c>
      <c r="D50" s="20">
        <v>8.0999999999999997E-8</v>
      </c>
      <c r="E50" s="20">
        <f t="shared" si="0"/>
        <v>2.0250000000000001E-6</v>
      </c>
      <c r="F50" s="20" t="s">
        <v>698</v>
      </c>
      <c r="G50" s="20"/>
      <c r="H50" s="20">
        <v>4.6399999999999999E-8</v>
      </c>
      <c r="I50" s="20">
        <f t="shared" si="1"/>
        <v>1.38272E-5</v>
      </c>
      <c r="J50" s="20" t="s">
        <v>698</v>
      </c>
      <c r="K50" s="26"/>
      <c r="L50" s="355">
        <f t="shared" si="2"/>
        <v>1.1758521999999999E-3</v>
      </c>
      <c r="M50" s="28"/>
    </row>
    <row r="51" spans="1:13" x14ac:dyDescent="0.25">
      <c r="A51" s="260" t="s">
        <v>699</v>
      </c>
      <c r="B51">
        <v>3.3040000000000001E-3</v>
      </c>
      <c r="C51">
        <v>0</v>
      </c>
      <c r="D51">
        <v>8.2199999999999995E-8</v>
      </c>
      <c r="E51">
        <f t="shared" si="0"/>
        <v>2.0549999999999998E-6</v>
      </c>
      <c r="F51" t="s">
        <v>698</v>
      </c>
      <c r="H51">
        <v>1.18E-7</v>
      </c>
      <c r="I51">
        <f t="shared" si="1"/>
        <v>3.5163999999999997E-5</v>
      </c>
      <c r="J51" t="s">
        <v>698</v>
      </c>
      <c r="K51" s="28"/>
      <c r="L51" s="355">
        <f t="shared" si="2"/>
        <v>3.3412189999999999E-3</v>
      </c>
      <c r="M51" s="28"/>
    </row>
    <row r="52" spans="1:13" x14ac:dyDescent="0.25">
      <c r="A52" s="260" t="s">
        <v>668</v>
      </c>
      <c r="B52" s="20">
        <v>1.9115999999999998E-3</v>
      </c>
      <c r="C52" s="20">
        <v>0</v>
      </c>
      <c r="D52" s="20">
        <v>5.0400000000000001E-8</v>
      </c>
      <c r="E52" s="20">
        <f t="shared" si="0"/>
        <v>1.26E-6</v>
      </c>
      <c r="F52" s="20" t="s">
        <v>698</v>
      </c>
      <c r="G52" s="20"/>
      <c r="H52" s="20">
        <v>1.6199999999999999E-8</v>
      </c>
      <c r="I52" s="20">
        <f t="shared" si="1"/>
        <v>4.8276000000000002E-6</v>
      </c>
      <c r="J52" s="20" t="s">
        <v>698</v>
      </c>
      <c r="K52" s="26"/>
      <c r="L52" s="355">
        <f t="shared" si="2"/>
        <v>1.9176875999999999E-3</v>
      </c>
      <c r="M52" s="28"/>
    </row>
    <row r="53" spans="1:13" x14ac:dyDescent="0.25">
      <c r="A53" s="260" t="s">
        <v>700</v>
      </c>
      <c r="B53">
        <v>1.9115999999999998E-3</v>
      </c>
      <c r="C53">
        <v>0</v>
      </c>
      <c r="D53">
        <v>5.0400000000000001E-8</v>
      </c>
      <c r="E53">
        <f t="shared" si="0"/>
        <v>1.26E-6</v>
      </c>
      <c r="F53" t="s">
        <v>698</v>
      </c>
      <c r="H53">
        <v>1.6199999999999999E-8</v>
      </c>
      <c r="I53">
        <f t="shared" si="1"/>
        <v>4.8276000000000002E-6</v>
      </c>
      <c r="J53" t="s">
        <v>698</v>
      </c>
      <c r="K53" s="28"/>
      <c r="L53" s="355">
        <f t="shared" si="2"/>
        <v>1.9176875999999999E-3</v>
      </c>
      <c r="M53" s="28"/>
    </row>
    <row r="54" spans="1:13" x14ac:dyDescent="0.25">
      <c r="A54" s="260" t="s">
        <v>670</v>
      </c>
      <c r="B54" s="20">
        <v>2.18104E-3</v>
      </c>
      <c r="C54" s="20">
        <v>0</v>
      </c>
      <c r="D54" s="20">
        <v>5.0400000000000001E-8</v>
      </c>
      <c r="E54" s="20">
        <f t="shared" si="0"/>
        <v>1.26E-6</v>
      </c>
      <c r="F54" s="20" t="s">
        <v>698</v>
      </c>
      <c r="G54" s="20"/>
      <c r="H54" s="20">
        <v>1.6439999999999997E-8</v>
      </c>
      <c r="I54" s="20">
        <f t="shared" si="1"/>
        <v>4.8991199999999991E-6</v>
      </c>
      <c r="J54" s="20" t="s">
        <v>698</v>
      </c>
      <c r="K54" s="26"/>
      <c r="L54" s="355">
        <f t="shared" si="2"/>
        <v>2.1871991199999999E-3</v>
      </c>
      <c r="M54" s="28"/>
    </row>
    <row r="55" spans="1:13" x14ac:dyDescent="0.25">
      <c r="A55" s="260" t="s">
        <v>671</v>
      </c>
      <c r="B55">
        <v>2.7518400000000002E-3</v>
      </c>
      <c r="C55">
        <v>2.4766560000000004E-6</v>
      </c>
      <c r="D55">
        <v>3.4799999999999999E-7</v>
      </c>
      <c r="E55">
        <f t="shared" si="0"/>
        <v>8.6999999999999997E-6</v>
      </c>
      <c r="F55">
        <v>4.5360000000000005E-11</v>
      </c>
      <c r="G55">
        <f>F55*$H$5</f>
        <v>1.1340000000000002E-9</v>
      </c>
      <c r="H55">
        <v>5.04E-9</v>
      </c>
      <c r="I55">
        <f t="shared" si="1"/>
        <v>1.5019199999999999E-6</v>
      </c>
      <c r="J55">
        <v>4.5360000000000001E-12</v>
      </c>
      <c r="K55" s="28">
        <f>J55*$I$5</f>
        <v>1.351728E-9</v>
      </c>
      <c r="L55" s="355">
        <f t="shared" si="2"/>
        <v>2.76204192E-3</v>
      </c>
      <c r="M55" s="357">
        <f>C55+G55+K55</f>
        <v>2.4791417280000003E-6</v>
      </c>
    </row>
    <row r="56" spans="1:13" x14ac:dyDescent="0.25">
      <c r="A56" s="260" t="s">
        <v>672</v>
      </c>
      <c r="B56" s="20">
        <v>2.7518400000000002E-3</v>
      </c>
      <c r="C56" s="20">
        <v>0</v>
      </c>
      <c r="D56" s="20">
        <v>1.2689999999999998E-7</v>
      </c>
      <c r="E56" s="20">
        <f t="shared" si="0"/>
        <v>3.1724999999999993E-6</v>
      </c>
      <c r="F56" s="20" t="s">
        <v>698</v>
      </c>
      <c r="G56" s="20"/>
      <c r="H56" s="20">
        <v>5.04E-9</v>
      </c>
      <c r="I56" s="20">
        <f t="shared" si="1"/>
        <v>1.5019199999999999E-6</v>
      </c>
      <c r="J56" s="20" t="s">
        <v>698</v>
      </c>
      <c r="K56" s="26"/>
      <c r="L56" s="355">
        <f t="shared" si="2"/>
        <v>2.7565144199999999E-3</v>
      </c>
      <c r="M56" s="28"/>
    </row>
    <row r="57" spans="1:13" x14ac:dyDescent="0.25">
      <c r="A57" s="260" t="s">
        <v>701</v>
      </c>
      <c r="B57">
        <v>2.7518400000000002E-3</v>
      </c>
      <c r="C57">
        <v>0</v>
      </c>
      <c r="D57">
        <v>8.2500000000000004E-8</v>
      </c>
      <c r="E57">
        <f t="shared" si="0"/>
        <v>2.0625000000000002E-6</v>
      </c>
      <c r="F57" t="s">
        <v>698</v>
      </c>
      <c r="H57">
        <v>5.04E-9</v>
      </c>
      <c r="I57">
        <f t="shared" si="1"/>
        <v>1.5019199999999999E-6</v>
      </c>
      <c r="J57" t="s">
        <v>698</v>
      </c>
      <c r="K57" s="28"/>
      <c r="L57" s="355">
        <f t="shared" si="2"/>
        <v>2.75540442E-3</v>
      </c>
      <c r="M57" s="28"/>
    </row>
    <row r="58" spans="1:13" x14ac:dyDescent="0.25">
      <c r="A58" s="260" t="s">
        <v>702</v>
      </c>
      <c r="B58" s="20">
        <v>1.16E-3</v>
      </c>
      <c r="C58" s="20">
        <v>0</v>
      </c>
      <c r="D58" s="20">
        <v>1.3260000000000004E-7</v>
      </c>
      <c r="E58" s="20">
        <f t="shared" si="0"/>
        <v>3.3150000000000009E-6</v>
      </c>
      <c r="F58" s="20" t="s">
        <v>698</v>
      </c>
      <c r="G58" s="20"/>
      <c r="H58" s="20">
        <v>4.6399999999999999E-8</v>
      </c>
      <c r="I58" s="20">
        <f t="shared" si="1"/>
        <v>1.38272E-5</v>
      </c>
      <c r="J58" s="20" t="s">
        <v>698</v>
      </c>
      <c r="K58" s="26"/>
      <c r="L58" s="355">
        <f t="shared" si="2"/>
        <v>1.1771422E-3</v>
      </c>
      <c r="M58" s="28"/>
    </row>
    <row r="59" spans="1:13" x14ac:dyDescent="0.25">
      <c r="A59" s="260" t="s">
        <v>675</v>
      </c>
      <c r="B59">
        <v>3.1005900000000003E-3</v>
      </c>
      <c r="C59">
        <v>2.4804720000000005E-3</v>
      </c>
      <c r="D59">
        <v>1.3289999999999998E-7</v>
      </c>
      <c r="E59">
        <f t="shared" si="0"/>
        <v>3.3224999999999995E-6</v>
      </c>
      <c r="F59">
        <v>1.0151999999999999E-7</v>
      </c>
      <c r="G59">
        <f>F59*$H$5</f>
        <v>2.5379999999999997E-6</v>
      </c>
      <c r="H59">
        <v>2.538E-8</v>
      </c>
      <c r="I59">
        <f t="shared" si="1"/>
        <v>7.5632400000000001E-6</v>
      </c>
      <c r="J59">
        <v>2.0304000000000001E-8</v>
      </c>
      <c r="K59" s="28">
        <f>J59*$I$5</f>
        <v>6.0505919999999999E-6</v>
      </c>
      <c r="L59" s="355">
        <f t="shared" si="2"/>
        <v>3.1114757399999999E-3</v>
      </c>
      <c r="M59" s="357">
        <f t="shared" ref="M59:M96" si="3">C59+G59+K59</f>
        <v>2.4890605920000002E-3</v>
      </c>
    </row>
    <row r="60" spans="1:13" x14ac:dyDescent="0.25">
      <c r="A60" s="27" t="s">
        <v>703</v>
      </c>
      <c r="B60" s="20">
        <v>2.1175E-3</v>
      </c>
      <c r="C60" s="20">
        <v>0</v>
      </c>
      <c r="D60" s="20">
        <v>1.3289999999999998E-7</v>
      </c>
      <c r="E60" s="20">
        <f t="shared" si="0"/>
        <v>3.3224999999999995E-6</v>
      </c>
      <c r="F60" s="20" t="s">
        <v>698</v>
      </c>
      <c r="G60" s="20"/>
      <c r="H60" s="20">
        <v>1.6499999999999999E-8</v>
      </c>
      <c r="I60" s="20">
        <f t="shared" si="1"/>
        <v>4.9169999999999997E-6</v>
      </c>
      <c r="J60" s="20" t="s">
        <v>698</v>
      </c>
      <c r="K60" s="26"/>
      <c r="L60" s="356">
        <f t="shared" si="2"/>
        <v>2.1257394999999999E-3</v>
      </c>
      <c r="M60" s="28"/>
    </row>
    <row r="61" spans="1:13" x14ac:dyDescent="0.25">
      <c r="A61" s="260" t="s">
        <v>676</v>
      </c>
      <c r="B61">
        <v>2.8376399999999998E-3</v>
      </c>
      <c r="C61">
        <v>0</v>
      </c>
      <c r="D61">
        <v>1.3289999999999998E-7</v>
      </c>
      <c r="E61">
        <f t="shared" si="0"/>
        <v>3.3224999999999995E-6</v>
      </c>
      <c r="F61" t="s">
        <v>698</v>
      </c>
      <c r="H61">
        <v>2.6519999999999999E-8</v>
      </c>
      <c r="I61">
        <f t="shared" si="1"/>
        <v>7.9029599999999993E-6</v>
      </c>
      <c r="J61" t="s">
        <v>698</v>
      </c>
      <c r="K61" s="28"/>
      <c r="L61" s="355">
        <f t="shared" si="2"/>
        <v>2.8488654599999994E-3</v>
      </c>
      <c r="M61" s="28"/>
    </row>
    <row r="62" spans="1:13" x14ac:dyDescent="0.25">
      <c r="A62" s="260" t="s">
        <v>677</v>
      </c>
      <c r="B62" s="20">
        <v>3.0699899999999999E-3</v>
      </c>
      <c r="C62" s="20">
        <v>2.2717925999999997E-3</v>
      </c>
      <c r="D62" s="20">
        <v>1.3230000000000001E-7</v>
      </c>
      <c r="E62" s="20">
        <f t="shared" si="0"/>
        <v>3.3075000000000005E-6</v>
      </c>
      <c r="F62" s="20">
        <v>9.8345999999999986E-8</v>
      </c>
      <c r="G62" s="20">
        <f t="shared" ref="G62:G72" si="4">F62*$H$5</f>
        <v>2.4586499999999997E-6</v>
      </c>
      <c r="H62" s="20">
        <v>2.6579999999999997E-8</v>
      </c>
      <c r="I62" s="20">
        <f t="shared" si="1"/>
        <v>7.9208399999999999E-6</v>
      </c>
      <c r="J62" s="20">
        <v>1.9669199999999997E-8</v>
      </c>
      <c r="K62" s="26">
        <f t="shared" ref="K62:K72" si="5">J62*$I$5</f>
        <v>5.8614215999999991E-6</v>
      </c>
      <c r="L62" s="355">
        <f t="shared" si="2"/>
        <v>3.0812183399999997E-3</v>
      </c>
      <c r="M62" s="357">
        <f t="shared" si="3"/>
        <v>2.2801126715999995E-3</v>
      </c>
    </row>
    <row r="63" spans="1:13" x14ac:dyDescent="0.25">
      <c r="A63" s="29" t="s">
        <v>704</v>
      </c>
      <c r="B63">
        <v>3.101E-3</v>
      </c>
      <c r="C63">
        <v>2.20171E-3</v>
      </c>
      <c r="D63">
        <v>1.3139999999999997E-7</v>
      </c>
      <c r="E63">
        <f t="shared" si="0"/>
        <v>3.2849999999999995E-6</v>
      </c>
      <c r="F63">
        <v>9.4358999999999978E-8</v>
      </c>
      <c r="G63">
        <f t="shared" si="4"/>
        <v>2.3589749999999993E-6</v>
      </c>
      <c r="H63">
        <v>2.6579999999999997E-8</v>
      </c>
      <c r="I63">
        <f t="shared" si="1"/>
        <v>7.9208399999999999E-6</v>
      </c>
      <c r="J63">
        <v>1.8871799999999998E-8</v>
      </c>
      <c r="K63" s="28">
        <f t="shared" si="5"/>
        <v>5.6237963999999991E-6</v>
      </c>
      <c r="L63" s="356">
        <f t="shared" ref="L63:L72" si="6">B63+E63+I63</f>
        <v>3.1122058399999999E-3</v>
      </c>
      <c r="M63" s="340">
        <f t="shared" si="3"/>
        <v>2.2096927713999999E-3</v>
      </c>
    </row>
    <row r="64" spans="1:13" x14ac:dyDescent="0.25">
      <c r="A64" s="27" t="s">
        <v>705</v>
      </c>
      <c r="B64" s="20">
        <v>3.101E-3</v>
      </c>
      <c r="C64" s="20">
        <v>2.20171E-3</v>
      </c>
      <c r="D64" s="20">
        <v>1.1430000000000001E-7</v>
      </c>
      <c r="E64" s="20">
        <f t="shared" si="0"/>
        <v>2.8575000000000002E-6</v>
      </c>
      <c r="F64" s="20">
        <v>9.4358999999999978E-8</v>
      </c>
      <c r="G64" s="20">
        <f t="shared" si="4"/>
        <v>2.3589749999999993E-6</v>
      </c>
      <c r="H64" s="20">
        <v>2.6579999999999997E-8</v>
      </c>
      <c r="I64" s="20">
        <f t="shared" si="1"/>
        <v>7.9208399999999999E-6</v>
      </c>
      <c r="J64" s="20">
        <v>1.8871799999999998E-8</v>
      </c>
      <c r="K64" s="26">
        <f t="shared" si="5"/>
        <v>5.6237963999999991E-6</v>
      </c>
      <c r="L64" s="356">
        <f t="shared" si="6"/>
        <v>3.1117783399999999E-3</v>
      </c>
      <c r="M64" s="340">
        <f t="shared" si="3"/>
        <v>2.2096927713999999E-3</v>
      </c>
    </row>
    <row r="65" spans="1:13" x14ac:dyDescent="0.25">
      <c r="A65" s="29" t="s">
        <v>706</v>
      </c>
      <c r="B65">
        <v>3.15315E-3</v>
      </c>
      <c r="C65">
        <v>2.4909885000000001E-3</v>
      </c>
      <c r="D65">
        <v>1.29E-7</v>
      </c>
      <c r="E65">
        <f t="shared" si="0"/>
        <v>3.225E-6</v>
      </c>
      <c r="F65">
        <v>1.0451700000000001E-7</v>
      </c>
      <c r="G65">
        <f t="shared" si="4"/>
        <v>2.6129250000000001E-6</v>
      </c>
      <c r="H65">
        <v>2.646E-8</v>
      </c>
      <c r="I65">
        <f t="shared" si="1"/>
        <v>7.8850800000000004E-6</v>
      </c>
      <c r="J65">
        <v>2.09034E-8</v>
      </c>
      <c r="K65" s="28">
        <f t="shared" si="5"/>
        <v>6.2292132E-6</v>
      </c>
      <c r="L65" s="356">
        <f t="shared" si="6"/>
        <v>3.16426008E-3</v>
      </c>
      <c r="M65" s="340">
        <f t="shared" si="3"/>
        <v>2.4998306382000004E-3</v>
      </c>
    </row>
    <row r="66" spans="1:13" x14ac:dyDescent="0.25">
      <c r="A66" s="27" t="s">
        <v>707</v>
      </c>
      <c r="B66" s="20">
        <v>3.1492199999999999E-3</v>
      </c>
      <c r="C66" s="20">
        <v>2.5193760000000003E-3</v>
      </c>
      <c r="D66" s="20">
        <v>1.212E-7</v>
      </c>
      <c r="E66" s="20">
        <f t="shared" si="0"/>
        <v>3.0299999999999998E-6</v>
      </c>
      <c r="F66" s="20">
        <v>1.0511999999999998E-7</v>
      </c>
      <c r="G66" s="20">
        <f t="shared" si="4"/>
        <v>2.6279999999999992E-6</v>
      </c>
      <c r="H66" s="20">
        <v>2.6279999999999998E-8</v>
      </c>
      <c r="I66" s="20">
        <f t="shared" si="1"/>
        <v>7.8314399999999987E-6</v>
      </c>
      <c r="J66" s="20">
        <v>2.1024E-8</v>
      </c>
      <c r="K66" s="26">
        <f t="shared" si="5"/>
        <v>6.2651520000000001E-6</v>
      </c>
      <c r="L66" s="356">
        <f t="shared" si="6"/>
        <v>3.1600814399999995E-3</v>
      </c>
      <c r="M66" s="340">
        <f t="shared" si="3"/>
        <v>2.5282691520000003E-3</v>
      </c>
    </row>
    <row r="67" spans="1:13" x14ac:dyDescent="0.25">
      <c r="A67" s="260" t="s">
        <v>678</v>
      </c>
      <c r="B67">
        <v>2.7927300000000002E-3</v>
      </c>
      <c r="C67">
        <v>2.7927300000000002E-3</v>
      </c>
      <c r="D67">
        <v>4.73E-8</v>
      </c>
      <c r="E67">
        <f t="shared" si="0"/>
        <v>1.1824999999999999E-6</v>
      </c>
      <c r="F67">
        <v>1.1430000000000001E-7</v>
      </c>
      <c r="G67">
        <f t="shared" si="4"/>
        <v>2.8575000000000002E-6</v>
      </c>
      <c r="H67">
        <v>2.2860000000000001E-8</v>
      </c>
      <c r="I67">
        <f t="shared" si="1"/>
        <v>6.8122800000000003E-6</v>
      </c>
      <c r="J67">
        <v>2.2860000000000001E-8</v>
      </c>
      <c r="K67" s="28">
        <f t="shared" si="5"/>
        <v>6.8122800000000003E-6</v>
      </c>
      <c r="L67" s="355">
        <f t="shared" si="6"/>
        <v>2.80072478E-3</v>
      </c>
      <c r="M67" s="357">
        <f t="shared" si="3"/>
        <v>2.80239978E-3</v>
      </c>
    </row>
    <row r="68" spans="1:13" x14ac:dyDescent="0.25">
      <c r="A68" s="260" t="s">
        <v>708</v>
      </c>
      <c r="B68" s="20">
        <v>3.1863E-3</v>
      </c>
      <c r="C68" s="20">
        <v>2.6764919999999999E-3</v>
      </c>
      <c r="D68" s="20">
        <v>4.6399999999999999E-8</v>
      </c>
      <c r="E68" s="20">
        <f t="shared" si="0"/>
        <v>1.1599999999999999E-6</v>
      </c>
      <c r="F68" s="20">
        <v>1.0836E-7</v>
      </c>
      <c r="G68" s="20">
        <f t="shared" si="4"/>
        <v>2.7089999999999998E-6</v>
      </c>
      <c r="H68" s="20">
        <v>2.5799999999999999E-8</v>
      </c>
      <c r="I68" s="20">
        <f t="shared" si="1"/>
        <v>7.6883999999999991E-6</v>
      </c>
      <c r="J68" s="20">
        <v>2.1671999999999997E-8</v>
      </c>
      <c r="K68" s="26">
        <f t="shared" si="5"/>
        <v>6.4582559999999993E-6</v>
      </c>
      <c r="L68" s="355">
        <f t="shared" si="6"/>
        <v>3.1951484000000002E-3</v>
      </c>
      <c r="M68" s="357">
        <f t="shared" si="3"/>
        <v>2.6856592559999998E-3</v>
      </c>
    </row>
    <row r="69" spans="1:13" x14ac:dyDescent="0.25">
      <c r="A69" s="260" t="s">
        <v>680</v>
      </c>
      <c r="B69">
        <v>3.1269600000000002E-3</v>
      </c>
      <c r="C69">
        <v>2.9393423999999999E-3</v>
      </c>
      <c r="D69">
        <v>1.335E-7</v>
      </c>
      <c r="E69">
        <f t="shared" si="0"/>
        <v>3.3374999999999998E-6</v>
      </c>
      <c r="F69">
        <v>1.13928E-7</v>
      </c>
      <c r="G69">
        <f t="shared" si="4"/>
        <v>2.8482000000000001E-6</v>
      </c>
      <c r="H69">
        <v>2.4239999999999997E-8</v>
      </c>
      <c r="I69">
        <f t="shared" si="1"/>
        <v>7.2235199999999992E-6</v>
      </c>
      <c r="J69">
        <v>2.2785599999999995E-8</v>
      </c>
      <c r="K69" s="28">
        <f t="shared" si="5"/>
        <v>6.7901087999999985E-6</v>
      </c>
      <c r="L69" s="355">
        <f t="shared" si="6"/>
        <v>3.1375210200000002E-3</v>
      </c>
      <c r="M69" s="357">
        <f t="shared" si="3"/>
        <v>2.9489807087999995E-3</v>
      </c>
    </row>
    <row r="70" spans="1:13" x14ac:dyDescent="0.25">
      <c r="A70" s="260" t="s">
        <v>709</v>
      </c>
      <c r="B70" s="20">
        <v>2.9846300000000003E-3</v>
      </c>
      <c r="C70" s="20">
        <v>1.6117002000000003E-3</v>
      </c>
      <c r="D70" s="20">
        <v>1.2060000000000001E-7</v>
      </c>
      <c r="E70" s="20">
        <f t="shared" si="0"/>
        <v>3.0150000000000004E-6</v>
      </c>
      <c r="F70" s="20">
        <v>2.5542000000000001E-8</v>
      </c>
      <c r="G70" s="20">
        <f t="shared" si="4"/>
        <v>6.3855000000000001E-7</v>
      </c>
      <c r="H70" s="20">
        <v>4.7299999999999992E-9</v>
      </c>
      <c r="I70" s="20">
        <f t="shared" si="1"/>
        <v>1.4095399999999998E-6</v>
      </c>
      <c r="J70" s="20">
        <v>2.5541999999999997E-9</v>
      </c>
      <c r="K70" s="26">
        <f t="shared" si="5"/>
        <v>7.6115159999999988E-7</v>
      </c>
      <c r="L70" s="355">
        <f t="shared" si="6"/>
        <v>2.9890545400000001E-3</v>
      </c>
      <c r="M70" s="357">
        <f t="shared" si="3"/>
        <v>1.6130999016000004E-3</v>
      </c>
    </row>
    <row r="71" spans="1:13" x14ac:dyDescent="0.25">
      <c r="A71" s="260" t="s">
        <v>681</v>
      </c>
      <c r="B71">
        <v>2.8582399999999997E-3</v>
      </c>
      <c r="C71">
        <v>3.7157119999999993E-6</v>
      </c>
      <c r="D71">
        <v>1.2060000000000001E-7</v>
      </c>
      <c r="E71">
        <f t="shared" si="0"/>
        <v>3.0150000000000004E-6</v>
      </c>
      <c r="F71">
        <v>6.0319999999999992E-11</v>
      </c>
      <c r="G71">
        <f t="shared" si="4"/>
        <v>1.5079999999999998E-9</v>
      </c>
      <c r="H71">
        <v>4.6399999999999997E-9</v>
      </c>
      <c r="I71">
        <f t="shared" si="1"/>
        <v>1.3827199999999998E-6</v>
      </c>
      <c r="J71">
        <v>6.0319999999999993E-12</v>
      </c>
      <c r="K71" s="28">
        <f t="shared" si="5"/>
        <v>1.7975359999999997E-9</v>
      </c>
      <c r="L71" s="355">
        <f t="shared" si="6"/>
        <v>2.8626377199999996E-3</v>
      </c>
      <c r="M71" s="357">
        <f t="shared" si="3"/>
        <v>3.7190175359999995E-6</v>
      </c>
    </row>
    <row r="72" spans="1:13" x14ac:dyDescent="0.25">
      <c r="A72" s="27" t="s">
        <v>710</v>
      </c>
      <c r="B72" s="20">
        <v>3.2618499999999997E-3</v>
      </c>
      <c r="C72" s="20">
        <v>2.5116244999999998E-3</v>
      </c>
      <c r="D72" s="20">
        <v>9.7500000000000006E-8</v>
      </c>
      <c r="E72" s="20">
        <f t="shared" si="0"/>
        <v>2.4375E-6</v>
      </c>
      <c r="F72" s="20">
        <v>1.02795E-7</v>
      </c>
      <c r="G72" s="20">
        <f t="shared" si="4"/>
        <v>2.5698750000000001E-6</v>
      </c>
      <c r="H72" s="20">
        <v>2.6700000000000001E-8</v>
      </c>
      <c r="I72" s="20">
        <f t="shared" si="1"/>
        <v>7.956600000000001E-6</v>
      </c>
      <c r="J72" s="20">
        <v>2.0559000000000002E-8</v>
      </c>
      <c r="K72" s="26">
        <f t="shared" si="5"/>
        <v>6.1265820000000007E-6</v>
      </c>
      <c r="L72" s="356">
        <f t="shared" si="6"/>
        <v>3.2722440999999997E-3</v>
      </c>
      <c r="M72" s="340">
        <f t="shared" si="3"/>
        <v>2.5203209569999996E-3</v>
      </c>
    </row>
    <row r="73" spans="1:13" x14ac:dyDescent="0.25">
      <c r="A73" t="s">
        <v>711</v>
      </c>
      <c r="B73">
        <v>3.24414E-3</v>
      </c>
      <c r="C73">
        <v>0</v>
      </c>
      <c r="D73">
        <v>1.29E-7</v>
      </c>
      <c r="E73">
        <f t="shared" si="0"/>
        <v>3.225E-6</v>
      </c>
      <c r="F73" t="s">
        <v>698</v>
      </c>
      <c r="H73">
        <v>2.412E-8</v>
      </c>
      <c r="I73">
        <f t="shared" si="1"/>
        <v>7.1877599999999998E-6</v>
      </c>
      <c r="J73" t="s">
        <v>698</v>
      </c>
      <c r="K73" s="28"/>
      <c r="L73" s="356">
        <f t="shared" si="2"/>
        <v>3.25455276E-3</v>
      </c>
      <c r="M73" s="28"/>
    </row>
    <row r="74" spans="1:13" x14ac:dyDescent="0.25">
      <c r="A74" s="27" t="s">
        <v>712</v>
      </c>
      <c r="B74" s="20">
        <v>2.9466599999999998E-3</v>
      </c>
      <c r="C74" s="20">
        <v>2.9466599999999998E-3</v>
      </c>
      <c r="D74" s="20">
        <v>4.95E-8</v>
      </c>
      <c r="E74" s="20">
        <f t="shared" si="0"/>
        <v>1.2375E-6</v>
      </c>
      <c r="F74" s="20">
        <v>1.2060000000000001E-7</v>
      </c>
      <c r="G74" s="20">
        <f>F74*$H$5</f>
        <v>3.0150000000000004E-6</v>
      </c>
      <c r="H74" s="20">
        <v>2.412E-8</v>
      </c>
      <c r="I74" s="20">
        <f t="shared" si="1"/>
        <v>7.1877599999999998E-6</v>
      </c>
      <c r="J74" s="20">
        <v>2.412E-8</v>
      </c>
      <c r="K74" s="26">
        <f>J74*$I$5</f>
        <v>7.1877599999999998E-6</v>
      </c>
      <c r="L74" s="356">
        <f t="shared" si="2"/>
        <v>2.9550852599999999E-3</v>
      </c>
      <c r="M74" s="340">
        <f t="shared" si="3"/>
        <v>2.9568627599999998E-3</v>
      </c>
    </row>
    <row r="75" spans="1:13" x14ac:dyDescent="0.25">
      <c r="A75" s="29" t="s">
        <v>713</v>
      </c>
      <c r="B75">
        <v>3.1687500000000001E-3</v>
      </c>
      <c r="C75">
        <v>0</v>
      </c>
      <c r="D75">
        <v>1.2060000000000001E-7</v>
      </c>
      <c r="E75">
        <f t="shared" si="0"/>
        <v>3.0150000000000004E-6</v>
      </c>
      <c r="F75" t="s">
        <v>698</v>
      </c>
      <c r="H75">
        <v>1.9499999999999999E-8</v>
      </c>
      <c r="I75">
        <f t="shared" si="1"/>
        <v>5.8109999999999999E-6</v>
      </c>
      <c r="J75" t="s">
        <v>698</v>
      </c>
      <c r="K75" s="28"/>
      <c r="L75" s="356">
        <f t="shared" si="2"/>
        <v>3.1775760000000001E-3</v>
      </c>
      <c r="M75" s="28"/>
    </row>
    <row r="76" spans="1:13" x14ac:dyDescent="0.25">
      <c r="A76" s="27" t="s">
        <v>714</v>
      </c>
      <c r="B76" s="20">
        <v>3.1519E-3</v>
      </c>
      <c r="C76" s="20">
        <v>0</v>
      </c>
      <c r="D76" s="20">
        <v>1.2060000000000001E-7</v>
      </c>
      <c r="E76" s="20">
        <f t="shared" si="0"/>
        <v>3.0150000000000004E-6</v>
      </c>
      <c r="F76" s="20" t="s">
        <v>698</v>
      </c>
      <c r="G76" s="20"/>
      <c r="H76" s="20">
        <v>2.5799999999999999E-8</v>
      </c>
      <c r="I76" s="20">
        <f t="shared" si="1"/>
        <v>7.6883999999999991E-6</v>
      </c>
      <c r="J76" s="20" t="s">
        <v>698</v>
      </c>
      <c r="K76" s="26"/>
      <c r="L76" s="356">
        <f t="shared" si="2"/>
        <v>3.1626034000000001E-3</v>
      </c>
      <c r="M76" s="28"/>
    </row>
    <row r="77" spans="1:13" x14ac:dyDescent="0.25">
      <c r="A77" t="s">
        <v>715</v>
      </c>
      <c r="B77">
        <v>2.8511999999999999E-3</v>
      </c>
      <c r="C77">
        <v>0</v>
      </c>
      <c r="D77">
        <v>1.2060000000000001E-7</v>
      </c>
      <c r="E77">
        <f t="shared" ref="E77:E96" si="7">D77*$H$5</f>
        <v>3.0150000000000004E-6</v>
      </c>
      <c r="F77" t="s">
        <v>698</v>
      </c>
      <c r="H77">
        <v>4.9500000000000005E-9</v>
      </c>
      <c r="I77">
        <f t="shared" ref="I77:I96" si="8">H77*$I$5</f>
        <v>1.4751000000000001E-6</v>
      </c>
      <c r="J77" t="s">
        <v>698</v>
      </c>
      <c r="K77" s="28"/>
      <c r="L77" s="356">
        <f t="shared" si="2"/>
        <v>2.8556900999999997E-3</v>
      </c>
      <c r="M77" s="28"/>
    </row>
    <row r="78" spans="1:13" x14ac:dyDescent="0.25">
      <c r="A78" s="27" t="s">
        <v>716</v>
      </c>
      <c r="B78" s="20">
        <v>2.9466599999999998E-3</v>
      </c>
      <c r="C78" s="20">
        <v>0</v>
      </c>
      <c r="D78" s="20">
        <v>2.6700000000000001E-8</v>
      </c>
      <c r="E78" s="20">
        <f t="shared" si="7"/>
        <v>6.6750000000000007E-7</v>
      </c>
      <c r="F78" s="20" t="s">
        <v>698</v>
      </c>
      <c r="G78" s="20"/>
      <c r="H78" s="20">
        <v>2.412E-8</v>
      </c>
      <c r="I78" s="20">
        <f t="shared" si="8"/>
        <v>7.1877599999999998E-6</v>
      </c>
      <c r="J78" s="20" t="s">
        <v>698</v>
      </c>
      <c r="K78" s="26"/>
      <c r="L78" s="356">
        <f t="shared" si="2"/>
        <v>2.9545152599999998E-3</v>
      </c>
      <c r="M78" s="28"/>
    </row>
    <row r="79" spans="1:13" x14ac:dyDescent="0.25">
      <c r="A79" s="29" t="s">
        <v>717</v>
      </c>
      <c r="B79">
        <v>2.9466599999999998E-3</v>
      </c>
      <c r="C79">
        <v>0</v>
      </c>
      <c r="D79">
        <v>2.8199999999999998E-8</v>
      </c>
      <c r="E79">
        <f t="shared" si="7"/>
        <v>7.0499999999999992E-7</v>
      </c>
      <c r="F79" t="s">
        <v>698</v>
      </c>
      <c r="H79">
        <v>2.412E-8</v>
      </c>
      <c r="I79">
        <f t="shared" si="8"/>
        <v>7.1877599999999998E-6</v>
      </c>
      <c r="J79" t="s">
        <v>698</v>
      </c>
      <c r="K79" s="28"/>
      <c r="L79" s="356">
        <f t="shared" si="2"/>
        <v>2.95455276E-3</v>
      </c>
      <c r="M79" s="28"/>
    </row>
    <row r="80" spans="1:13" x14ac:dyDescent="0.25">
      <c r="A80" s="260" t="s">
        <v>718</v>
      </c>
      <c r="B80" s="20">
        <v>2.9466599999999998E-3</v>
      </c>
      <c r="C80" s="20">
        <v>0</v>
      </c>
      <c r="D80" s="20">
        <v>2.5799999999999999E-8</v>
      </c>
      <c r="E80" s="20">
        <f t="shared" si="7"/>
        <v>6.4499999999999997E-7</v>
      </c>
      <c r="F80" s="20" t="s">
        <v>698</v>
      </c>
      <c r="G80" s="20"/>
      <c r="H80" s="20">
        <v>2.412E-8</v>
      </c>
      <c r="I80" s="20">
        <f t="shared" si="8"/>
        <v>7.1877599999999998E-6</v>
      </c>
      <c r="J80" s="20" t="s">
        <v>698</v>
      </c>
      <c r="K80" s="26"/>
      <c r="L80" s="355">
        <f t="shared" si="2"/>
        <v>2.95449276E-3</v>
      </c>
      <c r="M80" s="28"/>
    </row>
    <row r="81" spans="1:13" x14ac:dyDescent="0.25">
      <c r="A81" s="29" t="s">
        <v>719</v>
      </c>
      <c r="B81">
        <v>2.6246100000000003E-3</v>
      </c>
      <c r="C81">
        <v>0</v>
      </c>
      <c r="D81">
        <v>1.8899999999999997E-8</v>
      </c>
      <c r="E81">
        <f t="shared" si="7"/>
        <v>4.7249999999999992E-7</v>
      </c>
      <c r="F81" t="s">
        <v>698</v>
      </c>
      <c r="H81">
        <v>4.0049999999999998E-8</v>
      </c>
      <c r="I81">
        <f t="shared" si="8"/>
        <v>1.19349E-5</v>
      </c>
      <c r="J81" t="s">
        <v>698</v>
      </c>
      <c r="K81" s="28"/>
      <c r="L81" s="356">
        <f t="shared" si="2"/>
        <v>2.6370174000000003E-3</v>
      </c>
      <c r="M81" s="28"/>
    </row>
    <row r="82" spans="1:13" x14ac:dyDescent="0.25">
      <c r="A82" s="27" t="s">
        <v>720</v>
      </c>
      <c r="B82" s="20">
        <v>2.6677199999999997E-3</v>
      </c>
      <c r="C82" s="20">
        <v>0</v>
      </c>
      <c r="D82" s="20">
        <v>1.1900000000000001E-8</v>
      </c>
      <c r="E82" s="20">
        <f t="shared" si="7"/>
        <v>2.9750000000000001E-7</v>
      </c>
      <c r="F82" s="20" t="s">
        <v>698</v>
      </c>
      <c r="G82" s="20"/>
      <c r="H82" s="20">
        <v>4.2299999999999995E-8</v>
      </c>
      <c r="I82" s="20">
        <f t="shared" si="8"/>
        <v>1.2605399999999998E-5</v>
      </c>
      <c r="J82" s="20" t="s">
        <v>698</v>
      </c>
      <c r="K82" s="26"/>
      <c r="L82" s="356">
        <f t="shared" si="2"/>
        <v>2.6806228999999996E-3</v>
      </c>
      <c r="M82" s="28"/>
    </row>
    <row r="83" spans="1:13" x14ac:dyDescent="0.25">
      <c r="A83" s="29" t="s">
        <v>721</v>
      </c>
      <c r="B83">
        <v>2.4406799999999998E-3</v>
      </c>
      <c r="C83">
        <v>0</v>
      </c>
      <c r="D83">
        <v>8.9000000000000003E-9</v>
      </c>
      <c r="E83">
        <f t="shared" si="7"/>
        <v>2.2250000000000001E-7</v>
      </c>
      <c r="F83" t="s">
        <v>698</v>
      </c>
      <c r="H83">
        <v>3.8700000000000002E-8</v>
      </c>
      <c r="I83">
        <f t="shared" si="8"/>
        <v>1.15326E-5</v>
      </c>
      <c r="J83" t="s">
        <v>698</v>
      </c>
      <c r="K83" s="28"/>
      <c r="L83" s="356">
        <f t="shared" si="2"/>
        <v>2.4524350999999998E-3</v>
      </c>
      <c r="M83" s="28"/>
    </row>
    <row r="84" spans="1:13" x14ac:dyDescent="0.25">
      <c r="A84" s="27" t="s">
        <v>722</v>
      </c>
      <c r="B84" s="20">
        <v>1.8162899999999997E-3</v>
      </c>
      <c r="C84" s="20">
        <v>0</v>
      </c>
      <c r="D84" s="20">
        <v>2.07E-8</v>
      </c>
      <c r="E84" s="20">
        <f t="shared" si="7"/>
        <v>5.1750000000000002E-7</v>
      </c>
      <c r="F84" s="20" t="s">
        <v>698</v>
      </c>
      <c r="G84" s="20"/>
      <c r="H84" s="20">
        <v>2.8349999999999999E-8</v>
      </c>
      <c r="I84" s="20">
        <f t="shared" si="8"/>
        <v>8.4483000000000001E-6</v>
      </c>
      <c r="J84" s="20" t="s">
        <v>698</v>
      </c>
      <c r="K84" s="26"/>
      <c r="L84" s="356">
        <f t="shared" si="2"/>
        <v>1.8252557999999996E-3</v>
      </c>
      <c r="M84" s="28"/>
    </row>
    <row r="85" spans="1:13" x14ac:dyDescent="0.25">
      <c r="A85" s="260" t="s">
        <v>723</v>
      </c>
      <c r="B85">
        <v>1.2019000000000001E-3</v>
      </c>
      <c r="C85">
        <v>0</v>
      </c>
      <c r="D85">
        <v>2.07E-8</v>
      </c>
      <c r="E85">
        <f t="shared" si="7"/>
        <v>5.1750000000000002E-7</v>
      </c>
      <c r="F85" t="s">
        <v>698</v>
      </c>
      <c r="H85">
        <v>1.7850000000000001E-8</v>
      </c>
      <c r="I85">
        <f t="shared" si="8"/>
        <v>5.3193E-6</v>
      </c>
      <c r="J85" t="s">
        <v>698</v>
      </c>
      <c r="K85" s="28"/>
      <c r="L85" s="355">
        <f t="shared" si="2"/>
        <v>1.2077368000000001E-3</v>
      </c>
      <c r="M85" s="28"/>
    </row>
    <row r="86" spans="1:13" x14ac:dyDescent="0.25">
      <c r="A86" s="260" t="s">
        <v>724</v>
      </c>
      <c r="B86" s="20">
        <v>9.523E-4</v>
      </c>
      <c r="C86" s="20">
        <v>0</v>
      </c>
      <c r="D86" s="20">
        <v>2.8199999999999998E-8</v>
      </c>
      <c r="E86" s="20">
        <f t="shared" si="7"/>
        <v>7.0499999999999992E-7</v>
      </c>
      <c r="F86" s="20" t="s">
        <v>698</v>
      </c>
      <c r="G86" s="20"/>
      <c r="H86" s="20">
        <v>1.3350000000000002E-8</v>
      </c>
      <c r="I86" s="20">
        <f t="shared" si="8"/>
        <v>3.9783000000000005E-6</v>
      </c>
      <c r="J86" s="20" t="s">
        <v>698</v>
      </c>
      <c r="K86" s="26"/>
      <c r="L86" s="355">
        <f t="shared" si="2"/>
        <v>9.569833E-4</v>
      </c>
      <c r="M86" s="28"/>
    </row>
    <row r="87" spans="1:13" x14ac:dyDescent="0.25">
      <c r="A87" s="260" t="s">
        <v>685</v>
      </c>
      <c r="B87">
        <v>2.0182500000000001E-3</v>
      </c>
      <c r="C87">
        <v>0</v>
      </c>
      <c r="D87">
        <v>2.8199999999999998E-8</v>
      </c>
      <c r="E87">
        <f t="shared" si="7"/>
        <v>7.0499999999999992E-7</v>
      </c>
      <c r="F87" t="s">
        <v>698</v>
      </c>
      <c r="H87">
        <v>3.1049999999999997E-8</v>
      </c>
      <c r="I87">
        <f t="shared" si="8"/>
        <v>9.2528999999999991E-6</v>
      </c>
      <c r="J87" t="s">
        <v>698</v>
      </c>
      <c r="K87" s="28"/>
      <c r="L87" s="355">
        <f t="shared" si="2"/>
        <v>2.0282079000000001E-3</v>
      </c>
      <c r="M87" s="28"/>
    </row>
    <row r="88" spans="1:13" x14ac:dyDescent="0.25">
      <c r="A88" s="27" t="s">
        <v>725</v>
      </c>
      <c r="B88" s="20">
        <v>2.0182500000000001E-3</v>
      </c>
      <c r="C88" s="20">
        <v>0</v>
      </c>
      <c r="D88" s="20">
        <v>2.7999999999999999E-8</v>
      </c>
      <c r="E88" s="20">
        <f t="shared" si="7"/>
        <v>6.9999999999999997E-7</v>
      </c>
      <c r="F88" s="20" t="s">
        <v>698</v>
      </c>
      <c r="G88" s="20"/>
      <c r="H88" s="20">
        <v>3.1049999999999997E-8</v>
      </c>
      <c r="I88" s="20">
        <f t="shared" si="8"/>
        <v>9.2528999999999991E-6</v>
      </c>
      <c r="J88" s="20" t="s">
        <v>698</v>
      </c>
      <c r="K88" s="26"/>
      <c r="L88" s="356">
        <f t="shared" si="2"/>
        <v>2.0282029000000001E-3</v>
      </c>
      <c r="M88" s="28"/>
    </row>
    <row r="89" spans="1:13" x14ac:dyDescent="0.25">
      <c r="A89" s="29" t="s">
        <v>726</v>
      </c>
      <c r="B89">
        <v>3.0173999999999999E-3</v>
      </c>
      <c r="C89">
        <v>0</v>
      </c>
      <c r="D89">
        <v>3.8700000000000002E-8</v>
      </c>
      <c r="E89">
        <f t="shared" si="7"/>
        <v>9.6750000000000005E-7</v>
      </c>
      <c r="F89" t="s">
        <v>698</v>
      </c>
      <c r="H89">
        <v>4.2299999999999995E-8</v>
      </c>
      <c r="I89">
        <f t="shared" si="8"/>
        <v>1.2605399999999998E-5</v>
      </c>
      <c r="J89" t="s">
        <v>698</v>
      </c>
      <c r="K89" s="28"/>
      <c r="L89" s="356">
        <f t="shared" si="2"/>
        <v>3.0309728999999997E-3</v>
      </c>
      <c r="M89" s="28"/>
    </row>
    <row r="90" spans="1:13" x14ac:dyDescent="0.25">
      <c r="A90" s="27" t="s">
        <v>727</v>
      </c>
      <c r="B90" s="20">
        <v>3.0173999999999999E-3</v>
      </c>
      <c r="C90" s="20">
        <v>0</v>
      </c>
      <c r="D90" s="20">
        <v>3.8700000000000002E-8</v>
      </c>
      <c r="E90" s="20">
        <f t="shared" si="7"/>
        <v>9.6750000000000005E-7</v>
      </c>
      <c r="F90" s="20" t="s">
        <v>698</v>
      </c>
      <c r="G90" s="20"/>
      <c r="H90" s="20">
        <v>2.8200000000000002E-9</v>
      </c>
      <c r="I90" s="20">
        <f t="shared" si="8"/>
        <v>8.4036000000000009E-7</v>
      </c>
      <c r="J90" s="20" t="s">
        <v>698</v>
      </c>
      <c r="K90" s="26"/>
      <c r="L90" s="356">
        <f t="shared" si="2"/>
        <v>3.0192078599999999E-3</v>
      </c>
      <c r="M90" s="28"/>
    </row>
    <row r="91" spans="1:13" x14ac:dyDescent="0.25">
      <c r="A91" s="29" t="s">
        <v>728</v>
      </c>
      <c r="B91">
        <v>2.2596000000000001E-3</v>
      </c>
      <c r="C91">
        <v>0</v>
      </c>
      <c r="D91">
        <v>2.4700000000000004E-9</v>
      </c>
      <c r="E91">
        <f t="shared" si="7"/>
        <v>6.1750000000000007E-8</v>
      </c>
      <c r="F91" t="s">
        <v>698</v>
      </c>
      <c r="H91">
        <v>4.1999999999999999E-8</v>
      </c>
      <c r="I91">
        <f t="shared" si="8"/>
        <v>1.2516E-5</v>
      </c>
      <c r="J91" t="s">
        <v>698</v>
      </c>
      <c r="K91" s="28"/>
      <c r="L91" s="356">
        <f t="shared" si="2"/>
        <v>2.2721777500000003E-3</v>
      </c>
      <c r="M91" s="28"/>
    </row>
    <row r="92" spans="1:13" x14ac:dyDescent="0.25">
      <c r="A92" s="27" t="s">
        <v>729</v>
      </c>
      <c r="B92" s="20">
        <v>1.7182800000000002E-3</v>
      </c>
      <c r="C92" s="20">
        <v>0</v>
      </c>
      <c r="D92" s="20">
        <v>7.06E-9</v>
      </c>
      <c r="E92" s="20">
        <f t="shared" si="7"/>
        <v>1.765E-7</v>
      </c>
      <c r="F92" s="20" t="s">
        <v>698</v>
      </c>
      <c r="G92" s="20"/>
      <c r="H92" s="20">
        <v>3.8700000000000009E-9</v>
      </c>
      <c r="I92" s="20">
        <f t="shared" si="8"/>
        <v>1.1532600000000002E-6</v>
      </c>
      <c r="J92" s="20" t="s">
        <v>698</v>
      </c>
      <c r="K92" s="26"/>
      <c r="L92" s="356">
        <f t="shared" si="2"/>
        <v>1.7196097600000002E-3</v>
      </c>
      <c r="M92" s="28"/>
    </row>
    <row r="93" spans="1:13" x14ac:dyDescent="0.25">
      <c r="A93" s="29" t="s">
        <v>730</v>
      </c>
      <c r="B93">
        <v>1.7182800000000002E-3</v>
      </c>
      <c r="C93">
        <v>0</v>
      </c>
      <c r="D93">
        <v>4.8E-8</v>
      </c>
      <c r="E93">
        <f t="shared" si="7"/>
        <v>1.1999999999999999E-6</v>
      </c>
      <c r="F93" t="s">
        <v>698</v>
      </c>
      <c r="H93">
        <v>3.8700000000000009E-9</v>
      </c>
      <c r="I93">
        <f t="shared" si="8"/>
        <v>1.1532600000000002E-6</v>
      </c>
      <c r="J93" t="s">
        <v>698</v>
      </c>
      <c r="K93" s="28"/>
      <c r="L93" s="356">
        <f t="shared" si="2"/>
        <v>1.7206332600000003E-3</v>
      </c>
      <c r="M93" s="28"/>
    </row>
    <row r="94" spans="1:13" x14ac:dyDescent="0.25">
      <c r="A94" s="27" t="s">
        <v>853</v>
      </c>
      <c r="B94" s="20">
        <v>6.422E-4</v>
      </c>
      <c r="C94" s="20">
        <v>0</v>
      </c>
      <c r="D94" s="20">
        <v>2.4700000000000004E-9</v>
      </c>
      <c r="E94" s="20">
        <f t="shared" si="7"/>
        <v>6.1750000000000007E-8</v>
      </c>
      <c r="F94" s="20" t="s">
        <v>698</v>
      </c>
      <c r="G94" s="20"/>
      <c r="H94" s="20">
        <v>2.4700000000000003E-10</v>
      </c>
      <c r="I94" s="20">
        <f t="shared" si="8"/>
        <v>7.3606000000000004E-8</v>
      </c>
      <c r="J94" s="20" t="s">
        <v>698</v>
      </c>
      <c r="K94" s="26"/>
      <c r="L94" s="356">
        <f t="shared" si="2"/>
        <v>6.4233535600000005E-4</v>
      </c>
      <c r="M94" s="28"/>
    </row>
    <row r="95" spans="1:13" x14ac:dyDescent="0.25">
      <c r="A95" s="29" t="s">
        <v>731</v>
      </c>
      <c r="B95">
        <v>1.2849200000000002E-3</v>
      </c>
      <c r="C95">
        <v>0</v>
      </c>
      <c r="D95">
        <v>7.06E-9</v>
      </c>
      <c r="E95">
        <f t="shared" si="7"/>
        <v>1.765E-7</v>
      </c>
      <c r="F95" t="s">
        <v>698</v>
      </c>
      <c r="H95">
        <v>7.0599999999999994E-10</v>
      </c>
      <c r="I95">
        <f t="shared" si="8"/>
        <v>2.1038799999999999E-7</v>
      </c>
      <c r="J95" t="s">
        <v>698</v>
      </c>
      <c r="K95" s="28"/>
      <c r="L95" s="356">
        <f t="shared" si="2"/>
        <v>1.2853068880000001E-3</v>
      </c>
      <c r="M95" s="28"/>
    </row>
    <row r="96" spans="1:13" ht="15.75" thickBot="1" x14ac:dyDescent="0.3">
      <c r="A96" s="261" t="s">
        <v>686</v>
      </c>
      <c r="B96" s="69">
        <v>2.6928E-3</v>
      </c>
      <c r="C96" s="69">
        <v>1.8849599999999999E-6</v>
      </c>
      <c r="D96" s="69">
        <v>4.8E-8</v>
      </c>
      <c r="E96" s="69">
        <f t="shared" si="7"/>
        <v>1.1999999999999999E-6</v>
      </c>
      <c r="F96" s="69">
        <v>1.8849599999999999E-6</v>
      </c>
      <c r="G96" s="69">
        <f>F96*$H$5</f>
        <v>4.7123999999999998E-5</v>
      </c>
      <c r="H96" s="69">
        <v>4.8000000000000008E-9</v>
      </c>
      <c r="I96" s="69">
        <f t="shared" si="8"/>
        <v>1.4304000000000003E-6</v>
      </c>
      <c r="J96" s="69">
        <v>3.3600000000000006E-12</v>
      </c>
      <c r="K96" s="70">
        <f>J96*$I$5</f>
        <v>1.0012800000000003E-9</v>
      </c>
      <c r="L96" s="358">
        <f t="shared" si="2"/>
        <v>2.6954303999999997E-3</v>
      </c>
      <c r="M96" s="359">
        <f t="shared" si="3"/>
        <v>4.9009961279999995E-5</v>
      </c>
    </row>
  </sheetData>
  <mergeCells count="4">
    <mergeCell ref="D43:E43"/>
    <mergeCell ref="F43:G43"/>
    <mergeCell ref="H43:I43"/>
    <mergeCell ref="J43:K43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FD151-7490-4F3A-B489-499326A74BAB}">
  <sheetPr>
    <tabColor rgb="FFFFFF66"/>
  </sheetPr>
  <dimension ref="A1:V36"/>
  <sheetViews>
    <sheetView workbookViewId="0">
      <pane ySplit="3" topLeftCell="A4" activePane="bottomLeft" state="frozen"/>
      <selection activeCell="F13" sqref="F13"/>
      <selection pane="bottomLeft" activeCell="F13" sqref="F13"/>
    </sheetView>
  </sheetViews>
  <sheetFormatPr defaultRowHeight="15" x14ac:dyDescent="0.25"/>
  <cols>
    <col min="1" max="1" width="19.7109375" customWidth="1"/>
    <col min="2" max="2" width="22.28515625" customWidth="1"/>
    <col min="3" max="3" width="29.5703125" customWidth="1"/>
    <col min="4" max="4" width="30.42578125" customWidth="1"/>
    <col min="5" max="5" width="23.28515625" customWidth="1"/>
    <col min="6" max="6" width="20.7109375" customWidth="1"/>
    <col min="7" max="7" width="19.85546875" customWidth="1"/>
    <col min="8" max="8" width="19.5703125" customWidth="1"/>
    <col min="9" max="9" width="18.42578125" customWidth="1"/>
    <col min="10" max="11" width="19.85546875" customWidth="1"/>
    <col min="12" max="12" width="27.7109375" customWidth="1"/>
  </cols>
  <sheetData>
    <row r="1" spans="1:22" s="148" customFormat="1" ht="129" customHeight="1" x14ac:dyDescent="0.25"/>
    <row r="2" spans="1:22" s="184" customFormat="1" ht="35.25" customHeight="1" x14ac:dyDescent="0.4">
      <c r="A2" s="184" t="s">
        <v>32</v>
      </c>
      <c r="B2" s="185"/>
      <c r="F2" s="186"/>
      <c r="G2" s="186"/>
      <c r="L2" s="185"/>
      <c r="M2" s="185"/>
      <c r="N2" s="185"/>
      <c r="O2" s="185"/>
      <c r="Q2" s="185"/>
      <c r="R2" s="185"/>
      <c r="S2" s="185"/>
      <c r="T2" s="185"/>
      <c r="U2" s="185"/>
      <c r="V2" s="185"/>
    </row>
    <row r="3" spans="1:22" s="200" customFormat="1" ht="27" customHeight="1" x14ac:dyDescent="0.3">
      <c r="A3" s="200" t="s">
        <v>559</v>
      </c>
      <c r="D3" s="200">
        <f>YHTEENVETO!D3</f>
        <v>2019</v>
      </c>
    </row>
    <row r="5" spans="1:22" x14ac:dyDescent="0.25">
      <c r="A5" s="5" t="s">
        <v>732</v>
      </c>
      <c r="B5" s="5"/>
      <c r="C5" s="5"/>
      <c r="D5" s="5"/>
      <c r="E5" s="5"/>
      <c r="F5" s="5"/>
    </row>
    <row r="6" spans="1:22" x14ac:dyDescent="0.25">
      <c r="A6" s="5" t="s">
        <v>733</v>
      </c>
      <c r="B6" s="5"/>
      <c r="C6" s="5"/>
      <c r="D6" s="5"/>
      <c r="E6" s="5"/>
      <c r="F6" s="5"/>
    </row>
    <row r="9" spans="1:22" ht="15.75" x14ac:dyDescent="0.25">
      <c r="A9" s="238" t="s">
        <v>875</v>
      </c>
      <c r="B9" s="216"/>
      <c r="C9" s="216"/>
      <c r="D9" s="216"/>
      <c r="E9" s="216"/>
    </row>
    <row r="10" spans="1:22" x14ac:dyDescent="0.25">
      <c r="A10" s="251" t="s">
        <v>603</v>
      </c>
      <c r="B10" s="236"/>
    </row>
    <row r="11" spans="1:22" ht="24" x14ac:dyDescent="0.25">
      <c r="A11" s="217" t="s">
        <v>734</v>
      </c>
      <c r="B11" s="217" t="s">
        <v>735</v>
      </c>
      <c r="C11" s="217" t="s">
        <v>425</v>
      </c>
      <c r="D11" s="217" t="s">
        <v>736</v>
      </c>
      <c r="E11" s="217" t="s">
        <v>737</v>
      </c>
      <c r="H11" s="217" t="s">
        <v>738</v>
      </c>
      <c r="I11" s="217" t="s">
        <v>739</v>
      </c>
      <c r="J11" s="217" t="s">
        <v>93</v>
      </c>
    </row>
    <row r="12" spans="1:22" x14ac:dyDescent="0.25">
      <c r="A12">
        <f>KEL!A13</f>
        <v>0</v>
      </c>
      <c r="B12">
        <f>KEL!B13</f>
        <v>0</v>
      </c>
      <c r="C12">
        <f>KEL!C13</f>
        <v>0</v>
      </c>
      <c r="D12">
        <f>KEL!D13</f>
        <v>0</v>
      </c>
      <c r="E12">
        <f>KEL!E13</f>
        <v>0</v>
      </c>
      <c r="H12">
        <f>IF(C12=KEL_fx!$B$12,KEL_fx!$C$12,IF(C12=KEL_fx!$B$13,KEL_fx!$C$13,IF(C12=KEL_fx!$B$14,KEL_fx!$C$14,IF(C12=KEL_fx!$B$15,KEL_fx!$C$15,IF(C12=KEL_fx!$B$16,KEL_fx!$C$16,IF(C12=KEL_fx!$B$17,KEL_fx!$C$17,IF(C12=KEL_fx!$B$18,KEL_fx!$C$18,IF(C12=KEL_fx!$B$19,KEL_fx!$C$19,IF(C12=KEL_fx!$B$20,KEL_fx!$C$20,IF(C12=KEL_fx!$B$21,KEL_fx!$C$21,IF(C12=KEL_fx!$B$22,KEL_fx!$C$22,IF(C12=KEL_fx!$B$23,KEL_fx!$C$23,IF(C12=KEL_fx!$B$24,KEL_fx!$C$24,IF(C12=KEL_fx!$B$25,KEL_fx!$C$25,IF(C12=KEL_fx!$B$26,KEL_fx!$C$26,IF(C12=KEL_fx!$B$27,KEL_fx!$C$27,IF(C12=KEL_fx!$B$28,KEL_fx!$C$28,IF(C12=KEL_fx!$B$29,KEL_fx!$C$29,IF(C12=KEL_fx!$B$30,KEL_fx!$C$30,IF(C12=KEL_fx!$B$31,KEL_fx!$C$31,IF(C12=KEL_fx!$B$32,KEL_fx!$C$32,IF(C12=KEL_fx!$B$33,KEL_fx!$C$33,IF(C12=KEL_fx!$B$34,KEL_fx!$C$34,IF(C12=KEL_fx!$B$35,KEL_fx!$C$35,IF(C12=KEL_fx!$B$36,KEL_fx!$C$36,IF(C12=KEL_fx!$B$37,KEL_fx!$C$37,0))))))))))))))))))))))))))</f>
        <v>0</v>
      </c>
      <c r="I12">
        <f>IF(C12=KEL_fx!$B$21,KEL_fx!$D$21,IF(C12=KEL_fx!$B$25,KEL_fx!$D$25,IF(C12=KEL_fx!$B$27,KEL_fx!$D$27,IF(C12=KEL_fx!$B$28,KEL_fx!$D$28,IF(C12=KEL_fx!$B$29,KEL_fx!$D$29,IF(C12=KEL_fx!$B$30,KEL_fx!$D$30,IF(C12=KEL_fx!$B$31,KEL_fx!$D$31,IF(C12=KEL_fx!$B$32,KEL_fx!$D$32,IF(C12=KEL_fx!$B$37,KEL_fx!$D$37,0)))))))))</f>
        <v>0</v>
      </c>
      <c r="J12">
        <f>IF(E12="kg",D12*H12,IF(E12="litra",D12*I12,0))</f>
        <v>0</v>
      </c>
    </row>
    <row r="13" spans="1:22" x14ac:dyDescent="0.25">
      <c r="A13">
        <f>KEL!A14</f>
        <v>0</v>
      </c>
      <c r="B13">
        <f>KEL!B14</f>
        <v>0</v>
      </c>
      <c r="C13">
        <f>KEL!C14</f>
        <v>0</v>
      </c>
      <c r="D13">
        <f>KEL!D14</f>
        <v>0</v>
      </c>
      <c r="E13">
        <f>KEL!E14</f>
        <v>0</v>
      </c>
      <c r="H13">
        <f>IF(C13=KEL_fx!$B$12,KEL_fx!$C$12,IF(C13=KEL_fx!$B$13,KEL_fx!$C$13,IF(C13=KEL_fx!$B$14,KEL_fx!$C$14,IF(C13=KEL_fx!$B$15,KEL_fx!$C$15,IF(C13=KEL_fx!$B$16,KEL_fx!$C$16,IF(C13=KEL_fx!$B$17,KEL_fx!$C$17,IF(C13=KEL_fx!$B$18,KEL_fx!$C$18,IF(C13=KEL_fx!$B$19,KEL_fx!$C$19,IF(C13=KEL_fx!$B$20,KEL_fx!$C$20,IF(C13=KEL_fx!$B$21,KEL_fx!$C$21,IF(C13=KEL_fx!$B$22,KEL_fx!$C$22,IF(C13=KEL_fx!$B$23,KEL_fx!$C$23,IF(C13=KEL_fx!$B$24,KEL_fx!$C$24,IF(C13=KEL_fx!$B$25,KEL_fx!$C$25,IF(C13=KEL_fx!$B$26,KEL_fx!$C$26,IF(C13=KEL_fx!$B$27,KEL_fx!$C$27,IF(C13=KEL_fx!$B$28,KEL_fx!$C$28,IF(C13=KEL_fx!$B$29,KEL_fx!$C$29,IF(C13=KEL_fx!$B$30,KEL_fx!$C$30,IF(C13=KEL_fx!$B$31,KEL_fx!$C$31,IF(C13=KEL_fx!$B$32,KEL_fx!$C$32,IF(C13=KEL_fx!$B$33,KEL_fx!$C$33,IF(C13=KEL_fx!$B$34,KEL_fx!$C$34,IF(C13=KEL_fx!$B$35,KEL_fx!$C$35,IF(C13=KEL_fx!$B$36,KEL_fx!$C$36,IF(C13=KEL_fx!$B$37,KEL_fx!$C$37,0))))))))))))))))))))))))))</f>
        <v>0</v>
      </c>
      <c r="I13">
        <f>IF(C13=KEL_fx!$B$21,KEL_fx!$D$21,IF(C13=KEL_fx!$B$25,KEL_fx!$D$25,IF(C13=KEL_fx!$B$27,KEL_fx!$D$27,IF(C13=KEL_fx!$B$28,KEL_fx!$D$28,IF(C13=KEL_fx!$B$29,KEL_fx!$D$29,IF(C13=KEL_fx!$B$30,KEL_fx!$D$30,IF(C13=KEL_fx!$B$31,KEL_fx!$D$31,IF(C13=KEL_fx!$B$32,KEL_fx!$D$32,IF(C13=KEL_fx!$B$37,KEL_fx!$D$37,0)))))))))</f>
        <v>0</v>
      </c>
      <c r="J13">
        <f t="shared" ref="J13:J21" si="0">IF(E13="kg",D13*H13,IF(E13="litra",D13*I13,0))</f>
        <v>0</v>
      </c>
    </row>
    <row r="14" spans="1:22" x14ac:dyDescent="0.25">
      <c r="A14">
        <f>KEL!A15</f>
        <v>0</v>
      </c>
      <c r="B14">
        <f>KEL!B15</f>
        <v>0</v>
      </c>
      <c r="C14">
        <f>KEL!C15</f>
        <v>0</v>
      </c>
      <c r="D14">
        <f>KEL!D15</f>
        <v>0</v>
      </c>
      <c r="E14">
        <f>KEL!E15</f>
        <v>0</v>
      </c>
      <c r="H14">
        <f>IF(C14=KEL_fx!$B$12,KEL_fx!$C$12,IF(C14=KEL_fx!$B$13,KEL_fx!$C$13,IF(C14=KEL_fx!$B$14,KEL_fx!$C$14,IF(C14=KEL_fx!$B$15,KEL_fx!$C$15,IF(C14=KEL_fx!$B$16,KEL_fx!$C$16,IF(C14=KEL_fx!$B$17,KEL_fx!$C$17,IF(C14=KEL_fx!$B$18,KEL_fx!$C$18,IF(C14=KEL_fx!$B$19,KEL_fx!$C$19,IF(C14=KEL_fx!$B$20,KEL_fx!$C$20,IF(C14=KEL_fx!$B$21,KEL_fx!$C$21,IF(C14=KEL_fx!$B$22,KEL_fx!$C$22,IF(C14=KEL_fx!$B$23,KEL_fx!$C$23,IF(C14=KEL_fx!$B$24,KEL_fx!$C$24,IF(C14=KEL_fx!$B$25,KEL_fx!$C$25,IF(C14=KEL_fx!$B$26,KEL_fx!$C$26,IF(C14=KEL_fx!$B$27,KEL_fx!$C$27,IF(C14=KEL_fx!$B$28,KEL_fx!$C$28,IF(C14=KEL_fx!$B$29,KEL_fx!$C$29,IF(C14=KEL_fx!$B$30,KEL_fx!$C$30,IF(C14=KEL_fx!$B$31,KEL_fx!$C$31,IF(C14=KEL_fx!$B$32,KEL_fx!$C$32,IF(C14=KEL_fx!$B$33,KEL_fx!$C$33,IF(C14=KEL_fx!$B$34,KEL_fx!$C$34,IF(C14=KEL_fx!$B$35,KEL_fx!$C$35,IF(C14=KEL_fx!$B$36,KEL_fx!$C$36,IF(C14=KEL_fx!$B$37,KEL_fx!$C$37,0))))))))))))))))))))))))))</f>
        <v>0</v>
      </c>
      <c r="I14">
        <f>IF(C14=KEL_fx!$B$21,KEL_fx!$D$21,IF(C14=KEL_fx!$B$25,KEL_fx!$D$25,IF(C14=KEL_fx!$B$27,KEL_fx!$D$27,IF(C14=KEL_fx!$B$28,KEL_fx!$D$28,IF(C14=KEL_fx!$B$29,KEL_fx!$D$29,IF(C14=KEL_fx!$B$30,KEL_fx!$D$30,IF(C14=KEL_fx!$B$31,KEL_fx!$D$31,IF(C14=KEL_fx!$B$32,KEL_fx!$D$32,IF(C14=KEL_fx!$B$37,KEL_fx!$D$37,0)))))))))</f>
        <v>0</v>
      </c>
      <c r="J14">
        <f t="shared" si="0"/>
        <v>0</v>
      </c>
    </row>
    <row r="15" spans="1:22" x14ac:dyDescent="0.25">
      <c r="A15">
        <f>KEL!A16</f>
        <v>0</v>
      </c>
      <c r="B15">
        <f>KEL!B16</f>
        <v>0</v>
      </c>
      <c r="C15">
        <f>KEL!C16</f>
        <v>0</v>
      </c>
      <c r="D15">
        <f>KEL!D16</f>
        <v>0</v>
      </c>
      <c r="E15">
        <f>KEL!E16</f>
        <v>0</v>
      </c>
      <c r="H15">
        <f>IF(C15=KEL_fx!$B$12,KEL_fx!$C$12,IF(C15=KEL_fx!$B$13,KEL_fx!$C$13,IF(C15=KEL_fx!$B$14,KEL_fx!$C$14,IF(C15=KEL_fx!$B$15,KEL_fx!$C$15,IF(C15=KEL_fx!$B$16,KEL_fx!$C$16,IF(C15=KEL_fx!$B$17,KEL_fx!$C$17,IF(C15=KEL_fx!$B$18,KEL_fx!$C$18,IF(C15=KEL_fx!$B$19,KEL_fx!$C$19,IF(C15=KEL_fx!$B$20,KEL_fx!$C$20,IF(C15=KEL_fx!$B$21,KEL_fx!$C$21,IF(C15=KEL_fx!$B$22,KEL_fx!$C$22,IF(C15=KEL_fx!$B$23,KEL_fx!$C$23,IF(C15=KEL_fx!$B$24,KEL_fx!$C$24,IF(C15=KEL_fx!$B$25,KEL_fx!$C$25,IF(C15=KEL_fx!$B$26,KEL_fx!$C$26,IF(C15=KEL_fx!$B$27,KEL_fx!$C$27,IF(C15=KEL_fx!$B$28,KEL_fx!$C$28,IF(C15=KEL_fx!$B$29,KEL_fx!$C$29,IF(C15=KEL_fx!$B$30,KEL_fx!$C$30,IF(C15=KEL_fx!$B$31,KEL_fx!$C$31,IF(C15=KEL_fx!$B$32,KEL_fx!$C$32,IF(C15=KEL_fx!$B$33,KEL_fx!$C$33,IF(C15=KEL_fx!$B$34,KEL_fx!$C$34,IF(C15=KEL_fx!$B$35,KEL_fx!$C$35,IF(C15=KEL_fx!$B$36,KEL_fx!$C$36,IF(C15=KEL_fx!$B$37,KEL_fx!$C$37,0))))))))))))))))))))))))))</f>
        <v>0</v>
      </c>
      <c r="I15">
        <f>IF(C15=KEL_fx!$B$21,KEL_fx!$D$21,IF(C15=KEL_fx!$B$25,KEL_fx!$D$25,IF(C15=KEL_fx!$B$27,KEL_fx!$D$27,IF(C15=KEL_fx!$B$28,KEL_fx!$D$28,IF(C15=KEL_fx!$B$29,KEL_fx!$D$29,IF(C15=KEL_fx!$B$30,KEL_fx!$D$30,IF(C15=KEL_fx!$B$31,KEL_fx!$D$31,IF(C15=KEL_fx!$B$32,KEL_fx!$D$32,IF(C15=KEL_fx!$B$37,KEL_fx!$D$37,0)))))))))</f>
        <v>0</v>
      </c>
      <c r="J15">
        <f t="shared" si="0"/>
        <v>0</v>
      </c>
    </row>
    <row r="16" spans="1:22" x14ac:dyDescent="0.25">
      <c r="A16">
        <f>KEL!A17</f>
        <v>0</v>
      </c>
      <c r="B16">
        <f>KEL!B17</f>
        <v>0</v>
      </c>
      <c r="C16">
        <f>KEL!C17</f>
        <v>0</v>
      </c>
      <c r="D16">
        <f>KEL!D17</f>
        <v>0</v>
      </c>
      <c r="E16">
        <f>KEL!E17</f>
        <v>0</v>
      </c>
      <c r="H16">
        <f>IF(C16=KEL_fx!$B$12,KEL_fx!$C$12,IF(C16=KEL_fx!$B$13,KEL_fx!$C$13,IF(C16=KEL_fx!$B$14,KEL_fx!$C$14,IF(C16=KEL_fx!$B$15,KEL_fx!$C$15,IF(C16=KEL_fx!$B$16,KEL_fx!$C$16,IF(C16=KEL_fx!$B$17,KEL_fx!$C$17,IF(C16=KEL_fx!$B$18,KEL_fx!$C$18,IF(C16=KEL_fx!$B$19,KEL_fx!$C$19,IF(C16=KEL_fx!$B$20,KEL_fx!$C$20,IF(C16=KEL_fx!$B$21,KEL_fx!$C$21,IF(C16=KEL_fx!$B$22,KEL_fx!$C$22,IF(C16=KEL_fx!$B$23,KEL_fx!$C$23,IF(C16=KEL_fx!$B$24,KEL_fx!$C$24,IF(C16=KEL_fx!$B$25,KEL_fx!$C$25,IF(C16=KEL_fx!$B$26,KEL_fx!$C$26,IF(C16=KEL_fx!$B$27,KEL_fx!$C$27,IF(C16=KEL_fx!$B$28,KEL_fx!$C$28,IF(C16=KEL_fx!$B$29,KEL_fx!$C$29,IF(C16=KEL_fx!$B$30,KEL_fx!$C$30,IF(C16=KEL_fx!$B$31,KEL_fx!$C$31,IF(C16=KEL_fx!$B$32,KEL_fx!$C$32,IF(C16=KEL_fx!$B$33,KEL_fx!$C$33,IF(C16=KEL_fx!$B$34,KEL_fx!$C$34,IF(C16=KEL_fx!$B$35,KEL_fx!$C$35,IF(C16=KEL_fx!$B$36,KEL_fx!$C$36,IF(C16=KEL_fx!$B$37,KEL_fx!$C$37,0))))))))))))))))))))))))))</f>
        <v>0</v>
      </c>
      <c r="I16">
        <f>IF(C16=KEL_fx!$B$21,KEL_fx!$D$21,IF(C16=KEL_fx!$B$25,KEL_fx!$D$25,IF(C16=KEL_fx!$B$27,KEL_fx!$D$27,IF(C16=KEL_fx!$B$28,KEL_fx!$D$28,IF(C16=KEL_fx!$B$29,KEL_fx!$D$29,IF(C16=KEL_fx!$B$30,KEL_fx!$D$30,IF(C16=KEL_fx!$B$31,KEL_fx!$D$31,IF(C16=KEL_fx!$B$32,KEL_fx!$D$32,IF(C16=KEL_fx!$B$37,KEL_fx!$D$37,0)))))))))</f>
        <v>0</v>
      </c>
      <c r="J16">
        <f t="shared" si="0"/>
        <v>0</v>
      </c>
    </row>
    <row r="17" spans="1:12" x14ac:dyDescent="0.25">
      <c r="A17">
        <f>KEL!A18</f>
        <v>0</v>
      </c>
      <c r="B17">
        <f>KEL!B18</f>
        <v>0</v>
      </c>
      <c r="C17">
        <f>KEL!C18</f>
        <v>0</v>
      </c>
      <c r="D17">
        <f>KEL!D18</f>
        <v>0</v>
      </c>
      <c r="E17">
        <f>KEL!E18</f>
        <v>0</v>
      </c>
      <c r="H17">
        <f>IF(C17=KEL_fx!$B$12,KEL_fx!$C$12,IF(C17=KEL_fx!$B$13,KEL_fx!$C$13,IF(C17=KEL_fx!$B$14,KEL_fx!$C$14,IF(C17=KEL_fx!$B$15,KEL_fx!$C$15,IF(C17=KEL_fx!$B$16,KEL_fx!$C$16,IF(C17=KEL_fx!$B$17,KEL_fx!$C$17,IF(C17=KEL_fx!$B$18,KEL_fx!$C$18,IF(C17=KEL_fx!$B$19,KEL_fx!$C$19,IF(C17=KEL_fx!$B$20,KEL_fx!$C$20,IF(C17=KEL_fx!$B$21,KEL_fx!$C$21,IF(C17=KEL_fx!$B$22,KEL_fx!$C$22,IF(C17=KEL_fx!$B$23,KEL_fx!$C$23,IF(C17=KEL_fx!$B$24,KEL_fx!$C$24,IF(C17=KEL_fx!$B$25,KEL_fx!$C$25,IF(C17=KEL_fx!$B$26,KEL_fx!$C$26,IF(C17=KEL_fx!$B$27,KEL_fx!$C$27,IF(C17=KEL_fx!$B$28,KEL_fx!$C$28,IF(C17=KEL_fx!$B$29,KEL_fx!$C$29,IF(C17=KEL_fx!$B$30,KEL_fx!$C$30,IF(C17=KEL_fx!$B$31,KEL_fx!$C$31,IF(C17=KEL_fx!$B$32,KEL_fx!$C$32,IF(C17=KEL_fx!$B$33,KEL_fx!$C$33,IF(C17=KEL_fx!$B$34,KEL_fx!$C$34,IF(C17=KEL_fx!$B$35,KEL_fx!$C$35,IF(C17=KEL_fx!$B$36,KEL_fx!$C$36,IF(C17=KEL_fx!$B$37,KEL_fx!$C$37,0))))))))))))))))))))))))))</f>
        <v>0</v>
      </c>
      <c r="I17">
        <f>IF(C17=KEL_fx!$B$21,KEL_fx!$D$21,IF(C17=KEL_fx!$B$25,KEL_fx!$D$25,IF(C17=KEL_fx!$B$27,KEL_fx!$D$27,IF(C17=KEL_fx!$B$28,KEL_fx!$D$28,IF(C17=KEL_fx!$B$29,KEL_fx!$D$29,IF(C17=KEL_fx!$B$30,KEL_fx!$D$30,IF(C17=KEL_fx!$B$31,KEL_fx!$D$31,IF(C17=KEL_fx!$B$32,KEL_fx!$D$32,IF(C17=KEL_fx!$B$37,KEL_fx!$D$37,0)))))))))</f>
        <v>0</v>
      </c>
      <c r="J17">
        <f t="shared" si="0"/>
        <v>0</v>
      </c>
    </row>
    <row r="18" spans="1:12" x14ac:dyDescent="0.25">
      <c r="A18">
        <f>KEL!A19</f>
        <v>0</v>
      </c>
      <c r="B18">
        <f>KEL!B19</f>
        <v>0</v>
      </c>
      <c r="C18">
        <f>KEL!C19</f>
        <v>0</v>
      </c>
      <c r="D18">
        <f>KEL!D19</f>
        <v>0</v>
      </c>
      <c r="E18">
        <f>KEL!E19</f>
        <v>0</v>
      </c>
      <c r="H18">
        <f>IF(C18=KEL_fx!$B$12,KEL_fx!$C$12,IF(C18=KEL_fx!$B$13,KEL_fx!$C$13,IF(C18=KEL_fx!$B$14,KEL_fx!$C$14,IF(C18=KEL_fx!$B$15,KEL_fx!$C$15,IF(C18=KEL_fx!$B$16,KEL_fx!$C$16,IF(C18=KEL_fx!$B$17,KEL_fx!$C$17,IF(C18=KEL_fx!$B$18,KEL_fx!$C$18,IF(C18=KEL_fx!$B$19,KEL_fx!$C$19,IF(C18=KEL_fx!$B$20,KEL_fx!$C$20,IF(C18=KEL_fx!$B$21,KEL_fx!$C$21,IF(C18=KEL_fx!$B$22,KEL_fx!$C$22,IF(C18=KEL_fx!$B$23,KEL_fx!$C$23,IF(C18=KEL_fx!$B$24,KEL_fx!$C$24,IF(C18=KEL_fx!$B$25,KEL_fx!$C$25,IF(C18=KEL_fx!$B$26,KEL_fx!$C$26,IF(C18=KEL_fx!$B$27,KEL_fx!$C$27,IF(C18=KEL_fx!$B$28,KEL_fx!$C$28,IF(C18=KEL_fx!$B$29,KEL_fx!$C$29,IF(C18=KEL_fx!$B$30,KEL_fx!$C$30,IF(C18=KEL_fx!$B$31,KEL_fx!$C$31,IF(C18=KEL_fx!$B$32,KEL_fx!$C$32,IF(C18=KEL_fx!$B$33,KEL_fx!$C$33,IF(C18=KEL_fx!$B$34,KEL_fx!$C$34,IF(C18=KEL_fx!$B$35,KEL_fx!$C$35,IF(C18=KEL_fx!$B$36,KEL_fx!$C$36,IF(C18=KEL_fx!$B$37,KEL_fx!$C$37,0))))))))))))))))))))))))))</f>
        <v>0</v>
      </c>
      <c r="I18">
        <f>IF(C18=KEL_fx!$B$21,KEL_fx!$D$21,IF(C18=KEL_fx!$B$25,KEL_fx!$D$25,IF(C18=KEL_fx!$B$27,KEL_fx!$D$27,IF(C18=KEL_fx!$B$28,KEL_fx!$D$28,IF(C18=KEL_fx!$B$29,KEL_fx!$D$29,IF(C18=KEL_fx!$B$30,KEL_fx!$D$30,IF(C18=KEL_fx!$B$31,KEL_fx!$D$31,IF(C18=KEL_fx!$B$32,KEL_fx!$D$32,IF(C18=KEL_fx!$B$37,KEL_fx!$D$37,0)))))))))</f>
        <v>0</v>
      </c>
      <c r="J18">
        <f t="shared" si="0"/>
        <v>0</v>
      </c>
    </row>
    <row r="19" spans="1:12" ht="15.75" x14ac:dyDescent="0.25">
      <c r="A19">
        <f>KEL!A20</f>
        <v>0</v>
      </c>
      <c r="B19">
        <f>KEL!B20</f>
        <v>0</v>
      </c>
      <c r="C19">
        <f>KEL!C20</f>
        <v>0</v>
      </c>
      <c r="D19">
        <f>KEL!D20</f>
        <v>0</v>
      </c>
      <c r="E19">
        <f>KEL!E20</f>
        <v>0</v>
      </c>
      <c r="H19">
        <f>IF(C19=KEL_fx!$B$12,KEL_fx!$C$12,IF(C19=KEL_fx!$B$13,KEL_fx!$C$13,IF(C19=KEL_fx!$B$14,KEL_fx!$C$14,IF(C19=KEL_fx!$B$15,KEL_fx!$C$15,IF(C19=KEL_fx!$B$16,KEL_fx!$C$16,IF(C19=KEL_fx!$B$17,KEL_fx!$C$17,IF(C19=KEL_fx!$B$18,KEL_fx!$C$18,IF(C19=KEL_fx!$B$19,KEL_fx!$C$19,IF(C19=KEL_fx!$B$20,KEL_fx!$C$20,IF(C19=KEL_fx!$B$21,KEL_fx!$C$21,IF(C19=KEL_fx!$B$22,KEL_fx!$C$22,IF(C19=KEL_fx!$B$23,KEL_fx!$C$23,IF(C19=KEL_fx!$B$24,KEL_fx!$C$24,IF(C19=KEL_fx!$B$25,KEL_fx!$C$25,IF(C19=KEL_fx!$B$26,KEL_fx!$C$26,IF(C19=KEL_fx!$B$27,KEL_fx!$C$27,IF(C19=KEL_fx!$B$28,KEL_fx!$C$28,IF(C19=KEL_fx!$B$29,KEL_fx!$C$29,IF(C19=KEL_fx!$B$30,KEL_fx!$C$30,IF(C19=KEL_fx!$B$31,KEL_fx!$C$31,IF(C19=KEL_fx!$B$32,KEL_fx!$C$32,IF(C19=KEL_fx!$B$33,KEL_fx!$C$33,IF(C19=KEL_fx!$B$34,KEL_fx!$C$34,IF(C19=KEL_fx!$B$35,KEL_fx!$C$35,IF(C19=KEL_fx!$B$36,KEL_fx!$C$36,IF(C19=KEL_fx!$B$37,KEL_fx!$C$37,0))))))))))))))))))))))))))</f>
        <v>0</v>
      </c>
      <c r="I19">
        <f>IF(C19=KEL_fx!$B$21,KEL_fx!$D$21,IF(C19=KEL_fx!$B$25,KEL_fx!$D$25,IF(C19=KEL_fx!$B$27,KEL_fx!$D$27,IF(C19=KEL_fx!$B$28,KEL_fx!$D$28,IF(C19=KEL_fx!$B$29,KEL_fx!$D$29,IF(C19=KEL_fx!$B$30,KEL_fx!$D$30,IF(C19=KEL_fx!$B$31,KEL_fx!$D$31,IF(C19=KEL_fx!$B$32,KEL_fx!$D$32,IF(C19=KEL_fx!$B$37,KEL_fx!$D$37,0)))))))))</f>
        <v>0</v>
      </c>
      <c r="J19">
        <f t="shared" si="0"/>
        <v>0</v>
      </c>
      <c r="L19" s="253" t="s">
        <v>740</v>
      </c>
    </row>
    <row r="20" spans="1:12" ht="19.5" thickBot="1" x14ac:dyDescent="0.35">
      <c r="A20">
        <f>KEL!A21</f>
        <v>0</v>
      </c>
      <c r="B20">
        <f>KEL!B21</f>
        <v>0</v>
      </c>
      <c r="C20">
        <f>KEL!C21</f>
        <v>0</v>
      </c>
      <c r="D20">
        <f>KEL!D21</f>
        <v>0</v>
      </c>
      <c r="E20">
        <f>KEL!E21</f>
        <v>0</v>
      </c>
      <c r="H20">
        <f>IF(C20=KEL_fx!$B$12,KEL_fx!$C$12,IF(C20=KEL_fx!$B$13,KEL_fx!$C$13,IF(C20=KEL_fx!$B$14,KEL_fx!$C$14,IF(C20=KEL_fx!$B$15,KEL_fx!$C$15,IF(C20=KEL_fx!$B$16,KEL_fx!$C$16,IF(C20=KEL_fx!$B$17,KEL_fx!$C$17,IF(C20=KEL_fx!$B$18,KEL_fx!$C$18,IF(C20=KEL_fx!$B$19,KEL_fx!$C$19,IF(C20=KEL_fx!$B$20,KEL_fx!$C$20,IF(C20=KEL_fx!$B$21,KEL_fx!$C$21,IF(C20=KEL_fx!$B$22,KEL_fx!$C$22,IF(C20=KEL_fx!$B$23,KEL_fx!$C$23,IF(C20=KEL_fx!$B$24,KEL_fx!$C$24,IF(C20=KEL_fx!$B$25,KEL_fx!$C$25,IF(C20=KEL_fx!$B$26,KEL_fx!$C$26,IF(C20=KEL_fx!$B$27,KEL_fx!$C$27,IF(C20=KEL_fx!$B$28,KEL_fx!$C$28,IF(C20=KEL_fx!$B$29,KEL_fx!$C$29,IF(C20=KEL_fx!$B$30,KEL_fx!$C$30,IF(C20=KEL_fx!$B$31,KEL_fx!$C$31,IF(C20=KEL_fx!$B$32,KEL_fx!$C$32,IF(C20=KEL_fx!$B$33,KEL_fx!$C$33,IF(C20=KEL_fx!$B$34,KEL_fx!$C$34,IF(C20=KEL_fx!$B$35,KEL_fx!$C$35,IF(C20=KEL_fx!$B$36,KEL_fx!$C$36,IF(C20=KEL_fx!$B$37,KEL_fx!$C$37,0))))))))))))))))))))))))))</f>
        <v>0</v>
      </c>
      <c r="I20">
        <f>IF(C20=KEL_fx!$B$21,KEL_fx!$D$21,IF(C20=KEL_fx!$B$25,KEL_fx!$D$25,IF(C20=KEL_fx!$B$27,KEL_fx!$D$27,IF(C20=KEL_fx!$B$28,KEL_fx!$D$28,IF(C20=KEL_fx!$B$29,KEL_fx!$D$29,IF(C20=KEL_fx!$B$30,KEL_fx!$D$30,IF(C20=KEL_fx!$B$31,KEL_fx!$D$31,IF(C20=KEL_fx!$B$32,KEL_fx!$D$32,IF(C20=KEL_fx!$B$37,KEL_fx!$D$37,0)))))))))</f>
        <v>0</v>
      </c>
      <c r="J20">
        <f t="shared" si="0"/>
        <v>0</v>
      </c>
      <c r="L20" s="259">
        <f>SUM(J12:J21)</f>
        <v>0</v>
      </c>
    </row>
    <row r="21" spans="1:12" ht="15.75" thickTop="1" x14ac:dyDescent="0.25">
      <c r="A21">
        <f>KEL!A22</f>
        <v>0</v>
      </c>
      <c r="B21">
        <f>KEL!B22</f>
        <v>0</v>
      </c>
      <c r="C21">
        <f>KEL!C22</f>
        <v>0</v>
      </c>
      <c r="D21">
        <f>KEL!D22</f>
        <v>0</v>
      </c>
      <c r="E21">
        <f>KEL!E22</f>
        <v>0</v>
      </c>
      <c r="H21">
        <f>IF(C21=KEL_fx!$B$12,KEL_fx!$C$12,IF(C21=KEL_fx!$B$13,KEL_fx!$C$13,IF(C21=KEL_fx!$B$14,KEL_fx!$C$14,IF(C21=KEL_fx!$B$15,KEL_fx!$C$15,IF(C21=KEL_fx!$B$16,KEL_fx!$C$16,IF(C21=KEL_fx!$B$17,KEL_fx!$C$17,IF(C21=KEL_fx!$B$18,KEL_fx!$C$18,IF(C21=KEL_fx!$B$19,KEL_fx!$C$19,IF(C21=KEL_fx!$B$20,KEL_fx!$C$20,IF(C21=KEL_fx!$B$21,KEL_fx!$C$21,IF(C21=KEL_fx!$B$22,KEL_fx!$C$22,IF(C21=KEL_fx!$B$23,KEL_fx!$C$23,IF(C21=KEL_fx!$B$24,KEL_fx!$C$24,IF(C21=KEL_fx!$B$25,KEL_fx!$C$25,IF(C21=KEL_fx!$B$26,KEL_fx!$C$26,IF(C21=KEL_fx!$B$27,KEL_fx!$C$27,IF(C21=KEL_fx!$B$28,KEL_fx!$C$28,IF(C21=KEL_fx!$B$29,KEL_fx!$C$29,IF(C21=KEL_fx!$B$30,KEL_fx!$C$30,IF(C21=KEL_fx!$B$31,KEL_fx!$C$31,IF(C21=KEL_fx!$B$32,KEL_fx!$C$32,IF(C21=KEL_fx!$B$33,KEL_fx!$C$33,IF(C21=KEL_fx!$B$34,KEL_fx!$C$34,IF(C21=KEL_fx!$B$35,KEL_fx!$C$35,IF(C21=KEL_fx!$B$36,KEL_fx!$C$36,IF(C21=KEL_fx!$B$37,KEL_fx!$C$37,0))))))))))))))))))))))))))</f>
        <v>0</v>
      </c>
      <c r="I21">
        <f>IF(C21=KEL_fx!$B$21,KEL_fx!$D$21,IF(C21=KEL_fx!$B$25,KEL_fx!$D$25,IF(C21=KEL_fx!$B$27,KEL_fx!$D$27,IF(C21=KEL_fx!$B$28,KEL_fx!$D$28,IF(C21=KEL_fx!$B$29,KEL_fx!$D$29,IF(C21=KEL_fx!$B$30,KEL_fx!$D$30,IF(C21=KEL_fx!$B$31,KEL_fx!$D$31,IF(C21=KEL_fx!$B$32,KEL_fx!$D$32,IF(C21=KEL_fx!$B$37,KEL_fx!$D$37,0)))))))))</f>
        <v>0</v>
      </c>
      <c r="J21">
        <f t="shared" si="0"/>
        <v>0</v>
      </c>
    </row>
    <row r="23" spans="1:12" ht="15.75" x14ac:dyDescent="0.25">
      <c r="A23" s="238" t="s">
        <v>874</v>
      </c>
      <c r="B23" s="216"/>
      <c r="C23" s="216"/>
      <c r="D23" s="216"/>
      <c r="E23" s="216"/>
    </row>
    <row r="24" spans="1:12" x14ac:dyDescent="0.25">
      <c r="A24" s="251" t="s">
        <v>603</v>
      </c>
      <c r="B24" s="236"/>
    </row>
    <row r="25" spans="1:12" ht="36" x14ac:dyDescent="0.25">
      <c r="A25" s="217" t="s">
        <v>741</v>
      </c>
      <c r="B25" s="217" t="s">
        <v>742</v>
      </c>
      <c r="C25" s="217" t="s">
        <v>735</v>
      </c>
      <c r="D25" s="217" t="s">
        <v>425</v>
      </c>
      <c r="E25" s="217" t="s">
        <v>736</v>
      </c>
      <c r="F25" s="217" t="s">
        <v>737</v>
      </c>
      <c r="H25" s="217" t="s">
        <v>738</v>
      </c>
      <c r="I25" s="217" t="s">
        <v>739</v>
      </c>
      <c r="J25" s="217" t="s">
        <v>93</v>
      </c>
    </row>
    <row r="26" spans="1:12" x14ac:dyDescent="0.25">
      <c r="A26">
        <f>KEL!A27</f>
        <v>0</v>
      </c>
      <c r="B26">
        <f>KEL!B27</f>
        <v>0</v>
      </c>
      <c r="C26">
        <f>KEL!C27</f>
        <v>0</v>
      </c>
      <c r="D26">
        <f>KEL!D27</f>
        <v>0</v>
      </c>
      <c r="E26">
        <f>KEL!E27</f>
        <v>0</v>
      </c>
      <c r="F26">
        <f>KEL!F27</f>
        <v>0</v>
      </c>
      <c r="H26">
        <f>IF(D26=KEL_fx!$B$12,KEL_fx!$C$12,IF(D26=KEL_fx!$B$13,KEL_fx!$C$13,IF(D26=KEL_fx!$B$14,KEL_fx!$C$14,IF(D26=KEL_fx!$B$15,KEL_fx!$C$15,IF(D26=KEL_fx!$B$16,KEL_fx!$C$16,IF(D26=KEL_fx!$B$17,KEL_fx!$C$17,IF(D26=KEL_fx!$B$18,KEL_fx!$C$18,IF(D26=KEL_fx!$B$19,KEL_fx!$C$19,IF(D26=KEL_fx!$B$20,KEL_fx!$C$20,IF(D26=KEL_fx!$B$21,KEL_fx!$C$21,IF(D26=KEL_fx!$B$22,KEL_fx!$C$22,IF(D26=KEL_fx!$B$23,KEL_fx!$C$23,IF(D26=KEL_fx!$B$24,KEL_fx!$C$24,IF(D26=KEL_fx!$B$25,KEL_fx!$C$25,IF(D26=KEL_fx!$B$26,KEL_fx!$C$26,IF(D26=KEL_fx!$B$27,KEL_fx!$C$27,IF(D26=KEL_fx!$B$28,KEL_fx!$C$28,IF(D26=KEL_fx!$B$29,KEL_fx!$C$29,IF(D26=KEL_fx!$B$30,KEL_fx!$C$30,IF(D26=KEL_fx!$B$31,KEL_fx!$C$31,IF(D26=KEL_fx!$B$32,KEL_fx!$C$32,IF(D26=KEL_fx!$B$33,KEL_fx!$C$33,IF(D26=KEL_fx!$B$34,KEL_fx!$C$34,IF(D26=KEL_fx!$B$35,KEL_fx!$C$35,IF(D26=KEL_fx!$B$36,KEL_fx!$C$36,IF(D26=KEL_fx!$B$37,KEL_fx!$C$37,0))))))))))))))))))))))))))</f>
        <v>0</v>
      </c>
      <c r="I26">
        <f>IF(D26=KEL_fx!$B$21,KEL_fx!$D$21,IF(D26=KEL_fx!$B$25,KEL_fx!$D$25,IF(D26=KEL_fx!$B$27,KEL_fx!$D$27,IF(D26=KEL_fx!$B$28,KEL_fx!$D$28,IF(D26=KEL_fx!$B$29,KEL_fx!$D$29,IF(D26=KEL_fx!$B$30,KEL_fx!$D$30,IF(D26=KEL_fx!$B$31,KEL_fx!$D$31,IF(D26=KEL_fx!$B$32,KEL_fx!$D$32,IF(D26=KEL_fx!$B$37,KEL_fx!$D$37,0)))))))))</f>
        <v>0</v>
      </c>
      <c r="J26">
        <f>IF(F26="kg",E26*H26,IF(F26="litra",E26*I26,0))</f>
        <v>0</v>
      </c>
    </row>
    <row r="27" spans="1:12" x14ac:dyDescent="0.25">
      <c r="A27">
        <f>KEL!A28</f>
        <v>0</v>
      </c>
      <c r="B27">
        <f>KEL!B28</f>
        <v>0</v>
      </c>
      <c r="C27">
        <f>KEL!C28</f>
        <v>0</v>
      </c>
      <c r="D27">
        <f>KEL!D28</f>
        <v>0</v>
      </c>
      <c r="E27">
        <f>KEL!E28</f>
        <v>0</v>
      </c>
      <c r="F27">
        <f>KEL!F28</f>
        <v>0</v>
      </c>
      <c r="H27">
        <f>IF(D27=KEL_fx!$B$12,KEL_fx!$C$12,IF(D27=KEL_fx!$B$13,KEL_fx!$C$13,IF(D27=KEL_fx!$B$14,KEL_fx!$C$14,IF(D27=KEL_fx!$B$15,KEL_fx!$C$15,IF(D27=KEL_fx!$B$16,KEL_fx!$C$16,IF(D27=KEL_fx!$B$17,KEL_fx!$C$17,IF(D27=KEL_fx!$B$18,KEL_fx!$C$18,IF(D27=KEL_fx!$B$19,KEL_fx!$C$19,IF(D27=KEL_fx!$B$20,KEL_fx!$C$20,IF(D27=KEL_fx!$B$21,KEL_fx!$C$21,IF(D27=KEL_fx!$B$22,KEL_fx!$C$22,IF(D27=KEL_fx!$B$23,KEL_fx!$C$23,IF(D27=KEL_fx!$B$24,KEL_fx!$C$24,IF(D27=KEL_fx!$B$25,KEL_fx!$C$25,IF(D27=KEL_fx!$B$26,KEL_fx!$C$26,IF(D27=KEL_fx!$B$27,KEL_fx!$C$27,IF(D27=KEL_fx!$B$28,KEL_fx!$C$28,IF(D27=KEL_fx!$B$29,KEL_fx!$C$29,IF(D27=KEL_fx!$B$30,KEL_fx!$C$30,IF(D27=KEL_fx!$B$31,KEL_fx!$C$31,IF(D27=KEL_fx!$B$32,KEL_fx!$C$32,IF(D27=KEL_fx!$B$33,KEL_fx!$C$33,IF(D27=KEL_fx!$B$34,KEL_fx!$C$34,IF(D27=KEL_fx!$B$35,KEL_fx!$C$35,IF(D27=KEL_fx!$B$36,KEL_fx!$C$36,IF(D27=KEL_fx!$B$37,KEL_fx!$C$37,0))))))))))))))))))))))))))</f>
        <v>0</v>
      </c>
      <c r="I27">
        <f>IF(D27=KEL_fx!$B$21,KEL_fx!$D$21,IF(D27=KEL_fx!$B$25,KEL_fx!$D$25,IF(D27=KEL_fx!$B$27,KEL_fx!$D$27,IF(D27=KEL_fx!$B$28,KEL_fx!$D$28,IF(D27=KEL_fx!$B$29,KEL_fx!$D$29,IF(D27=KEL_fx!$B$30,KEL_fx!$D$30,IF(D27=KEL_fx!$B$31,KEL_fx!$D$31,IF(D27=KEL_fx!$B$32,KEL_fx!$D$32,IF(D27=KEL_fx!$B$37,KEL_fx!$D$37,0)))))))))</f>
        <v>0</v>
      </c>
      <c r="J27">
        <f t="shared" ref="J27:J35" si="1">IF(F27="kg",E27*H27,IF(F27="litra",E27*I27,0))</f>
        <v>0</v>
      </c>
    </row>
    <row r="28" spans="1:12" x14ac:dyDescent="0.25">
      <c r="A28">
        <f>KEL!A29</f>
        <v>0</v>
      </c>
      <c r="B28">
        <f>KEL!B29</f>
        <v>0</v>
      </c>
      <c r="C28">
        <f>KEL!C29</f>
        <v>0</v>
      </c>
      <c r="D28">
        <f>KEL!D29</f>
        <v>0</v>
      </c>
      <c r="E28">
        <f>KEL!E29</f>
        <v>0</v>
      </c>
      <c r="F28">
        <f>KEL!F29</f>
        <v>0</v>
      </c>
      <c r="H28">
        <f>IF(D28=KEL_fx!$B$12,KEL_fx!$C$12,IF(D28=KEL_fx!$B$13,KEL_fx!$C$13,IF(D28=KEL_fx!$B$14,KEL_fx!$C$14,IF(D28=KEL_fx!$B$15,KEL_fx!$C$15,IF(D28=KEL_fx!$B$16,KEL_fx!$C$16,IF(D28=KEL_fx!$B$17,KEL_fx!$C$17,IF(D28=KEL_fx!$B$18,KEL_fx!$C$18,IF(D28=KEL_fx!$B$19,KEL_fx!$C$19,IF(D28=KEL_fx!$B$20,KEL_fx!$C$20,IF(D28=KEL_fx!$B$21,KEL_fx!$C$21,IF(D28=KEL_fx!$B$22,KEL_fx!$C$22,IF(D28=KEL_fx!$B$23,KEL_fx!$C$23,IF(D28=KEL_fx!$B$24,KEL_fx!$C$24,IF(D28=KEL_fx!$B$25,KEL_fx!$C$25,IF(D28=KEL_fx!$B$26,KEL_fx!$C$26,IF(D28=KEL_fx!$B$27,KEL_fx!$C$27,IF(D28=KEL_fx!$B$28,KEL_fx!$C$28,IF(D28=KEL_fx!$B$29,KEL_fx!$C$29,IF(D28=KEL_fx!$B$30,KEL_fx!$C$30,IF(D28=KEL_fx!$B$31,KEL_fx!$C$31,IF(D28=KEL_fx!$B$32,KEL_fx!$C$32,IF(D28=KEL_fx!$B$33,KEL_fx!$C$33,IF(D28=KEL_fx!$B$34,KEL_fx!$C$34,IF(D28=KEL_fx!$B$35,KEL_fx!$C$35,IF(D28=KEL_fx!$B$36,KEL_fx!$C$36,IF(D28=KEL_fx!$B$37,KEL_fx!$C$37,0))))))))))))))))))))))))))</f>
        <v>0</v>
      </c>
      <c r="I28">
        <f>IF(D28=KEL_fx!$B$21,KEL_fx!$D$21,IF(D28=KEL_fx!$B$25,KEL_fx!$D$25,IF(D28=KEL_fx!$B$27,KEL_fx!$D$27,IF(D28=KEL_fx!$B$28,KEL_fx!$D$28,IF(D28=KEL_fx!$B$29,KEL_fx!$D$29,IF(D28=KEL_fx!$B$30,KEL_fx!$D$30,IF(D28=KEL_fx!$B$31,KEL_fx!$D$31,IF(D28=KEL_fx!$B$32,KEL_fx!$D$32,IF(D28=KEL_fx!$B$37,KEL_fx!$D$37,0)))))))))</f>
        <v>0</v>
      </c>
      <c r="J28">
        <f t="shared" si="1"/>
        <v>0</v>
      </c>
    </row>
    <row r="29" spans="1:12" x14ac:dyDescent="0.25">
      <c r="A29">
        <f>KEL!A30</f>
        <v>0</v>
      </c>
      <c r="B29">
        <f>KEL!B30</f>
        <v>0</v>
      </c>
      <c r="C29">
        <f>KEL!C30</f>
        <v>0</v>
      </c>
      <c r="D29">
        <f>KEL!D30</f>
        <v>0</v>
      </c>
      <c r="E29">
        <f>KEL!E30</f>
        <v>0</v>
      </c>
      <c r="F29">
        <f>KEL!F30</f>
        <v>0</v>
      </c>
      <c r="H29">
        <f>IF(D29=KEL_fx!$B$12,KEL_fx!$C$12,IF(D29=KEL_fx!$B$13,KEL_fx!$C$13,IF(D29=KEL_fx!$B$14,KEL_fx!$C$14,IF(D29=KEL_fx!$B$15,KEL_fx!$C$15,IF(D29=KEL_fx!$B$16,KEL_fx!$C$16,IF(D29=KEL_fx!$B$17,KEL_fx!$C$17,IF(D29=KEL_fx!$B$18,KEL_fx!$C$18,IF(D29=KEL_fx!$B$19,KEL_fx!$C$19,IF(D29=KEL_fx!$B$20,KEL_fx!$C$20,IF(D29=KEL_fx!$B$21,KEL_fx!$C$21,IF(D29=KEL_fx!$B$22,KEL_fx!$C$22,IF(D29=KEL_fx!$B$23,KEL_fx!$C$23,IF(D29=KEL_fx!$B$24,KEL_fx!$C$24,IF(D29=KEL_fx!$B$25,KEL_fx!$C$25,IF(D29=KEL_fx!$B$26,KEL_fx!$C$26,IF(D29=KEL_fx!$B$27,KEL_fx!$C$27,IF(D29=KEL_fx!$B$28,KEL_fx!$C$28,IF(D29=KEL_fx!$B$29,KEL_fx!$C$29,IF(D29=KEL_fx!$B$30,KEL_fx!$C$30,IF(D29=KEL_fx!$B$31,KEL_fx!$C$31,IF(D29=KEL_fx!$B$32,KEL_fx!$C$32,IF(D29=KEL_fx!$B$33,KEL_fx!$C$33,IF(D29=KEL_fx!$B$34,KEL_fx!$C$34,IF(D29=KEL_fx!$B$35,KEL_fx!$C$35,IF(D29=KEL_fx!$B$36,KEL_fx!$C$36,IF(D29=KEL_fx!$B$37,KEL_fx!$C$37,0))))))))))))))))))))))))))</f>
        <v>0</v>
      </c>
      <c r="I29">
        <f>IF(D29=KEL_fx!$B$21,KEL_fx!$D$21,IF(D29=KEL_fx!$B$25,KEL_fx!$D$25,IF(D29=KEL_fx!$B$27,KEL_fx!$D$27,IF(D29=KEL_fx!$B$28,KEL_fx!$D$28,IF(D29=KEL_fx!$B$29,KEL_fx!$D$29,IF(D29=KEL_fx!$B$30,KEL_fx!$D$30,IF(D29=KEL_fx!$B$31,KEL_fx!$D$31,IF(D29=KEL_fx!$B$32,KEL_fx!$D$32,IF(D29=KEL_fx!$B$37,KEL_fx!$D$37,0)))))))))</f>
        <v>0</v>
      </c>
      <c r="J29">
        <f t="shared" si="1"/>
        <v>0</v>
      </c>
    </row>
    <row r="30" spans="1:12" x14ac:dyDescent="0.25">
      <c r="A30">
        <f>KEL!A31</f>
        <v>0</v>
      </c>
      <c r="B30">
        <f>KEL!B31</f>
        <v>0</v>
      </c>
      <c r="C30">
        <f>KEL!C31</f>
        <v>0</v>
      </c>
      <c r="D30">
        <f>KEL!D31</f>
        <v>0</v>
      </c>
      <c r="E30">
        <f>KEL!E31</f>
        <v>0</v>
      </c>
      <c r="F30">
        <f>KEL!F31</f>
        <v>0</v>
      </c>
      <c r="H30">
        <f>IF(D30=KEL_fx!$B$12,KEL_fx!$C$12,IF(D30=KEL_fx!$B$13,KEL_fx!$C$13,IF(D30=KEL_fx!$B$14,KEL_fx!$C$14,IF(D30=KEL_fx!$B$15,KEL_fx!$C$15,IF(D30=KEL_fx!$B$16,KEL_fx!$C$16,IF(D30=KEL_fx!$B$17,KEL_fx!$C$17,IF(D30=KEL_fx!$B$18,KEL_fx!$C$18,IF(D30=KEL_fx!$B$19,KEL_fx!$C$19,IF(D30=KEL_fx!$B$20,KEL_fx!$C$20,IF(D30=KEL_fx!$B$21,KEL_fx!$C$21,IF(D30=KEL_fx!$B$22,KEL_fx!$C$22,IF(D30=KEL_fx!$B$23,KEL_fx!$C$23,IF(D30=KEL_fx!$B$24,KEL_fx!$C$24,IF(D30=KEL_fx!$B$25,KEL_fx!$C$25,IF(D30=KEL_fx!$B$26,KEL_fx!$C$26,IF(D30=KEL_fx!$B$27,KEL_fx!$C$27,IF(D30=KEL_fx!$B$28,KEL_fx!$C$28,IF(D30=KEL_fx!$B$29,KEL_fx!$C$29,IF(D30=KEL_fx!$B$30,KEL_fx!$C$30,IF(D30=KEL_fx!$B$31,KEL_fx!$C$31,IF(D30=KEL_fx!$B$32,KEL_fx!$C$32,IF(D30=KEL_fx!$B$33,KEL_fx!$C$33,IF(D30=KEL_fx!$B$34,KEL_fx!$C$34,IF(D30=KEL_fx!$B$35,KEL_fx!$C$35,IF(D30=KEL_fx!$B$36,KEL_fx!$C$36,IF(D30=KEL_fx!$B$37,KEL_fx!$C$37,0))))))))))))))))))))))))))</f>
        <v>0</v>
      </c>
      <c r="I30">
        <f>IF(D30=KEL_fx!$B$21,KEL_fx!$D$21,IF(D30=KEL_fx!$B$25,KEL_fx!$D$25,IF(D30=KEL_fx!$B$27,KEL_fx!$D$27,IF(D30=KEL_fx!$B$28,KEL_fx!$D$28,IF(D30=KEL_fx!$B$29,KEL_fx!$D$29,IF(D30=KEL_fx!$B$30,KEL_fx!$D$30,IF(D30=KEL_fx!$B$31,KEL_fx!$D$31,IF(D30=KEL_fx!$B$32,KEL_fx!$D$32,IF(D30=KEL_fx!$B$37,KEL_fx!$D$37,0)))))))))</f>
        <v>0</v>
      </c>
      <c r="J30">
        <f t="shared" si="1"/>
        <v>0</v>
      </c>
    </row>
    <row r="31" spans="1:12" x14ac:dyDescent="0.25">
      <c r="A31">
        <f>KEL!A32</f>
        <v>0</v>
      </c>
      <c r="B31">
        <f>KEL!B32</f>
        <v>0</v>
      </c>
      <c r="C31">
        <f>KEL!C32</f>
        <v>0</v>
      </c>
      <c r="D31">
        <f>KEL!D32</f>
        <v>0</v>
      </c>
      <c r="E31">
        <f>KEL!E32</f>
        <v>0</v>
      </c>
      <c r="F31">
        <f>KEL!F32</f>
        <v>0</v>
      </c>
      <c r="H31">
        <f>IF(D31=KEL_fx!$B$12,KEL_fx!$C$12,IF(D31=KEL_fx!$B$13,KEL_fx!$C$13,IF(D31=KEL_fx!$B$14,KEL_fx!$C$14,IF(D31=KEL_fx!$B$15,KEL_fx!$C$15,IF(D31=KEL_fx!$B$16,KEL_fx!$C$16,IF(D31=KEL_fx!$B$17,KEL_fx!$C$17,IF(D31=KEL_fx!$B$18,KEL_fx!$C$18,IF(D31=KEL_fx!$B$19,KEL_fx!$C$19,IF(D31=KEL_fx!$B$20,KEL_fx!$C$20,IF(D31=KEL_fx!$B$21,KEL_fx!$C$21,IF(D31=KEL_fx!$B$22,KEL_fx!$C$22,IF(D31=KEL_fx!$B$23,KEL_fx!$C$23,IF(D31=KEL_fx!$B$24,KEL_fx!$C$24,IF(D31=KEL_fx!$B$25,KEL_fx!$C$25,IF(D31=KEL_fx!$B$26,KEL_fx!$C$26,IF(D31=KEL_fx!$B$27,KEL_fx!$C$27,IF(D31=KEL_fx!$B$28,KEL_fx!$C$28,IF(D31=KEL_fx!$B$29,KEL_fx!$C$29,IF(D31=KEL_fx!$B$30,KEL_fx!$C$30,IF(D31=KEL_fx!$B$31,KEL_fx!$C$31,IF(D31=KEL_fx!$B$32,KEL_fx!$C$32,IF(D31=KEL_fx!$B$33,KEL_fx!$C$33,IF(D31=KEL_fx!$B$34,KEL_fx!$C$34,IF(D31=KEL_fx!$B$35,KEL_fx!$C$35,IF(D31=KEL_fx!$B$36,KEL_fx!$C$36,IF(D31=KEL_fx!$B$37,KEL_fx!$C$37,0))))))))))))))))))))))))))</f>
        <v>0</v>
      </c>
      <c r="I31">
        <f>IF(D31=KEL_fx!$B$21,KEL_fx!$D$21,IF(D31=KEL_fx!$B$25,KEL_fx!$D$25,IF(D31=KEL_fx!$B$27,KEL_fx!$D$27,IF(D31=KEL_fx!$B$28,KEL_fx!$D$28,IF(D31=KEL_fx!$B$29,KEL_fx!$D$29,IF(D31=KEL_fx!$B$30,KEL_fx!$D$30,IF(D31=KEL_fx!$B$31,KEL_fx!$D$31,IF(D31=KEL_fx!$B$32,KEL_fx!$D$32,IF(D31=KEL_fx!$B$37,KEL_fx!$D$37,0)))))))))</f>
        <v>0</v>
      </c>
      <c r="J31">
        <f t="shared" si="1"/>
        <v>0</v>
      </c>
    </row>
    <row r="32" spans="1:12" x14ac:dyDescent="0.25">
      <c r="A32">
        <f>KEL!A33</f>
        <v>0</v>
      </c>
      <c r="B32">
        <f>KEL!B33</f>
        <v>0</v>
      </c>
      <c r="C32">
        <f>KEL!C33</f>
        <v>0</v>
      </c>
      <c r="D32">
        <f>KEL!D33</f>
        <v>0</v>
      </c>
      <c r="E32">
        <f>KEL!E33</f>
        <v>0</v>
      </c>
      <c r="F32">
        <f>KEL!F33</f>
        <v>0</v>
      </c>
      <c r="H32">
        <f>IF(D32=KEL_fx!$B$12,KEL_fx!$C$12,IF(D32=KEL_fx!$B$13,KEL_fx!$C$13,IF(D32=KEL_fx!$B$14,KEL_fx!$C$14,IF(D32=KEL_fx!$B$15,KEL_fx!$C$15,IF(D32=KEL_fx!$B$16,KEL_fx!$C$16,IF(D32=KEL_fx!$B$17,KEL_fx!$C$17,IF(D32=KEL_fx!$B$18,KEL_fx!$C$18,IF(D32=KEL_fx!$B$19,KEL_fx!$C$19,IF(D32=KEL_fx!$B$20,KEL_fx!$C$20,IF(D32=KEL_fx!$B$21,KEL_fx!$C$21,IF(D32=KEL_fx!$B$22,KEL_fx!$C$22,IF(D32=KEL_fx!$B$23,KEL_fx!$C$23,IF(D32=KEL_fx!$B$24,KEL_fx!$C$24,IF(D32=KEL_fx!$B$25,KEL_fx!$C$25,IF(D32=KEL_fx!$B$26,KEL_fx!$C$26,IF(D32=KEL_fx!$B$27,KEL_fx!$C$27,IF(D32=KEL_fx!$B$28,KEL_fx!$C$28,IF(D32=KEL_fx!$B$29,KEL_fx!$C$29,IF(D32=KEL_fx!$B$30,KEL_fx!$C$30,IF(D32=KEL_fx!$B$31,KEL_fx!$C$31,IF(D32=KEL_fx!$B$32,KEL_fx!$C$32,IF(D32=KEL_fx!$B$33,KEL_fx!$C$33,IF(D32=KEL_fx!$B$34,KEL_fx!$C$34,IF(D32=KEL_fx!$B$35,KEL_fx!$C$35,IF(D32=KEL_fx!$B$36,KEL_fx!$C$36,IF(D32=KEL_fx!$B$37,KEL_fx!$C$37,0))))))))))))))))))))))))))</f>
        <v>0</v>
      </c>
      <c r="I32">
        <f>IF(D32=KEL_fx!$B$21,KEL_fx!$D$21,IF(D32=KEL_fx!$B$25,KEL_fx!$D$25,IF(D32=KEL_fx!$B$27,KEL_fx!$D$27,IF(D32=KEL_fx!$B$28,KEL_fx!$D$28,IF(D32=KEL_fx!$B$29,KEL_fx!$D$29,IF(D32=KEL_fx!$B$30,KEL_fx!$D$30,IF(D32=KEL_fx!$B$31,KEL_fx!$D$31,IF(D32=KEL_fx!$B$32,KEL_fx!$D$32,IF(D32=KEL_fx!$B$37,KEL_fx!$D$37,0)))))))))</f>
        <v>0</v>
      </c>
      <c r="J32">
        <f t="shared" si="1"/>
        <v>0</v>
      </c>
    </row>
    <row r="33" spans="1:12" x14ac:dyDescent="0.25">
      <c r="A33">
        <f>KEL!A34</f>
        <v>0</v>
      </c>
      <c r="B33">
        <f>KEL!B34</f>
        <v>0</v>
      </c>
      <c r="C33">
        <f>KEL!C34</f>
        <v>0</v>
      </c>
      <c r="D33">
        <f>KEL!D34</f>
        <v>0</v>
      </c>
      <c r="E33">
        <f>KEL!E34</f>
        <v>0</v>
      </c>
      <c r="F33">
        <f>KEL!F34</f>
        <v>0</v>
      </c>
      <c r="H33">
        <f>IF(D33=KEL_fx!$B$12,KEL_fx!$C$12,IF(D33=KEL_fx!$B$13,KEL_fx!$C$13,IF(D33=KEL_fx!$B$14,KEL_fx!$C$14,IF(D33=KEL_fx!$B$15,KEL_fx!$C$15,IF(D33=KEL_fx!$B$16,KEL_fx!$C$16,IF(D33=KEL_fx!$B$17,KEL_fx!$C$17,IF(D33=KEL_fx!$B$18,KEL_fx!$C$18,IF(D33=KEL_fx!$B$19,KEL_fx!$C$19,IF(D33=KEL_fx!$B$20,KEL_fx!$C$20,IF(D33=KEL_fx!$B$21,KEL_fx!$C$21,IF(D33=KEL_fx!$B$22,KEL_fx!$C$22,IF(D33=KEL_fx!$B$23,KEL_fx!$C$23,IF(D33=KEL_fx!$B$24,KEL_fx!$C$24,IF(D33=KEL_fx!$B$25,KEL_fx!$C$25,IF(D33=KEL_fx!$B$26,KEL_fx!$C$26,IF(D33=KEL_fx!$B$27,KEL_fx!$C$27,IF(D33=KEL_fx!$B$28,KEL_fx!$C$28,IF(D33=KEL_fx!$B$29,KEL_fx!$C$29,IF(D33=KEL_fx!$B$30,KEL_fx!$C$30,IF(D33=KEL_fx!$B$31,KEL_fx!$C$31,IF(D33=KEL_fx!$B$32,KEL_fx!$C$32,IF(D33=KEL_fx!$B$33,KEL_fx!$C$33,IF(D33=KEL_fx!$B$34,KEL_fx!$C$34,IF(D33=KEL_fx!$B$35,KEL_fx!$C$35,IF(D33=KEL_fx!$B$36,KEL_fx!$C$36,IF(D33=KEL_fx!$B$37,KEL_fx!$C$37,0))))))))))))))))))))))))))</f>
        <v>0</v>
      </c>
      <c r="I33">
        <f>IF(D33=KEL_fx!$B$21,KEL_fx!$D$21,IF(D33=KEL_fx!$B$25,KEL_fx!$D$25,IF(D33=KEL_fx!$B$27,KEL_fx!$D$27,IF(D33=KEL_fx!$B$28,KEL_fx!$D$28,IF(D33=KEL_fx!$B$29,KEL_fx!$D$29,IF(D33=KEL_fx!$B$30,KEL_fx!$D$30,IF(D33=KEL_fx!$B$31,KEL_fx!$D$31,IF(D33=KEL_fx!$B$32,KEL_fx!$D$32,IF(D33=KEL_fx!$B$37,KEL_fx!$D$37,0)))))))))</f>
        <v>0</v>
      </c>
      <c r="J33">
        <f t="shared" si="1"/>
        <v>0</v>
      </c>
    </row>
    <row r="34" spans="1:12" ht="15.75" x14ac:dyDescent="0.25">
      <c r="A34">
        <f>KEL!A35</f>
        <v>0</v>
      </c>
      <c r="B34">
        <f>KEL!B35</f>
        <v>0</v>
      </c>
      <c r="C34">
        <f>KEL!C35</f>
        <v>0</v>
      </c>
      <c r="D34">
        <f>KEL!D35</f>
        <v>0</v>
      </c>
      <c r="E34">
        <f>KEL!E35</f>
        <v>0</v>
      </c>
      <c r="F34">
        <f>KEL!F35</f>
        <v>0</v>
      </c>
      <c r="H34">
        <f>IF(D34=KEL_fx!$B$12,KEL_fx!$C$12,IF(D34=KEL_fx!$B$13,KEL_fx!$C$13,IF(D34=KEL_fx!$B$14,KEL_fx!$C$14,IF(D34=KEL_fx!$B$15,KEL_fx!$C$15,IF(D34=KEL_fx!$B$16,KEL_fx!$C$16,IF(D34=KEL_fx!$B$17,KEL_fx!$C$17,IF(D34=KEL_fx!$B$18,KEL_fx!$C$18,IF(D34=KEL_fx!$B$19,KEL_fx!$C$19,IF(D34=KEL_fx!$B$20,KEL_fx!$C$20,IF(D34=KEL_fx!$B$21,KEL_fx!$C$21,IF(D34=KEL_fx!$B$22,KEL_fx!$C$22,IF(D34=KEL_fx!$B$23,KEL_fx!$C$23,IF(D34=KEL_fx!$B$24,KEL_fx!$C$24,IF(D34=KEL_fx!$B$25,KEL_fx!$C$25,IF(D34=KEL_fx!$B$26,KEL_fx!$C$26,IF(D34=KEL_fx!$B$27,KEL_fx!$C$27,IF(D34=KEL_fx!$B$28,KEL_fx!$C$28,IF(D34=KEL_fx!$B$29,KEL_fx!$C$29,IF(D34=KEL_fx!$B$30,KEL_fx!$C$30,IF(D34=KEL_fx!$B$31,KEL_fx!$C$31,IF(D34=KEL_fx!$B$32,KEL_fx!$C$32,IF(D34=KEL_fx!$B$33,KEL_fx!$C$33,IF(D34=KEL_fx!$B$34,KEL_fx!$C$34,IF(D34=KEL_fx!$B$35,KEL_fx!$C$35,IF(D34=KEL_fx!$B$36,KEL_fx!$C$36,IF(D34=KEL_fx!$B$37,KEL_fx!$C$37,0))))))))))))))))))))))))))</f>
        <v>0</v>
      </c>
      <c r="I34">
        <f>IF(D34=KEL_fx!$B$21,KEL_fx!$D$21,IF(D34=KEL_fx!$B$25,KEL_fx!$D$25,IF(D34=KEL_fx!$B$27,KEL_fx!$D$27,IF(D34=KEL_fx!$B$28,KEL_fx!$D$28,IF(D34=KEL_fx!$B$29,KEL_fx!$D$29,IF(D34=KEL_fx!$B$30,KEL_fx!$D$30,IF(D34=KEL_fx!$B$31,KEL_fx!$D$31,IF(D34=KEL_fx!$B$32,KEL_fx!$D$32,IF(D34=KEL_fx!$B$37,KEL_fx!$D$37,0)))))))))</f>
        <v>0</v>
      </c>
      <c r="J34">
        <f t="shared" si="1"/>
        <v>0</v>
      </c>
      <c r="L34" s="253" t="s">
        <v>99</v>
      </c>
    </row>
    <row r="35" spans="1:12" ht="19.5" thickBot="1" x14ac:dyDescent="0.35">
      <c r="A35">
        <f>KEL!A36</f>
        <v>0</v>
      </c>
      <c r="B35">
        <f>KEL!B36</f>
        <v>0</v>
      </c>
      <c r="C35">
        <f>KEL!C36</f>
        <v>0</v>
      </c>
      <c r="D35">
        <f>KEL!D36</f>
        <v>0</v>
      </c>
      <c r="E35">
        <f>KEL!E36</f>
        <v>0</v>
      </c>
      <c r="F35">
        <f>KEL!F36</f>
        <v>0</v>
      </c>
      <c r="H35">
        <f>IF(D35=KEL_fx!$B$12,KEL_fx!$C$12,IF(D35=KEL_fx!$B$13,KEL_fx!$C$13,IF(D35=KEL_fx!$B$14,KEL_fx!$C$14,IF(D35=KEL_fx!$B$15,KEL_fx!$C$15,IF(D35=KEL_fx!$B$16,KEL_fx!$C$16,IF(D35=KEL_fx!$B$17,KEL_fx!$C$17,IF(D35=KEL_fx!$B$18,KEL_fx!$C$18,IF(D35=KEL_fx!$B$19,KEL_fx!$C$19,IF(D35=KEL_fx!$B$20,KEL_fx!$C$20,IF(D35=KEL_fx!$B$21,KEL_fx!$C$21,IF(D35=KEL_fx!$B$22,KEL_fx!$C$22,IF(D35=KEL_fx!$B$23,KEL_fx!$C$23,IF(D35=KEL_fx!$B$24,KEL_fx!$C$24,IF(D35=KEL_fx!$B$25,KEL_fx!$C$25,IF(D35=KEL_fx!$B$26,KEL_fx!$C$26,IF(D35=KEL_fx!$B$27,KEL_fx!$C$27,IF(D35=KEL_fx!$B$28,KEL_fx!$C$28,IF(D35=KEL_fx!$B$29,KEL_fx!$C$29,IF(D35=KEL_fx!$B$30,KEL_fx!$C$30,IF(D35=KEL_fx!$B$31,KEL_fx!$C$31,IF(D35=KEL_fx!$B$32,KEL_fx!$C$32,IF(D35=KEL_fx!$B$33,KEL_fx!$C$33,IF(D35=KEL_fx!$B$34,KEL_fx!$C$34,IF(D35=KEL_fx!$B$35,KEL_fx!$C$35,IF(D35=KEL_fx!$B$36,KEL_fx!$C$36,IF(D35=KEL_fx!$B$37,KEL_fx!$C$37,0))))))))))))))))))))))))))</f>
        <v>0</v>
      </c>
      <c r="I35">
        <f>IF(D35=KEL_fx!$B$21,KEL_fx!$D$21,IF(D35=KEL_fx!$B$25,KEL_fx!$D$25,IF(D35=KEL_fx!$B$27,KEL_fx!$D$27,IF(D35=KEL_fx!$B$28,KEL_fx!$D$28,IF(D35=KEL_fx!$B$29,KEL_fx!$D$29,IF(D35=KEL_fx!$B$30,KEL_fx!$D$30,IF(D35=KEL_fx!$B$31,KEL_fx!$D$31,IF(D35=KEL_fx!$B$32,KEL_fx!$D$32,IF(D35=KEL_fx!$B$37,KEL_fx!$D$37,0)))))))))</f>
        <v>0</v>
      </c>
      <c r="J35">
        <f t="shared" si="1"/>
        <v>0</v>
      </c>
      <c r="L35" s="259">
        <f>SUM(J26:J35)</f>
        <v>0</v>
      </c>
    </row>
    <row r="36" spans="1:12" ht="15.75" thickTop="1" x14ac:dyDescent="0.25"/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393DA-CDB9-4D94-A844-1B91AE92B0ED}">
  <sheetPr>
    <tabColor rgb="FFFFFF66"/>
  </sheetPr>
  <dimension ref="A1:V36"/>
  <sheetViews>
    <sheetView showGridLines="0" showRowColHeaders="0" workbookViewId="0">
      <pane ySplit="3" topLeftCell="A4" activePane="bottomLeft" state="frozen"/>
      <selection pane="bottomLeft" activeCell="F18" sqref="F18"/>
    </sheetView>
  </sheetViews>
  <sheetFormatPr defaultRowHeight="15" x14ac:dyDescent="0.25"/>
  <cols>
    <col min="1" max="1" width="19.7109375" customWidth="1"/>
    <col min="2" max="2" width="22.28515625" customWidth="1"/>
    <col min="3" max="3" width="30.85546875" customWidth="1"/>
    <col min="4" max="4" width="34" customWidth="1"/>
    <col min="5" max="5" width="19.7109375" customWidth="1"/>
    <col min="6" max="6" width="20.7109375" customWidth="1"/>
    <col min="7" max="11" width="19.85546875" customWidth="1"/>
  </cols>
  <sheetData>
    <row r="1" spans="1:22" s="148" customFormat="1" ht="129" customHeight="1" x14ac:dyDescent="0.25"/>
    <row r="2" spans="1:22" s="184" customFormat="1" ht="35.25" customHeight="1" x14ac:dyDescent="0.4">
      <c r="A2" s="184" t="s">
        <v>32</v>
      </c>
      <c r="B2" s="185"/>
      <c r="F2" s="186"/>
      <c r="G2" s="186"/>
      <c r="L2" s="185"/>
      <c r="M2" s="185"/>
      <c r="N2" s="185"/>
      <c r="O2" s="185"/>
      <c r="Q2" s="185"/>
      <c r="R2" s="185"/>
      <c r="S2" s="185"/>
      <c r="T2" s="185"/>
      <c r="U2" s="185"/>
      <c r="V2" s="185"/>
    </row>
    <row r="3" spans="1:22" s="200" customFormat="1" ht="27" customHeight="1" x14ac:dyDescent="0.3">
      <c r="A3" s="200" t="s">
        <v>559</v>
      </c>
      <c r="D3" s="200">
        <f>YHTEENVETO!D3</f>
        <v>2019</v>
      </c>
    </row>
    <row r="5" spans="1:22" x14ac:dyDescent="0.25">
      <c r="A5" s="5" t="s">
        <v>743</v>
      </c>
      <c r="B5" s="5"/>
      <c r="C5" s="5"/>
      <c r="D5" s="5"/>
      <c r="E5" s="5"/>
      <c r="F5" s="5"/>
      <c r="G5" s="5"/>
    </row>
    <row r="6" spans="1:22" x14ac:dyDescent="0.25">
      <c r="A6" s="5" t="s">
        <v>744</v>
      </c>
      <c r="B6" s="5"/>
      <c r="C6" s="5"/>
      <c r="D6" s="5"/>
      <c r="E6" s="5"/>
      <c r="F6" s="5"/>
      <c r="G6" s="5"/>
    </row>
    <row r="7" spans="1:22" x14ac:dyDescent="0.25">
      <c r="A7" s="5" t="s">
        <v>745</v>
      </c>
      <c r="B7" s="5"/>
      <c r="C7" s="5"/>
      <c r="D7" s="5"/>
      <c r="E7" s="5"/>
      <c r="F7" s="5"/>
      <c r="G7" s="5"/>
    </row>
    <row r="10" spans="1:22" ht="15.75" x14ac:dyDescent="0.25">
      <c r="A10" s="238" t="s">
        <v>875</v>
      </c>
      <c r="B10" s="216"/>
      <c r="C10" s="216"/>
      <c r="D10" s="216"/>
      <c r="E10" s="216"/>
    </row>
    <row r="11" spans="1:22" x14ac:dyDescent="0.25">
      <c r="A11" s="251" t="s">
        <v>603</v>
      </c>
      <c r="B11" s="236"/>
    </row>
    <row r="12" spans="1:22" ht="36" x14ac:dyDescent="0.25">
      <c r="A12" s="217" t="s">
        <v>741</v>
      </c>
      <c r="B12" s="217" t="s">
        <v>735</v>
      </c>
      <c r="C12" s="217" t="s">
        <v>425</v>
      </c>
      <c r="D12" s="217" t="s">
        <v>736</v>
      </c>
      <c r="E12" s="217" t="s">
        <v>737</v>
      </c>
    </row>
    <row r="13" spans="1:22" x14ac:dyDescent="0.25">
      <c r="A13" s="20"/>
      <c r="B13" s="20"/>
      <c r="C13" s="20"/>
      <c r="D13" s="20"/>
      <c r="E13" s="20"/>
    </row>
    <row r="14" spans="1:22" x14ac:dyDescent="0.25">
      <c r="A14" s="20"/>
      <c r="B14" s="20"/>
      <c r="C14" s="20"/>
      <c r="D14" s="20"/>
      <c r="E14" s="20"/>
    </row>
    <row r="15" spans="1:22" x14ac:dyDescent="0.25">
      <c r="A15" s="20"/>
      <c r="B15" s="20"/>
      <c r="C15" s="20"/>
      <c r="D15" s="20"/>
      <c r="E15" s="20"/>
    </row>
    <row r="16" spans="1:22" x14ac:dyDescent="0.25">
      <c r="A16" s="20"/>
      <c r="B16" s="20"/>
      <c r="C16" s="20"/>
      <c r="D16" s="20"/>
      <c r="E16" s="20"/>
    </row>
    <row r="17" spans="1:6" x14ac:dyDescent="0.25">
      <c r="A17" s="20"/>
      <c r="B17" s="20"/>
      <c r="C17" s="20"/>
      <c r="D17" s="20"/>
      <c r="E17" s="20"/>
    </row>
    <row r="18" spans="1:6" x14ac:dyDescent="0.25">
      <c r="A18" s="20"/>
      <c r="B18" s="20"/>
      <c r="C18" s="20"/>
      <c r="D18" s="20"/>
      <c r="E18" s="20"/>
    </row>
    <row r="19" spans="1:6" x14ac:dyDescent="0.25">
      <c r="A19" s="20"/>
      <c r="B19" s="20"/>
      <c r="C19" s="20"/>
      <c r="D19" s="20"/>
      <c r="E19" s="20"/>
    </row>
    <row r="20" spans="1:6" x14ac:dyDescent="0.25">
      <c r="A20" s="20"/>
      <c r="B20" s="20"/>
      <c r="C20" s="20"/>
      <c r="D20" s="20"/>
      <c r="E20" s="20"/>
    </row>
    <row r="21" spans="1:6" x14ac:dyDescent="0.25">
      <c r="A21" s="20"/>
      <c r="B21" s="20"/>
      <c r="C21" s="20"/>
      <c r="D21" s="20"/>
      <c r="E21" s="20"/>
    </row>
    <row r="22" spans="1:6" x14ac:dyDescent="0.25">
      <c r="A22" s="20"/>
      <c r="B22" s="20"/>
      <c r="C22" s="20"/>
      <c r="D22" s="20"/>
      <c r="E22" s="20"/>
    </row>
    <row r="24" spans="1:6" ht="15.75" x14ac:dyDescent="0.25">
      <c r="A24" s="238" t="s">
        <v>874</v>
      </c>
      <c r="B24" s="216"/>
      <c r="C24" s="216"/>
      <c r="D24" s="216"/>
      <c r="E24" s="216"/>
    </row>
    <row r="25" spans="1:6" x14ac:dyDescent="0.25">
      <c r="A25" s="251" t="s">
        <v>603</v>
      </c>
      <c r="B25" s="236"/>
    </row>
    <row r="26" spans="1:6" ht="36" x14ac:dyDescent="0.25">
      <c r="A26" s="217" t="s">
        <v>741</v>
      </c>
      <c r="B26" s="217" t="s">
        <v>742</v>
      </c>
      <c r="C26" s="217" t="s">
        <v>746</v>
      </c>
      <c r="D26" s="217" t="s">
        <v>425</v>
      </c>
      <c r="E26" s="217" t="s">
        <v>736</v>
      </c>
      <c r="F26" s="217" t="s">
        <v>737</v>
      </c>
    </row>
    <row r="27" spans="1:6" x14ac:dyDescent="0.25">
      <c r="A27" s="20"/>
      <c r="B27" s="20"/>
      <c r="C27" s="20"/>
      <c r="D27" s="20"/>
      <c r="E27" s="20"/>
      <c r="F27" s="20"/>
    </row>
    <row r="28" spans="1:6" x14ac:dyDescent="0.25">
      <c r="A28" s="20"/>
      <c r="B28" s="20"/>
      <c r="C28" s="20"/>
      <c r="D28" s="20"/>
      <c r="E28" s="20"/>
      <c r="F28" s="20"/>
    </row>
    <row r="29" spans="1:6" x14ac:dyDescent="0.25">
      <c r="A29" s="20"/>
      <c r="B29" s="20"/>
      <c r="C29" s="20"/>
      <c r="D29" s="20"/>
      <c r="E29" s="20"/>
      <c r="F29" s="20"/>
    </row>
    <row r="30" spans="1:6" x14ac:dyDescent="0.25">
      <c r="A30" s="20"/>
      <c r="B30" s="20"/>
      <c r="C30" s="20"/>
      <c r="D30" s="20"/>
      <c r="E30" s="20"/>
      <c r="F30" s="20"/>
    </row>
    <row r="31" spans="1:6" x14ac:dyDescent="0.25">
      <c r="A31" s="20"/>
      <c r="B31" s="20"/>
      <c r="C31" s="20"/>
      <c r="D31" s="20"/>
      <c r="E31" s="20"/>
      <c r="F31" s="20"/>
    </row>
    <row r="32" spans="1:6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  <row r="34" spans="1:6" x14ac:dyDescent="0.25">
      <c r="A34" s="20"/>
      <c r="B34" s="20"/>
      <c r="C34" s="20"/>
      <c r="D34" s="20"/>
      <c r="E34" s="20"/>
      <c r="F34" s="20"/>
    </row>
    <row r="35" spans="1:6" x14ac:dyDescent="0.25">
      <c r="A35" s="20"/>
      <c r="B35" s="20"/>
      <c r="C35" s="20"/>
      <c r="D35" s="20"/>
      <c r="E35" s="20"/>
      <c r="F35" s="20"/>
    </row>
    <row r="36" spans="1:6" x14ac:dyDescent="0.25">
      <c r="A36" s="20"/>
      <c r="B36" s="20"/>
      <c r="C36" s="20"/>
      <c r="D36" s="20"/>
      <c r="E36" s="20"/>
      <c r="F36" s="20"/>
    </row>
  </sheetData>
  <dataValidations count="1">
    <dataValidation type="list" allowBlank="1" showInputMessage="1" showErrorMessage="1" sqref="F27:F36 E13:E22" xr:uid="{E24DEF8F-1D9F-4F89-8951-B88A3880CABE}">
      <formula1>"litra, kg"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2AD9D4-4B40-43F8-B1B9-7C8CEECFDF58}">
          <x14:formula1>
            <xm:f>KEL_fx!$B$12:$B$37</xm:f>
          </x14:formula1>
          <xm:sqref>D27:D36 C13:C22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209B3-1AB0-474C-BA91-2CA884F3CA74}">
  <sheetPr codeName="Sheet9">
    <tabColor theme="9" tint="0.39997558519241921"/>
  </sheetPr>
  <dimension ref="A1:T41"/>
  <sheetViews>
    <sheetView workbookViewId="0">
      <pane ySplit="2" topLeftCell="A3" activePane="bottomLeft" state="frozen"/>
      <selection activeCell="F13" sqref="F13"/>
      <selection pane="bottomLeft" activeCell="F13" sqref="F13"/>
    </sheetView>
  </sheetViews>
  <sheetFormatPr defaultRowHeight="15" x14ac:dyDescent="0.25"/>
  <cols>
    <col min="2" max="2" width="15.5703125" customWidth="1"/>
    <col min="3" max="3" width="14.140625" customWidth="1"/>
    <col min="4" max="4" width="13.140625" customWidth="1"/>
    <col min="5" max="5" width="13" customWidth="1"/>
    <col min="7" max="7" width="13.28515625" customWidth="1"/>
    <col min="9" max="9" width="14.140625" customWidth="1"/>
    <col min="10" max="10" width="23.5703125" customWidth="1"/>
    <col min="11" max="11" width="21.140625" customWidth="1"/>
    <col min="12" max="12" width="23.85546875" customWidth="1"/>
    <col min="13" max="13" width="16.42578125" customWidth="1"/>
    <col min="14" max="14" width="13.28515625" customWidth="1"/>
    <col min="15" max="15" width="25.140625" style="15" customWidth="1"/>
    <col min="16" max="16" width="25.7109375" style="15" customWidth="1"/>
    <col min="17" max="17" width="27.42578125" style="15" customWidth="1"/>
    <col min="18" max="18" width="16.5703125" style="15" customWidth="1"/>
    <col min="19" max="19" width="47.28515625" style="15" customWidth="1"/>
    <col min="20" max="20" width="74.7109375" style="15" customWidth="1"/>
  </cols>
  <sheetData>
    <row r="1" spans="1:20" s="148" customFormat="1" ht="129" customHeight="1" x14ac:dyDescent="0.25">
      <c r="O1" s="154"/>
      <c r="P1" s="154"/>
      <c r="Q1" s="154"/>
      <c r="R1" s="154"/>
      <c r="S1" s="154"/>
      <c r="T1" s="154"/>
    </row>
    <row r="2" spans="1:20" s="78" customFormat="1" ht="35.25" customHeight="1" x14ac:dyDescent="0.4">
      <c r="A2" s="78" t="s">
        <v>747</v>
      </c>
      <c r="K2" s="79" t="s">
        <v>748</v>
      </c>
      <c r="M2" s="136"/>
      <c r="O2" s="81"/>
      <c r="P2" s="81"/>
      <c r="Q2" s="81"/>
      <c r="R2" s="81"/>
      <c r="S2" s="81"/>
      <c r="T2" s="81"/>
    </row>
    <row r="3" spans="1:20" ht="15.75" thickBot="1" x14ac:dyDescent="0.3"/>
    <row r="4" spans="1:20" ht="15.75" x14ac:dyDescent="0.25">
      <c r="A4" s="80" t="s">
        <v>749</v>
      </c>
      <c r="O4" s="103" t="s">
        <v>128</v>
      </c>
      <c r="P4" s="23"/>
      <c r="Q4" s="104"/>
      <c r="R4" s="104"/>
      <c r="S4" s="104"/>
      <c r="T4" s="105"/>
    </row>
    <row r="5" spans="1:20" x14ac:dyDescent="0.25">
      <c r="A5" s="124" t="s">
        <v>750</v>
      </c>
      <c r="O5" s="106" t="s">
        <v>751</v>
      </c>
      <c r="P5" s="82" t="s">
        <v>390</v>
      </c>
      <c r="Q5" s="82" t="s">
        <v>412</v>
      </c>
      <c r="R5" s="82" t="s">
        <v>73</v>
      </c>
      <c r="S5" s="82" t="s">
        <v>752</v>
      </c>
      <c r="T5" s="107" t="s">
        <v>753</v>
      </c>
    </row>
    <row r="6" spans="1:20" ht="135" x14ac:dyDescent="0.25">
      <c r="A6" s="47" t="s">
        <v>754</v>
      </c>
      <c r="O6" s="63"/>
      <c r="R6" s="15" t="s">
        <v>755</v>
      </c>
      <c r="S6" s="15" t="s">
        <v>926</v>
      </c>
      <c r="T6" s="108"/>
    </row>
    <row r="7" spans="1:20" ht="23.25" x14ac:dyDescent="0.25">
      <c r="O7" s="109" t="s">
        <v>756</v>
      </c>
      <c r="P7" s="83" t="s">
        <v>757</v>
      </c>
      <c r="Q7" s="391">
        <v>-1993</v>
      </c>
      <c r="R7" s="83">
        <v>105</v>
      </c>
      <c r="S7" s="85" t="s">
        <v>758</v>
      </c>
      <c r="T7" s="110" t="s">
        <v>759</v>
      </c>
    </row>
    <row r="8" spans="1:20" ht="23.25" x14ac:dyDescent="0.25">
      <c r="A8" s="80" t="s">
        <v>760</v>
      </c>
      <c r="O8" s="111"/>
      <c r="P8" s="83"/>
      <c r="Q8" s="84" t="s">
        <v>761</v>
      </c>
      <c r="R8" s="83">
        <v>104</v>
      </c>
      <c r="S8" s="85" t="s">
        <v>758</v>
      </c>
      <c r="T8" s="110" t="s">
        <v>759</v>
      </c>
    </row>
    <row r="9" spans="1:20" ht="23.25" x14ac:dyDescent="0.25">
      <c r="A9" s="125" t="s">
        <v>762</v>
      </c>
      <c r="O9" s="111"/>
      <c r="P9" s="83"/>
      <c r="Q9" s="84" t="s">
        <v>763</v>
      </c>
      <c r="R9" s="83">
        <v>101</v>
      </c>
      <c r="S9" s="85" t="s">
        <v>758</v>
      </c>
      <c r="T9" s="110" t="s">
        <v>759</v>
      </c>
    </row>
    <row r="10" spans="1:20" ht="23.25" x14ac:dyDescent="0.25">
      <c r="A10" s="47" t="s">
        <v>764</v>
      </c>
      <c r="O10" s="111"/>
      <c r="P10" s="83"/>
      <c r="Q10" s="84" t="s">
        <v>765</v>
      </c>
      <c r="R10" s="83">
        <v>100</v>
      </c>
      <c r="S10" s="85" t="s">
        <v>758</v>
      </c>
      <c r="T10" s="110" t="s">
        <v>759</v>
      </c>
    </row>
    <row r="11" spans="1:20" ht="23.25" x14ac:dyDescent="0.25">
      <c r="O11" s="111"/>
      <c r="P11" s="83"/>
      <c r="Q11" s="84" t="s">
        <v>766</v>
      </c>
      <c r="R11" s="83">
        <f>(97+96+93+90)/4</f>
        <v>94</v>
      </c>
      <c r="S11" s="85" t="s">
        <v>758</v>
      </c>
      <c r="T11" s="110" t="s">
        <v>759</v>
      </c>
    </row>
    <row r="12" spans="1:20" ht="23.25" x14ac:dyDescent="0.25">
      <c r="A12" s="47" t="s">
        <v>767</v>
      </c>
      <c r="O12" s="111"/>
      <c r="P12" s="83"/>
      <c r="Q12" s="84" t="s">
        <v>768</v>
      </c>
      <c r="R12" s="86">
        <f>(88+86+82+82+80)/5</f>
        <v>83.6</v>
      </c>
      <c r="S12" s="85" t="s">
        <v>758</v>
      </c>
      <c r="T12" s="110" t="s">
        <v>759</v>
      </c>
    </row>
    <row r="13" spans="1:20" ht="23.25" x14ac:dyDescent="0.25">
      <c r="O13" s="111"/>
      <c r="P13" s="83"/>
      <c r="Q13" s="84" t="s">
        <v>769</v>
      </c>
      <c r="R13" s="87">
        <f>(78+77)/2</f>
        <v>77.5</v>
      </c>
      <c r="S13" s="85" t="s">
        <v>758</v>
      </c>
      <c r="T13" s="110" t="s">
        <v>759</v>
      </c>
    </row>
    <row r="14" spans="1:20" ht="24" thickBot="1" x14ac:dyDescent="0.3">
      <c r="O14" s="111"/>
      <c r="P14" s="88" t="s">
        <v>770</v>
      </c>
      <c r="Q14" s="392">
        <v>-1993</v>
      </c>
      <c r="R14" s="88">
        <v>81</v>
      </c>
      <c r="S14" s="90" t="s">
        <v>758</v>
      </c>
      <c r="T14" s="112" t="s">
        <v>759</v>
      </c>
    </row>
    <row r="15" spans="1:20" ht="23.25" x14ac:dyDescent="0.25">
      <c r="E15" s="67" t="s">
        <v>771</v>
      </c>
      <c r="F15" s="23"/>
      <c r="G15" s="23"/>
      <c r="H15" s="23"/>
      <c r="I15" s="23"/>
      <c r="J15" s="361" t="s">
        <v>772</v>
      </c>
      <c r="K15" s="24"/>
      <c r="O15" s="111"/>
      <c r="P15" s="88"/>
      <c r="Q15" s="89" t="s">
        <v>761</v>
      </c>
      <c r="R15" s="88">
        <v>84</v>
      </c>
      <c r="S15" s="90" t="s">
        <v>758</v>
      </c>
      <c r="T15" s="112" t="s">
        <v>759</v>
      </c>
    </row>
    <row r="16" spans="1:20" ht="23.25" x14ac:dyDescent="0.25">
      <c r="E16" s="55" t="s">
        <v>390</v>
      </c>
      <c r="F16" s="50" t="s">
        <v>170</v>
      </c>
      <c r="J16" t="s">
        <v>393</v>
      </c>
      <c r="K16" s="28"/>
      <c r="O16" s="111"/>
      <c r="P16" s="88"/>
      <c r="Q16" s="89" t="s">
        <v>763</v>
      </c>
      <c r="R16" s="88">
        <v>84</v>
      </c>
      <c r="S16" s="90" t="s">
        <v>758</v>
      </c>
      <c r="T16" s="112" t="s">
        <v>759</v>
      </c>
    </row>
    <row r="17" spans="5:20" ht="23.25" x14ac:dyDescent="0.25">
      <c r="E17" s="64"/>
      <c r="F17" s="17" t="s">
        <v>391</v>
      </c>
      <c r="J17" t="s">
        <v>394</v>
      </c>
      <c r="K17" s="28"/>
      <c r="O17" s="111"/>
      <c r="P17" s="88"/>
      <c r="Q17" s="89" t="s">
        <v>765</v>
      </c>
      <c r="R17" s="88">
        <v>87</v>
      </c>
      <c r="S17" s="90" t="s">
        <v>758</v>
      </c>
      <c r="T17" s="112" t="s">
        <v>759</v>
      </c>
    </row>
    <row r="18" spans="5:20" ht="23.25" x14ac:dyDescent="0.25">
      <c r="E18" s="147" t="s">
        <v>393</v>
      </c>
      <c r="F18" s="240">
        <v>2.3396014151999996E-3</v>
      </c>
      <c r="J18" t="s">
        <v>88</v>
      </c>
      <c r="K18" s="28"/>
      <c r="O18" s="111"/>
      <c r="P18" s="88"/>
      <c r="Q18" s="89" t="s">
        <v>766</v>
      </c>
      <c r="R18" s="88">
        <f>(96+95+89+89)/4</f>
        <v>92.25</v>
      </c>
      <c r="S18" s="90" t="s">
        <v>758</v>
      </c>
      <c r="T18" s="112" t="s">
        <v>759</v>
      </c>
    </row>
    <row r="19" spans="5:20" ht="23.25" x14ac:dyDescent="0.25">
      <c r="E19" s="27" t="s">
        <v>394</v>
      </c>
      <c r="F19" s="240">
        <v>2.7226631639999999E-3</v>
      </c>
      <c r="J19" t="s">
        <v>773</v>
      </c>
      <c r="K19" s="28"/>
      <c r="O19" s="111"/>
      <c r="P19" s="88"/>
      <c r="Q19" s="89" t="s">
        <v>768</v>
      </c>
      <c r="R19" s="88">
        <f>(83+81+79+75+73)/5</f>
        <v>78.2</v>
      </c>
      <c r="S19" s="90" t="s">
        <v>758</v>
      </c>
      <c r="T19" s="112" t="s">
        <v>759</v>
      </c>
    </row>
    <row r="20" spans="5:20" ht="23.25" x14ac:dyDescent="0.25">
      <c r="E20" s="147" t="s">
        <v>774</v>
      </c>
      <c r="F20" s="240">
        <v>1.6865373031999999E-3</v>
      </c>
      <c r="J20" t="s">
        <v>775</v>
      </c>
      <c r="K20" s="28"/>
      <c r="O20" s="111"/>
      <c r="P20" s="88"/>
      <c r="Q20" s="89" t="s">
        <v>769</v>
      </c>
      <c r="R20" s="88">
        <f>(72+71)/2</f>
        <v>71.5</v>
      </c>
      <c r="S20" s="90" t="s">
        <v>758</v>
      </c>
      <c r="T20" s="112" t="s">
        <v>759</v>
      </c>
    </row>
    <row r="21" spans="5:20" ht="45.75" x14ac:dyDescent="0.25">
      <c r="E21" s="66" t="s">
        <v>775</v>
      </c>
      <c r="F21" s="240">
        <v>6.5070312000000004E-4</v>
      </c>
      <c r="J21" t="s">
        <v>776</v>
      </c>
      <c r="K21" s="28"/>
      <c r="O21" s="111"/>
      <c r="P21" s="91" t="s">
        <v>777</v>
      </c>
      <c r="Q21" s="91"/>
      <c r="R21" s="91">
        <f>0.1*72</f>
        <v>7.2</v>
      </c>
      <c r="S21" s="92" t="s">
        <v>778</v>
      </c>
      <c r="T21" s="113" t="s">
        <v>779</v>
      </c>
    </row>
    <row r="22" spans="5:20" ht="45" x14ac:dyDescent="0.25">
      <c r="E22" s="29" t="s">
        <v>773</v>
      </c>
      <c r="F22">
        <f>0.52*F18</f>
        <v>1.2165927359039999E-3</v>
      </c>
      <c r="G22" s="15" t="s">
        <v>780</v>
      </c>
      <c r="J22" t="s">
        <v>781</v>
      </c>
      <c r="K22" s="28"/>
      <c r="O22" s="111"/>
      <c r="P22" s="93" t="s">
        <v>782</v>
      </c>
      <c r="Q22" s="94" t="s">
        <v>766</v>
      </c>
      <c r="R22" s="93">
        <f>0.48*$D$19+0.52*R11</f>
        <v>48.88</v>
      </c>
      <c r="S22" s="93" t="s">
        <v>783</v>
      </c>
      <c r="T22" s="114" t="s">
        <v>784</v>
      </c>
    </row>
    <row r="23" spans="5:20" ht="27" customHeight="1" thickBot="1" x14ac:dyDescent="0.3">
      <c r="E23" s="34" t="s">
        <v>88</v>
      </c>
      <c r="F23" s="59"/>
      <c r="G23" s="59"/>
      <c r="H23" s="59"/>
      <c r="I23" s="59"/>
      <c r="J23" s="59"/>
      <c r="K23" s="60"/>
      <c r="O23" s="111"/>
      <c r="P23" s="93"/>
      <c r="Q23" s="94" t="s">
        <v>768</v>
      </c>
      <c r="R23" s="93">
        <f>0.48*$D$19+0.52*R12</f>
        <v>43.472000000000001</v>
      </c>
      <c r="S23" s="95" t="s">
        <v>758</v>
      </c>
      <c r="T23" s="115"/>
    </row>
    <row r="24" spans="5:20" x14ac:dyDescent="0.25">
      <c r="O24" s="111"/>
      <c r="P24" s="93"/>
      <c r="Q24" s="94" t="s">
        <v>769</v>
      </c>
      <c r="R24" s="93">
        <f>0.48*$D$19+0.52*R13</f>
        <v>40.300000000000004</v>
      </c>
      <c r="S24" s="95" t="s">
        <v>758</v>
      </c>
      <c r="T24" s="115"/>
    </row>
    <row r="25" spans="5:20" ht="23.25" x14ac:dyDescent="0.25">
      <c r="O25" s="111"/>
      <c r="P25" s="96" t="s">
        <v>785</v>
      </c>
      <c r="Q25" s="97" t="s">
        <v>763</v>
      </c>
      <c r="R25" s="96">
        <v>56</v>
      </c>
      <c r="S25" s="98" t="s">
        <v>758</v>
      </c>
      <c r="T25" s="116" t="s">
        <v>759</v>
      </c>
    </row>
    <row r="26" spans="5:20" ht="23.25" x14ac:dyDescent="0.25">
      <c r="O26" s="111"/>
      <c r="P26" s="96"/>
      <c r="Q26" s="97" t="s">
        <v>765</v>
      </c>
      <c r="R26" s="96">
        <v>50</v>
      </c>
      <c r="S26" s="98" t="s">
        <v>758</v>
      </c>
      <c r="T26" s="116" t="s">
        <v>759</v>
      </c>
    </row>
    <row r="27" spans="5:20" ht="23.25" x14ac:dyDescent="0.25">
      <c r="O27" s="111"/>
      <c r="P27" s="96"/>
      <c r="Q27" s="97" t="s">
        <v>766</v>
      </c>
      <c r="R27" s="96">
        <v>42</v>
      </c>
      <c r="S27" s="98" t="s">
        <v>758</v>
      </c>
      <c r="T27" s="116" t="s">
        <v>759</v>
      </c>
    </row>
    <row r="28" spans="5:20" ht="23.25" x14ac:dyDescent="0.25">
      <c r="O28" s="111"/>
      <c r="P28" s="96"/>
      <c r="Q28" s="97" t="s">
        <v>768</v>
      </c>
      <c r="R28" s="96">
        <v>42</v>
      </c>
      <c r="S28" s="98" t="s">
        <v>758</v>
      </c>
      <c r="T28" s="116" t="s">
        <v>759</v>
      </c>
    </row>
    <row r="29" spans="5:20" ht="23.25" x14ac:dyDescent="0.25">
      <c r="O29" s="111"/>
      <c r="P29" s="96"/>
      <c r="Q29" s="97" t="s">
        <v>769</v>
      </c>
      <c r="R29" s="96">
        <v>38.5</v>
      </c>
      <c r="S29" s="98" t="s">
        <v>758</v>
      </c>
      <c r="T29" s="116" t="s">
        <v>759</v>
      </c>
    </row>
    <row r="30" spans="5:20" ht="48.75" x14ac:dyDescent="0.25">
      <c r="O30" s="111"/>
      <c r="P30" s="99" t="s">
        <v>786</v>
      </c>
      <c r="Q30" s="99"/>
      <c r="R30" s="99">
        <f>(66+33+48)/3</f>
        <v>49</v>
      </c>
      <c r="S30" s="99" t="s">
        <v>787</v>
      </c>
      <c r="T30" s="117" t="s">
        <v>788</v>
      </c>
    </row>
    <row r="31" spans="5:20" ht="23.25" x14ac:dyDescent="0.25">
      <c r="O31" s="111"/>
      <c r="P31" s="100" t="s">
        <v>789</v>
      </c>
      <c r="Q31" s="101" t="s">
        <v>765</v>
      </c>
      <c r="R31" s="100">
        <v>33</v>
      </c>
      <c r="S31" s="102" t="s">
        <v>758</v>
      </c>
      <c r="T31" s="118" t="s">
        <v>759</v>
      </c>
    </row>
    <row r="32" spans="5:20" ht="23.25" x14ac:dyDescent="0.25">
      <c r="O32" s="111"/>
      <c r="P32" s="100"/>
      <c r="Q32" s="101" t="s">
        <v>766</v>
      </c>
      <c r="R32" s="100">
        <f>(20+20+19+18)/4</f>
        <v>19.25</v>
      </c>
      <c r="S32" s="102" t="s">
        <v>758</v>
      </c>
      <c r="T32" s="118" t="s">
        <v>759</v>
      </c>
    </row>
    <row r="33" spans="15:20" ht="23.25" x14ac:dyDescent="0.25">
      <c r="O33" s="111"/>
      <c r="P33" s="100"/>
      <c r="Q33" s="101" t="s">
        <v>768</v>
      </c>
      <c r="R33" s="100">
        <f>(18+18+17+17+16)/5</f>
        <v>17.2</v>
      </c>
      <c r="S33" s="102" t="s">
        <v>758</v>
      </c>
      <c r="T33" s="118" t="s">
        <v>759</v>
      </c>
    </row>
    <row r="34" spans="15:20" ht="23.25" x14ac:dyDescent="0.25">
      <c r="O34" s="111"/>
      <c r="P34" s="100"/>
      <c r="Q34" s="101" t="s">
        <v>769</v>
      </c>
      <c r="R34" s="100">
        <v>16</v>
      </c>
      <c r="S34" s="102" t="s">
        <v>758</v>
      </c>
      <c r="T34" s="118" t="s">
        <v>759</v>
      </c>
    </row>
    <row r="35" spans="15:20" ht="30" x14ac:dyDescent="0.25">
      <c r="O35" s="109" t="s">
        <v>790</v>
      </c>
      <c r="R35" s="15">
        <v>112</v>
      </c>
      <c r="S35" s="15" t="s">
        <v>791</v>
      </c>
      <c r="T35" s="108" t="s">
        <v>759</v>
      </c>
    </row>
    <row r="36" spans="15:20" ht="23.25" x14ac:dyDescent="0.25">
      <c r="O36" s="109" t="s">
        <v>792</v>
      </c>
      <c r="R36" s="15">
        <v>68</v>
      </c>
      <c r="S36" s="15" t="s">
        <v>793</v>
      </c>
      <c r="T36" s="108" t="s">
        <v>759</v>
      </c>
    </row>
    <row r="37" spans="15:20" ht="45" x14ac:dyDescent="0.25">
      <c r="O37" s="109" t="s">
        <v>794</v>
      </c>
      <c r="R37" s="15">
        <v>89</v>
      </c>
      <c r="S37" s="15" t="s">
        <v>795</v>
      </c>
      <c r="T37" s="108" t="s">
        <v>759</v>
      </c>
    </row>
    <row r="38" spans="15:20" ht="36.75" x14ac:dyDescent="0.25">
      <c r="O38" s="109" t="s">
        <v>796</v>
      </c>
      <c r="R38" s="15">
        <v>9.1300000000000008</v>
      </c>
      <c r="S38" s="15" t="s">
        <v>797</v>
      </c>
      <c r="T38" s="119" t="s">
        <v>798</v>
      </c>
    </row>
    <row r="39" spans="15:20" ht="45" x14ac:dyDescent="0.25">
      <c r="O39" s="109" t="s">
        <v>799</v>
      </c>
      <c r="R39" s="15">
        <v>53</v>
      </c>
      <c r="S39" s="15" t="s">
        <v>927</v>
      </c>
      <c r="T39" s="108" t="s">
        <v>759</v>
      </c>
    </row>
    <row r="40" spans="15:20" ht="15.75" x14ac:dyDescent="0.25">
      <c r="O40" s="109" t="s">
        <v>800</v>
      </c>
      <c r="R40" s="15">
        <v>0</v>
      </c>
      <c r="T40" s="120"/>
    </row>
    <row r="41" spans="15:20" ht="16.5" thickBot="1" x14ac:dyDescent="0.3">
      <c r="O41" s="121" t="s">
        <v>801</v>
      </c>
      <c r="P41" s="122"/>
      <c r="Q41" s="122"/>
      <c r="R41" s="122">
        <v>0</v>
      </c>
      <c r="S41" s="122"/>
      <c r="T41" s="123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DAA2-9567-4CDF-8704-92E1E9342372}">
  <sheetPr>
    <tabColor theme="9" tint="0.39997558519241921"/>
  </sheetPr>
  <dimension ref="A1:T102"/>
  <sheetViews>
    <sheetView workbookViewId="0">
      <pane ySplit="3" topLeftCell="A61" activePane="bottomLeft" state="frozen"/>
      <selection activeCell="F13" sqref="F13"/>
      <selection pane="bottomLeft" activeCell="F13" sqref="F13"/>
    </sheetView>
  </sheetViews>
  <sheetFormatPr defaultRowHeight="15" x14ac:dyDescent="0.25"/>
  <cols>
    <col min="1" max="1" width="36.140625" customWidth="1"/>
    <col min="2" max="2" width="29.28515625" customWidth="1"/>
    <col min="3" max="6" width="24.85546875" customWidth="1"/>
    <col min="7" max="7" width="19" customWidth="1"/>
    <col min="8" max="8" width="29.140625" customWidth="1"/>
    <col min="9" max="9" width="27.5703125" customWidth="1"/>
    <col min="10" max="10" width="22.42578125" customWidth="1"/>
    <col min="11" max="11" width="19" customWidth="1"/>
    <col min="12" max="12" width="25.42578125" customWidth="1"/>
    <col min="13" max="13" width="25.5703125" customWidth="1"/>
    <col min="14" max="14" width="24.7109375" customWidth="1"/>
    <col min="16" max="20" width="19.140625" customWidth="1"/>
  </cols>
  <sheetData>
    <row r="1" spans="1:20" s="148" customFormat="1" ht="129" customHeight="1" x14ac:dyDescent="0.25"/>
    <row r="2" spans="1:20" s="78" customFormat="1" ht="35.25" customHeight="1" x14ac:dyDescent="0.4">
      <c r="A2" s="78" t="s">
        <v>802</v>
      </c>
      <c r="D2" s="79"/>
      <c r="G2" s="136"/>
      <c r="O2" s="81"/>
      <c r="P2" s="81"/>
      <c r="Q2" s="81"/>
      <c r="R2" s="81"/>
      <c r="S2" s="81"/>
      <c r="T2" s="81"/>
    </row>
    <row r="3" spans="1:20" s="200" customFormat="1" ht="27" customHeight="1" x14ac:dyDescent="0.3">
      <c r="A3" s="200" t="s">
        <v>559</v>
      </c>
      <c r="D3" s="200">
        <f>YHTEENVETO!D3</f>
        <v>2019</v>
      </c>
    </row>
    <row r="5" spans="1:20" x14ac:dyDescent="0.25">
      <c r="A5" s="5" t="s">
        <v>803</v>
      </c>
      <c r="B5" s="5"/>
      <c r="C5" s="5"/>
      <c r="D5" s="5"/>
      <c r="E5" s="5"/>
      <c r="F5" s="5"/>
    </row>
    <row r="6" spans="1:20" x14ac:dyDescent="0.25">
      <c r="A6" s="5" t="s">
        <v>804</v>
      </c>
      <c r="B6" s="5"/>
      <c r="C6" s="5"/>
      <c r="D6" s="5"/>
      <c r="E6" s="5"/>
      <c r="F6" s="5"/>
    </row>
    <row r="10" spans="1:20" ht="15.75" x14ac:dyDescent="0.25">
      <c r="A10" s="238" t="s">
        <v>805</v>
      </c>
      <c r="B10" s="216"/>
      <c r="C10" s="216"/>
      <c r="D10" s="216"/>
      <c r="E10" s="216"/>
    </row>
    <row r="11" spans="1:20" x14ac:dyDescent="0.25">
      <c r="A11" s="251" t="s">
        <v>913</v>
      </c>
      <c r="B11" s="236"/>
    </row>
    <row r="12" spans="1:20" ht="24" x14ac:dyDescent="0.25">
      <c r="A12" s="217" t="s">
        <v>806</v>
      </c>
      <c r="B12" s="217" t="s">
        <v>566</v>
      </c>
      <c r="C12" s="217" t="s">
        <v>807</v>
      </c>
      <c r="D12" s="217" t="s">
        <v>425</v>
      </c>
      <c r="F12" s="217" t="s">
        <v>808</v>
      </c>
      <c r="G12" s="217" t="s">
        <v>809</v>
      </c>
      <c r="H12" s="217" t="s">
        <v>93</v>
      </c>
    </row>
    <row r="13" spans="1:20" x14ac:dyDescent="0.25">
      <c r="A13">
        <f>Henkilöautot!A13</f>
        <v>0</v>
      </c>
      <c r="B13">
        <f>Henkilöautot!B13</f>
        <v>0</v>
      </c>
      <c r="C13">
        <f>Henkilöautot!C13</f>
        <v>0</v>
      </c>
      <c r="D13">
        <f>Henkilöautot!D13</f>
        <v>0</v>
      </c>
      <c r="F13">
        <f>IF(D13=Henkilöautot_fx!$J$16,IF(B13=Henkilöautot_fx!$Q$7,Henkilöautot_fx!$R$7,IF(B13=Henkilöautot_fx!$Q$8,Henkilöautot_fx!$R$8,IF(B13=Henkilöautot_fx!$Q$9,Henkilöautot_fx!$R$9,IF(B13=Henkilöautot_fx!$Q$10,Henkilöautot_fx!$R$10,IF(B13=Henkilöautot_fx!$Q$11,Henkilöautot_fx!$R$11,IF(B13=Henkilöautot_fx!$Q$12,Henkilöautot_fx!$R$12,IF(B13=Henkilöautot_fx!$Q$13,Henkilöautot_fx!$R$13,0))))))),IF(D13=Henkilöautot_fx!$J$17,IF(B13=Henkilöautot_fx!$Q$14,Henkilöautot_fx!$R$14,IF(B13=Henkilöautot_fx!$Q$15,Henkilöautot_fx!$R$15,IF(B13=Henkilöautot_fx!$Q$16,Henkilöautot_fx!$R$16,IF(B13=Henkilöautot_fx!$Q$17,Henkilöautot_fx!$R$17,IF(B13=Henkilöautot_fx!$Q$18,Henkilöautot_fx!$R$18,IF(B13=Henkilöautot_fx!$Q$19,Henkilöautot_fx!$R$19,IF(B13=Henkilöautot_fx!$Q$20,Henkilöautot_fx!$R$20,0))))))),IF(D13=Henkilöautot_fx!$J$18,Henkilöautot_fx!$R$21,IF(D13=Henkilöautot_fx!$J$19,IF(B13=Henkilöautot_fx!$Q$22,Henkilöautot_fx!$R$22,IF(B13=Henkilöautot_fx!$Q$23,Henkilöautot_fx!$R$23,IF(B13=Henkilöautot_fx!$Q$24,Henkilöautot_fx!$R$24,0))),0))))</f>
        <v>0</v>
      </c>
      <c r="G13">
        <f>IF(D13=Henkilöautot_fx!$J$20,IF(B13=Henkilöautot_fx!$Q$25,Henkilöautot_fx!$R$25,IF(B13=Henkilöautot_fx!$Q$26,Henkilöautot_fx!$R$26,IF(B13=Henkilöautot_fx!$Q$27,Henkilöautot_fx!$R$27,IF(B13=Henkilöautot_fx!$Q$28,Henkilöautot_fx!$R$28,IF(B13=Henkilöautot_fx!$Q$29,Henkilöautot_fx!$R$29,0))))),IF(D13=Henkilöautot_fx!$J$21,Henkilöautot_fx!$R$30,IF(D13=Henkilöautot_fx!$J$22,IF(B13=Henkilöautot_fx!$Q$31,Henkilöautot_fx!$R$31,IF(B13=Henkilöautot_fx!$Q$32,Henkilöautot_fx!$R$32,IF(B13=Henkilöautot_fx!$Q$33,Henkilöautot_fx!$R$33,IF(B13=Henkilöautot_fx!$Q$34,Henkilöautot_fx!$R$34,0)))),0)))</f>
        <v>0</v>
      </c>
      <c r="H13">
        <f t="shared" ref="H13:H22" si="0">IF(F13&lt;&gt;0,F13*C13/1000000,G13*C13/1000000)</f>
        <v>0</v>
      </c>
    </row>
    <row r="14" spans="1:20" x14ac:dyDescent="0.25">
      <c r="A14">
        <f>Henkilöautot!A14</f>
        <v>0</v>
      </c>
      <c r="B14">
        <f>Henkilöautot!B14</f>
        <v>0</v>
      </c>
      <c r="C14">
        <f>Henkilöautot!C14</f>
        <v>0</v>
      </c>
      <c r="D14">
        <f>Henkilöautot!D14</f>
        <v>0</v>
      </c>
      <c r="F14">
        <f>IF(D14=Henkilöautot_fx!$J$16,IF(B14=Henkilöautot_fx!$Q$7,Henkilöautot_fx!$R$7,IF(B14=Henkilöautot_fx!$Q$8,Henkilöautot_fx!$R$8,IF(B14=Henkilöautot_fx!$Q$9,Henkilöautot_fx!$R$9,IF(B14=Henkilöautot_fx!$Q$10,Henkilöautot_fx!$R$10,IF(B14=Henkilöautot_fx!$Q$11,Henkilöautot_fx!$R$11,IF(B14=Henkilöautot_fx!$Q$12,Henkilöautot_fx!$R$12,IF(B14=Henkilöautot_fx!$Q$13,Henkilöautot_fx!$R$13,0))))))),IF(D14=Henkilöautot_fx!$J$17,IF(B14=Henkilöautot_fx!$Q$14,Henkilöautot_fx!$R$14,IF(B14=Henkilöautot_fx!$Q$15,Henkilöautot_fx!$R$15,IF(B14=Henkilöautot_fx!$Q$16,Henkilöautot_fx!$R$16,IF(B14=Henkilöautot_fx!$Q$17,Henkilöautot_fx!$R$17,IF(B14=Henkilöautot_fx!$Q$18,Henkilöautot_fx!$R$18,IF(B14=Henkilöautot_fx!$Q$19,Henkilöautot_fx!$R$19,IF(B14=Henkilöautot_fx!$Q$20,Henkilöautot_fx!$R$20,0))))))),IF(D14=Henkilöautot_fx!$J$18,Henkilöautot_fx!$R$21,IF(D14=Henkilöautot_fx!$J$19,IF(B14=Henkilöautot_fx!$Q$22,Henkilöautot_fx!$R$22,IF(B14=Henkilöautot_fx!$Q$23,Henkilöautot_fx!$R$23,IF(B14=Henkilöautot_fx!$Q$24,Henkilöautot_fx!$R$24,0))),0))))</f>
        <v>0</v>
      </c>
      <c r="G14">
        <f>IF(D14=Henkilöautot_fx!$J$20,IF(B14=Henkilöautot_fx!$Q$25,Henkilöautot_fx!$R$25,IF(B14=Henkilöautot_fx!$Q$26,Henkilöautot_fx!$R$26,IF(B14=Henkilöautot_fx!$Q$27,Henkilöautot_fx!$R$27,IF(B14=Henkilöautot_fx!$Q$28,Henkilöautot_fx!$R$28,IF(B14=Henkilöautot_fx!$Q$29,Henkilöautot_fx!$R$29,0))))),IF(D14=Henkilöautot_fx!$J$21,Henkilöautot_fx!$R$30,IF(D14=Henkilöautot_fx!$J$22,IF(B14=Henkilöautot_fx!$Q$31,Henkilöautot_fx!$R$31,IF(B14=Henkilöautot_fx!$Q$32,Henkilöautot_fx!$R$32,IF(B14=Henkilöautot_fx!$Q$33,Henkilöautot_fx!$R$33,IF(B14=Henkilöautot_fx!$Q$34,Henkilöautot_fx!$R$34,0)))),0)))</f>
        <v>0</v>
      </c>
      <c r="H14">
        <f t="shared" si="0"/>
        <v>0</v>
      </c>
    </row>
    <row r="15" spans="1:20" x14ac:dyDescent="0.25">
      <c r="A15">
        <f>Henkilöautot!A15</f>
        <v>0</v>
      </c>
      <c r="B15">
        <f>Henkilöautot!B15</f>
        <v>0</v>
      </c>
      <c r="C15">
        <f>Henkilöautot!C15</f>
        <v>0</v>
      </c>
      <c r="D15">
        <f>Henkilöautot!D15</f>
        <v>0</v>
      </c>
      <c r="F15">
        <f>IF(D15=Henkilöautot_fx!$J$16,IF(B15=Henkilöautot_fx!$Q$7,Henkilöautot_fx!$R$7,IF(B15=Henkilöautot_fx!$Q$8,Henkilöautot_fx!$R$8,IF(B15=Henkilöautot_fx!$Q$9,Henkilöautot_fx!$R$9,IF(B15=Henkilöautot_fx!$Q$10,Henkilöautot_fx!$R$10,IF(B15=Henkilöautot_fx!$Q$11,Henkilöautot_fx!$R$11,IF(B15=Henkilöautot_fx!$Q$12,Henkilöautot_fx!$R$12,IF(B15=Henkilöautot_fx!$Q$13,Henkilöautot_fx!$R$13,0))))))),IF(D15=Henkilöautot_fx!$J$17,IF(B15=Henkilöautot_fx!$Q$14,Henkilöautot_fx!$R$14,IF(B15=Henkilöautot_fx!$Q$15,Henkilöautot_fx!$R$15,IF(B15=Henkilöautot_fx!$Q$16,Henkilöautot_fx!$R$16,IF(B15=Henkilöautot_fx!$Q$17,Henkilöautot_fx!$R$17,IF(B15=Henkilöautot_fx!$Q$18,Henkilöautot_fx!$R$18,IF(B15=Henkilöautot_fx!$Q$19,Henkilöautot_fx!$R$19,IF(B15=Henkilöautot_fx!$Q$20,Henkilöautot_fx!$R$20,0))))))),IF(D15=Henkilöautot_fx!$J$18,Henkilöautot_fx!$R$21,IF(D15=Henkilöautot_fx!$J$19,IF(B15=Henkilöautot_fx!$Q$22,Henkilöautot_fx!$R$22,IF(B15=Henkilöautot_fx!$Q$23,Henkilöautot_fx!$R$23,IF(B15=Henkilöautot_fx!$Q$24,Henkilöautot_fx!$R$24,0))),0))))</f>
        <v>0</v>
      </c>
      <c r="G15">
        <f>IF(D15=Henkilöautot_fx!$J$20,IF(B15=Henkilöautot_fx!$Q$25,Henkilöautot_fx!$R$25,IF(B15=Henkilöautot_fx!$Q$26,Henkilöautot_fx!$R$26,IF(B15=Henkilöautot_fx!$Q$27,Henkilöautot_fx!$R$27,IF(B15=Henkilöautot_fx!$Q$28,Henkilöautot_fx!$R$28,IF(B15=Henkilöautot_fx!$Q$29,Henkilöautot_fx!$R$29,0))))),IF(D15=Henkilöautot_fx!$J$21,Henkilöautot_fx!$R$30,IF(D15=Henkilöautot_fx!$J$22,IF(B15=Henkilöautot_fx!$Q$31,Henkilöautot_fx!$R$31,IF(B15=Henkilöautot_fx!$Q$32,Henkilöautot_fx!$R$32,IF(B15=Henkilöautot_fx!$Q$33,Henkilöautot_fx!$R$33,IF(B15=Henkilöautot_fx!$Q$34,Henkilöautot_fx!$R$34,0)))),0)))</f>
        <v>0</v>
      </c>
      <c r="H15">
        <f t="shared" si="0"/>
        <v>0</v>
      </c>
    </row>
    <row r="16" spans="1:20" x14ac:dyDescent="0.25">
      <c r="A16">
        <f>Henkilöautot!A16</f>
        <v>0</v>
      </c>
      <c r="B16">
        <f>Henkilöautot!B16</f>
        <v>0</v>
      </c>
      <c r="C16">
        <f>Henkilöautot!C16</f>
        <v>0</v>
      </c>
      <c r="D16">
        <f>Henkilöautot!D16</f>
        <v>0</v>
      </c>
      <c r="F16">
        <f>IF(D16=Henkilöautot_fx!$J$16,IF(B16=Henkilöautot_fx!$Q$7,Henkilöautot_fx!$R$7,IF(B16=Henkilöautot_fx!$Q$8,Henkilöautot_fx!$R$8,IF(B16=Henkilöautot_fx!$Q$9,Henkilöautot_fx!$R$9,IF(B16=Henkilöautot_fx!$Q$10,Henkilöautot_fx!$R$10,IF(B16=Henkilöautot_fx!$Q$11,Henkilöautot_fx!$R$11,IF(B16=Henkilöautot_fx!$Q$12,Henkilöautot_fx!$R$12,IF(B16=Henkilöautot_fx!$Q$13,Henkilöautot_fx!$R$13,0))))))),IF(D16=Henkilöautot_fx!$J$17,IF(B16=Henkilöautot_fx!$Q$14,Henkilöautot_fx!$R$14,IF(B16=Henkilöautot_fx!$Q$15,Henkilöautot_fx!$R$15,IF(B16=Henkilöautot_fx!$Q$16,Henkilöautot_fx!$R$16,IF(B16=Henkilöautot_fx!$Q$17,Henkilöautot_fx!$R$17,IF(B16=Henkilöautot_fx!$Q$18,Henkilöautot_fx!$R$18,IF(B16=Henkilöautot_fx!$Q$19,Henkilöautot_fx!$R$19,IF(B16=Henkilöautot_fx!$Q$20,Henkilöautot_fx!$R$20,0))))))),IF(D16=Henkilöautot_fx!$J$18,Henkilöautot_fx!$R$21,IF(D16=Henkilöautot_fx!$J$19,IF(B16=Henkilöautot_fx!$Q$22,Henkilöautot_fx!$R$22,IF(B16=Henkilöautot_fx!$Q$23,Henkilöautot_fx!$R$23,IF(B16=Henkilöautot_fx!$Q$24,Henkilöautot_fx!$R$24,0))),0))))</f>
        <v>0</v>
      </c>
      <c r="G16">
        <f>IF(D16=Henkilöautot_fx!$J$20,IF(B16=Henkilöautot_fx!$Q$25,Henkilöautot_fx!$R$25,IF(B16=Henkilöautot_fx!$Q$26,Henkilöautot_fx!$R$26,IF(B16=Henkilöautot_fx!$Q$27,Henkilöautot_fx!$R$27,IF(B16=Henkilöautot_fx!$Q$28,Henkilöautot_fx!$R$28,IF(B16=Henkilöautot_fx!$Q$29,Henkilöautot_fx!$R$29,0))))),IF(D16=Henkilöautot_fx!$J$21,Henkilöautot_fx!$R$30,IF(D16=Henkilöautot_fx!$J$22,IF(B16=Henkilöautot_fx!$Q$31,Henkilöautot_fx!$R$31,IF(B16=Henkilöautot_fx!$Q$32,Henkilöautot_fx!$R$32,IF(B16=Henkilöautot_fx!$Q$33,Henkilöautot_fx!$R$33,IF(B16=Henkilöautot_fx!$Q$34,Henkilöautot_fx!$R$34,0)))),0)))</f>
        <v>0</v>
      </c>
      <c r="H16">
        <f>IF(F16&lt;&gt;0,F16*C16/1000000,G16*C16/1000000)</f>
        <v>0</v>
      </c>
    </row>
    <row r="17" spans="1:8" x14ac:dyDescent="0.25">
      <c r="A17">
        <f>Henkilöautot!A17</f>
        <v>0</v>
      </c>
      <c r="B17">
        <f>Henkilöautot!B17</f>
        <v>0</v>
      </c>
      <c r="C17">
        <f>Henkilöautot!C17</f>
        <v>0</v>
      </c>
      <c r="D17">
        <f>Henkilöautot!D17</f>
        <v>0</v>
      </c>
      <c r="F17">
        <f>IF(D17=Henkilöautot_fx!$J$16,IF(B17=Henkilöautot_fx!$Q$7,Henkilöautot_fx!$R$7,IF(B17=Henkilöautot_fx!$Q$8,Henkilöautot_fx!$R$8,IF(B17=Henkilöautot_fx!$Q$9,Henkilöautot_fx!$R$9,IF(B17=Henkilöautot_fx!$Q$10,Henkilöautot_fx!$R$10,IF(B17=Henkilöautot_fx!$Q$11,Henkilöautot_fx!$R$11,IF(B17=Henkilöautot_fx!$Q$12,Henkilöautot_fx!$R$12,IF(B17=Henkilöautot_fx!$Q$13,Henkilöautot_fx!$R$13,0))))))),IF(D17=Henkilöautot_fx!$J$17,IF(B17=Henkilöautot_fx!$Q$14,Henkilöautot_fx!$R$14,IF(B17=Henkilöautot_fx!$Q$15,Henkilöautot_fx!$R$15,IF(B17=Henkilöautot_fx!$Q$16,Henkilöautot_fx!$R$16,IF(B17=Henkilöautot_fx!$Q$17,Henkilöautot_fx!$R$17,IF(B17=Henkilöautot_fx!$Q$18,Henkilöautot_fx!$R$18,IF(B17=Henkilöautot_fx!$Q$19,Henkilöautot_fx!$R$19,IF(B17=Henkilöautot_fx!$Q$20,Henkilöautot_fx!$R$20,0))))))),IF(D17=Henkilöautot_fx!$J$18,Henkilöautot_fx!$R$21,IF(D17=Henkilöautot_fx!$J$19,IF(B17=Henkilöautot_fx!$Q$22,Henkilöautot_fx!$R$22,IF(B17=Henkilöautot_fx!$Q$23,Henkilöautot_fx!$R$23,IF(B17=Henkilöautot_fx!$Q$24,Henkilöautot_fx!$R$24,0))),0))))</f>
        <v>0</v>
      </c>
      <c r="G17">
        <f>IF(D17=Henkilöautot_fx!$J$20,IF(B17=Henkilöautot_fx!$Q$25,Henkilöautot_fx!$R$25,IF(B17=Henkilöautot_fx!$Q$26,Henkilöautot_fx!$R$26,IF(B17=Henkilöautot_fx!$Q$27,Henkilöautot_fx!$R$27,IF(B17=Henkilöautot_fx!$Q$28,Henkilöautot_fx!$R$28,IF(B17=Henkilöautot_fx!$Q$29,Henkilöautot_fx!$R$29,0))))),IF(D17=Henkilöautot_fx!$J$21,Henkilöautot_fx!$R$30,IF(D17=Henkilöautot_fx!$J$22,IF(B17=Henkilöautot_fx!$Q$31,Henkilöautot_fx!$R$31,IF(B17=Henkilöautot_fx!$Q$32,Henkilöautot_fx!$R$32,IF(B17=Henkilöautot_fx!$Q$33,Henkilöautot_fx!$R$33,IF(B17=Henkilöautot_fx!$Q$34,Henkilöautot_fx!$R$34,0)))),0)))</f>
        <v>0</v>
      </c>
      <c r="H17">
        <f t="shared" si="0"/>
        <v>0</v>
      </c>
    </row>
    <row r="18" spans="1:8" x14ac:dyDescent="0.25">
      <c r="A18">
        <f>Henkilöautot!A18</f>
        <v>0</v>
      </c>
      <c r="B18">
        <f>Henkilöautot!B18</f>
        <v>0</v>
      </c>
      <c r="C18">
        <f>Henkilöautot!C18</f>
        <v>0</v>
      </c>
      <c r="D18">
        <f>Henkilöautot!D18</f>
        <v>0</v>
      </c>
      <c r="F18">
        <f>IF(D18=Henkilöautot_fx!$J$16,IF(B18=Henkilöautot_fx!$Q$7,Henkilöautot_fx!$R$7,IF(B18=Henkilöautot_fx!$Q$8,Henkilöautot_fx!$R$8,IF(B18=Henkilöautot_fx!$Q$9,Henkilöautot_fx!$R$9,IF(B18=Henkilöautot_fx!$Q$10,Henkilöautot_fx!$R$10,IF(B18=Henkilöautot_fx!$Q$11,Henkilöautot_fx!$R$11,IF(B18=Henkilöautot_fx!$Q$12,Henkilöautot_fx!$R$12,IF(B18=Henkilöautot_fx!$Q$13,Henkilöautot_fx!$R$13,0))))))),IF(D18=Henkilöautot_fx!$J$17,IF(B18=Henkilöautot_fx!$Q$14,Henkilöautot_fx!$R$14,IF(B18=Henkilöautot_fx!$Q$15,Henkilöautot_fx!$R$15,IF(B18=Henkilöautot_fx!$Q$16,Henkilöautot_fx!$R$16,IF(B18=Henkilöautot_fx!$Q$17,Henkilöautot_fx!$R$17,IF(B18=Henkilöautot_fx!$Q$18,Henkilöautot_fx!$R$18,IF(B18=Henkilöautot_fx!$Q$19,Henkilöautot_fx!$R$19,IF(B18=Henkilöautot_fx!$Q$20,Henkilöautot_fx!$R$20,0))))))),IF(D18=Henkilöautot_fx!$J$18,Henkilöautot_fx!$R$21,IF(D18=Henkilöautot_fx!$J$19,IF(B18=Henkilöautot_fx!$Q$22,Henkilöautot_fx!$R$22,IF(B18=Henkilöautot_fx!$Q$23,Henkilöautot_fx!$R$23,IF(B18=Henkilöautot_fx!$Q$24,Henkilöautot_fx!$R$24,0))),0))))</f>
        <v>0</v>
      </c>
      <c r="G18">
        <f>IF(D18=Henkilöautot_fx!$J$20,IF(B18=Henkilöautot_fx!$Q$25,Henkilöautot_fx!$R$25,IF(B18=Henkilöautot_fx!$Q$26,Henkilöautot_fx!$R$26,IF(B18=Henkilöautot_fx!$Q$27,Henkilöautot_fx!$R$27,IF(B18=Henkilöautot_fx!$Q$28,Henkilöautot_fx!$R$28,IF(B18=Henkilöautot_fx!$Q$29,Henkilöautot_fx!$R$29,0))))),IF(D18=Henkilöautot_fx!$J$21,Henkilöautot_fx!$R$30,IF(D18=Henkilöautot_fx!$J$22,IF(B18=Henkilöautot_fx!$Q$31,Henkilöautot_fx!$R$31,IF(B18=Henkilöautot_fx!$Q$32,Henkilöautot_fx!$R$32,IF(B18=Henkilöautot_fx!$Q$33,Henkilöautot_fx!$R$33,IF(B18=Henkilöautot_fx!$Q$34,Henkilöautot_fx!$R$34,0)))),0)))</f>
        <v>0</v>
      </c>
      <c r="H18">
        <f t="shared" si="0"/>
        <v>0</v>
      </c>
    </row>
    <row r="19" spans="1:8" x14ac:dyDescent="0.25">
      <c r="A19">
        <f>Henkilöautot!A19</f>
        <v>0</v>
      </c>
      <c r="B19">
        <f>Henkilöautot!B19</f>
        <v>0</v>
      </c>
      <c r="C19">
        <f>Henkilöautot!C19</f>
        <v>0</v>
      </c>
      <c r="D19">
        <f>Henkilöautot!D19</f>
        <v>0</v>
      </c>
      <c r="F19">
        <f>IF(D19=Henkilöautot_fx!$J$16,IF(B19=Henkilöautot_fx!$Q$7,Henkilöautot_fx!$R$7,IF(B19=Henkilöautot_fx!$Q$8,Henkilöautot_fx!$R$8,IF(B19=Henkilöautot_fx!$Q$9,Henkilöautot_fx!$R$9,IF(B19=Henkilöautot_fx!$Q$10,Henkilöautot_fx!$R$10,IF(B19=Henkilöautot_fx!$Q$11,Henkilöautot_fx!$R$11,IF(B19=Henkilöautot_fx!$Q$12,Henkilöautot_fx!$R$12,IF(B19=Henkilöautot_fx!$Q$13,Henkilöautot_fx!$R$13,0))))))),IF(D19=Henkilöautot_fx!$J$17,IF(B19=Henkilöautot_fx!$Q$14,Henkilöautot_fx!$R$14,IF(B19=Henkilöautot_fx!$Q$15,Henkilöautot_fx!$R$15,IF(B19=Henkilöautot_fx!$Q$16,Henkilöautot_fx!$R$16,IF(B19=Henkilöautot_fx!$Q$17,Henkilöautot_fx!$R$17,IF(B19=Henkilöautot_fx!$Q$18,Henkilöautot_fx!$R$18,IF(B19=Henkilöautot_fx!$Q$19,Henkilöautot_fx!$R$19,IF(B19=Henkilöautot_fx!$Q$20,Henkilöautot_fx!$R$20,0))))))),IF(D19=Henkilöautot_fx!$J$18,Henkilöautot_fx!$R$21,IF(D19=Henkilöautot_fx!$J$19,IF(B19=Henkilöautot_fx!$Q$22,Henkilöautot_fx!$R$22,IF(B19=Henkilöautot_fx!$Q$23,Henkilöautot_fx!$R$23,IF(B19=Henkilöautot_fx!$Q$24,Henkilöautot_fx!$R$24,0))),0))))</f>
        <v>0</v>
      </c>
      <c r="G19">
        <f>IF(D19=Henkilöautot_fx!$J$20,IF(B19=Henkilöautot_fx!$Q$25,Henkilöautot_fx!$R$25,IF(B19=Henkilöautot_fx!$Q$26,Henkilöautot_fx!$R$26,IF(B19=Henkilöautot_fx!$Q$27,Henkilöautot_fx!$R$27,IF(B19=Henkilöautot_fx!$Q$28,Henkilöautot_fx!$R$28,IF(B19=Henkilöautot_fx!$Q$29,Henkilöautot_fx!$R$29,0))))),IF(D19=Henkilöautot_fx!$J$21,Henkilöautot_fx!$R$30,IF(D19=Henkilöautot_fx!$J$22,IF(B19=Henkilöautot_fx!$Q$31,Henkilöautot_fx!$R$31,IF(B19=Henkilöautot_fx!$Q$32,Henkilöautot_fx!$R$32,IF(B19=Henkilöautot_fx!$Q$33,Henkilöautot_fx!$R$33,IF(B19=Henkilöautot_fx!$Q$34,Henkilöautot_fx!$R$34,0)))),0)))</f>
        <v>0</v>
      </c>
      <c r="H19">
        <f t="shared" si="0"/>
        <v>0</v>
      </c>
    </row>
    <row r="20" spans="1:8" x14ac:dyDescent="0.25">
      <c r="A20">
        <f>Henkilöautot!A20</f>
        <v>0</v>
      </c>
      <c r="B20">
        <f>Henkilöautot!B20</f>
        <v>0</v>
      </c>
      <c r="C20">
        <f>Henkilöautot!C20</f>
        <v>0</v>
      </c>
      <c r="D20">
        <f>Henkilöautot!D20</f>
        <v>0</v>
      </c>
      <c r="F20">
        <f>IF(D20=Henkilöautot_fx!$J$16,IF(B20=Henkilöautot_fx!$Q$7,Henkilöautot_fx!$R$7,IF(B20=Henkilöautot_fx!$Q$8,Henkilöautot_fx!$R$8,IF(B20=Henkilöautot_fx!$Q$9,Henkilöautot_fx!$R$9,IF(B20=Henkilöautot_fx!$Q$10,Henkilöautot_fx!$R$10,IF(B20=Henkilöautot_fx!$Q$11,Henkilöautot_fx!$R$11,IF(B20=Henkilöautot_fx!$Q$12,Henkilöautot_fx!$R$12,IF(B20=Henkilöautot_fx!$Q$13,Henkilöautot_fx!$R$13,0))))))),IF(D20=Henkilöautot_fx!$J$17,IF(B20=Henkilöautot_fx!$Q$14,Henkilöautot_fx!$R$14,IF(B20=Henkilöautot_fx!$Q$15,Henkilöautot_fx!$R$15,IF(B20=Henkilöautot_fx!$Q$16,Henkilöautot_fx!$R$16,IF(B20=Henkilöautot_fx!$Q$17,Henkilöautot_fx!$R$17,IF(B20=Henkilöautot_fx!$Q$18,Henkilöautot_fx!$R$18,IF(B20=Henkilöautot_fx!$Q$19,Henkilöautot_fx!$R$19,IF(B20=Henkilöautot_fx!$Q$20,Henkilöautot_fx!$R$20,0))))))),IF(D20=Henkilöautot_fx!$J$18,Henkilöautot_fx!$R$21,IF(D20=Henkilöautot_fx!$J$19,IF(B20=Henkilöautot_fx!$Q$22,Henkilöautot_fx!$R$22,IF(B20=Henkilöautot_fx!$Q$23,Henkilöautot_fx!$R$23,IF(B20=Henkilöautot_fx!$Q$24,Henkilöautot_fx!$R$24,0))),0))))</f>
        <v>0</v>
      </c>
      <c r="G20">
        <f>IF(D20=Henkilöautot_fx!$J$20,IF(B20=Henkilöautot_fx!$Q$25,Henkilöautot_fx!$R$25,IF(B20=Henkilöautot_fx!$Q$26,Henkilöautot_fx!$R$26,IF(B20=Henkilöautot_fx!$Q$27,Henkilöautot_fx!$R$27,IF(B20=Henkilöautot_fx!$Q$28,Henkilöautot_fx!$R$28,IF(B20=Henkilöautot_fx!$Q$29,Henkilöautot_fx!$R$29,0))))),IF(D20=Henkilöautot_fx!$J$21,Henkilöautot_fx!$R$30,IF(D20=Henkilöautot_fx!$J$22,IF(B20=Henkilöautot_fx!$Q$31,Henkilöautot_fx!$R$31,IF(B20=Henkilöautot_fx!$Q$32,Henkilöautot_fx!$R$32,IF(B20=Henkilöautot_fx!$Q$33,Henkilöautot_fx!$R$33,IF(B20=Henkilöautot_fx!$Q$34,Henkilöautot_fx!$R$34,0)))),0)))</f>
        <v>0</v>
      </c>
      <c r="H20">
        <f t="shared" si="0"/>
        <v>0</v>
      </c>
    </row>
    <row r="21" spans="1:8" x14ac:dyDescent="0.25">
      <c r="A21">
        <f>Henkilöautot!A21</f>
        <v>0</v>
      </c>
      <c r="B21">
        <f>Henkilöautot!B21</f>
        <v>0</v>
      </c>
      <c r="C21">
        <f>Henkilöautot!C21</f>
        <v>0</v>
      </c>
      <c r="D21">
        <f>Henkilöautot!D21</f>
        <v>0</v>
      </c>
      <c r="F21">
        <f>IF(D21=Henkilöautot_fx!$J$16,IF(B21=Henkilöautot_fx!$Q$7,Henkilöautot_fx!$R$7,IF(B21=Henkilöautot_fx!$Q$8,Henkilöautot_fx!$R$8,IF(B21=Henkilöautot_fx!$Q$9,Henkilöautot_fx!$R$9,IF(B21=Henkilöautot_fx!$Q$10,Henkilöautot_fx!$R$10,IF(B21=Henkilöautot_fx!$Q$11,Henkilöautot_fx!$R$11,IF(B21=Henkilöautot_fx!$Q$12,Henkilöautot_fx!$R$12,IF(B21=Henkilöautot_fx!$Q$13,Henkilöautot_fx!$R$13,0))))))),IF(D21=Henkilöautot_fx!$J$17,IF(B21=Henkilöautot_fx!$Q$14,Henkilöautot_fx!$R$14,IF(B21=Henkilöautot_fx!$Q$15,Henkilöautot_fx!$R$15,IF(B21=Henkilöautot_fx!$Q$16,Henkilöautot_fx!$R$16,IF(B21=Henkilöautot_fx!$Q$17,Henkilöautot_fx!$R$17,IF(B21=Henkilöautot_fx!$Q$18,Henkilöautot_fx!$R$18,IF(B21=Henkilöautot_fx!$Q$19,Henkilöautot_fx!$R$19,IF(B21=Henkilöautot_fx!$Q$20,Henkilöautot_fx!$R$20,0))))))),IF(D21=Henkilöautot_fx!$J$18,Henkilöautot_fx!$R$21,IF(D21=Henkilöautot_fx!$J$19,IF(B21=Henkilöautot_fx!$Q$22,Henkilöautot_fx!$R$22,IF(B21=Henkilöautot_fx!$Q$23,Henkilöautot_fx!$R$23,IF(B21=Henkilöautot_fx!$Q$24,Henkilöautot_fx!$R$24,0))),0))))</f>
        <v>0</v>
      </c>
      <c r="G21">
        <f>IF(D21=Henkilöautot_fx!$J$20,IF(B21=Henkilöautot_fx!$Q$25,Henkilöautot_fx!$R$25,IF(B21=Henkilöautot_fx!$Q$26,Henkilöautot_fx!$R$26,IF(B21=Henkilöautot_fx!$Q$27,Henkilöautot_fx!$R$27,IF(B21=Henkilöautot_fx!$Q$28,Henkilöautot_fx!$R$28,IF(B21=Henkilöautot_fx!$Q$29,Henkilöautot_fx!$R$29,0))))),IF(D21=Henkilöautot_fx!$J$21,Henkilöautot_fx!$R$30,IF(D21=Henkilöautot_fx!$J$22,IF(B21=Henkilöautot_fx!$Q$31,Henkilöautot_fx!$R$31,IF(B21=Henkilöautot_fx!$Q$32,Henkilöautot_fx!$R$32,IF(B21=Henkilöautot_fx!$Q$33,Henkilöautot_fx!$R$33,IF(B21=Henkilöautot_fx!$Q$34,Henkilöautot_fx!$R$34,0)))),0)))</f>
        <v>0</v>
      </c>
      <c r="H21">
        <f t="shared" si="0"/>
        <v>0</v>
      </c>
    </row>
    <row r="22" spans="1:8" x14ac:dyDescent="0.25">
      <c r="A22">
        <f>Henkilöautot!A22</f>
        <v>0</v>
      </c>
      <c r="B22">
        <f>Henkilöautot!B22</f>
        <v>0</v>
      </c>
      <c r="C22">
        <f>Henkilöautot!C22</f>
        <v>0</v>
      </c>
      <c r="D22">
        <f>Henkilöautot!D22</f>
        <v>0</v>
      </c>
      <c r="F22">
        <f>IF(D22=Henkilöautot_fx!$J$16,IF(B22=Henkilöautot_fx!$Q$7,Henkilöautot_fx!$R$7,IF(B22=Henkilöautot_fx!$Q$8,Henkilöautot_fx!$R$8,IF(B22=Henkilöautot_fx!$Q$9,Henkilöautot_fx!$R$9,IF(B22=Henkilöautot_fx!$Q$10,Henkilöautot_fx!$R$10,IF(B22=Henkilöautot_fx!$Q$11,Henkilöautot_fx!$R$11,IF(B22=Henkilöautot_fx!$Q$12,Henkilöautot_fx!$R$12,IF(B22=Henkilöautot_fx!$Q$13,Henkilöautot_fx!$R$13,0))))))),IF(D22=Henkilöautot_fx!$J$17,IF(B22=Henkilöautot_fx!$Q$14,Henkilöautot_fx!$R$14,IF(B22=Henkilöautot_fx!$Q$15,Henkilöautot_fx!$R$15,IF(B22=Henkilöautot_fx!$Q$16,Henkilöautot_fx!$R$16,IF(B22=Henkilöautot_fx!$Q$17,Henkilöautot_fx!$R$17,IF(B22=Henkilöautot_fx!$Q$18,Henkilöautot_fx!$R$18,IF(B22=Henkilöautot_fx!$Q$19,Henkilöautot_fx!$R$19,IF(B22=Henkilöautot_fx!$Q$20,Henkilöautot_fx!$R$20,0))))))),IF(D22=Henkilöautot_fx!$J$18,Henkilöautot_fx!$R$21,IF(D22=Henkilöautot_fx!$J$19,IF(B22=Henkilöautot_fx!$Q$22,Henkilöautot_fx!$R$22,IF(B22=Henkilöautot_fx!$Q$23,Henkilöautot_fx!$R$23,IF(B22=Henkilöautot_fx!$Q$24,Henkilöautot_fx!$R$24,0))),0))))</f>
        <v>0</v>
      </c>
      <c r="G22">
        <f>IF(D22=Henkilöautot_fx!$J$20,IF(B22=Henkilöautot_fx!$Q$25,Henkilöautot_fx!$R$25,IF(B22=Henkilöautot_fx!$Q$26,Henkilöautot_fx!$R$26,IF(B22=Henkilöautot_fx!$Q$27,Henkilöautot_fx!$R$27,IF(B22=Henkilöautot_fx!$Q$28,Henkilöautot_fx!$R$28,IF(B22=Henkilöautot_fx!$Q$29,Henkilöautot_fx!$R$29,0))))),IF(D22=Henkilöautot_fx!$J$21,Henkilöautot_fx!$R$30,IF(D22=Henkilöautot_fx!$J$22,IF(B22=Henkilöautot_fx!$Q$31,Henkilöautot_fx!$R$31,IF(B22=Henkilöautot_fx!$Q$32,Henkilöautot_fx!$R$32,IF(B22=Henkilöautot_fx!$Q$33,Henkilöautot_fx!$R$33,IF(B22=Henkilöautot_fx!$Q$34,Henkilöautot_fx!$R$34,0)))),0)))</f>
        <v>0</v>
      </c>
      <c r="H22">
        <f t="shared" si="0"/>
        <v>0</v>
      </c>
    </row>
    <row r="24" spans="1:8" x14ac:dyDescent="0.25">
      <c r="A24" s="251" t="s">
        <v>603</v>
      </c>
      <c r="B24" s="236"/>
    </row>
    <row r="25" spans="1:8" ht="24" x14ac:dyDescent="0.25">
      <c r="A25" s="217" t="s">
        <v>806</v>
      </c>
      <c r="B25" s="217" t="s">
        <v>425</v>
      </c>
      <c r="C25" s="217" t="s">
        <v>810</v>
      </c>
      <c r="D25" s="217" t="s">
        <v>811</v>
      </c>
      <c r="F25" s="217" t="s">
        <v>812</v>
      </c>
      <c r="G25" s="217" t="s">
        <v>423</v>
      </c>
      <c r="H25" s="217" t="s">
        <v>93</v>
      </c>
    </row>
    <row r="26" spans="1:8" x14ac:dyDescent="0.25">
      <c r="A26">
        <f>Henkilöautot!A26</f>
        <v>0</v>
      </c>
      <c r="B26">
        <f>Henkilöautot!B26</f>
        <v>0</v>
      </c>
      <c r="C26">
        <f>Henkilöautot!C26</f>
        <v>0</v>
      </c>
      <c r="D26">
        <f>Henkilöautot!D26</f>
        <v>0</v>
      </c>
      <c r="F26">
        <f>IF(B26=Henkilöautot_fx!$E$18,Henkilöautot_fx!$F$18,IF(B26=Henkilöautot_fx!$E$19,Henkilöautot_fx!$F$19,IF(B26=Henkilöautot_fx!$E$20,Henkilöautot_fx!$F$20,IF(B26=Henkilöautot_fx!$E$21,Henkilöautot_fx!$F$21,IF(B26=Henkilöautot_fx!$J$19,Henkilöautot_fx!$F$18,0)))))</f>
        <v>0</v>
      </c>
      <c r="G26">
        <f>IF($D$3=2018,Energia_fx!$C$12,IF($D$3=2019,Energia_fx!$C$13,IF($D$3=2020,Energia_fx!$C$14,IF($D$3=2021,Energia_fx!$C$15,Energia_fx!$C$16))))</f>
        <v>101</v>
      </c>
      <c r="H26">
        <f>IF(B26=Henkilöautot_fx!$J$18,Henkilöautot_Lask!G26/1000000*Henkilöautot_Lask!D26,IF(B26=Henkilöautot_fx!$J$19,0.48*Henkilöautot_Lask!G26/1000000*Henkilöautot_Lask!D26+0.52*Henkilöautot_Lask!F26*Henkilöautot_Lask!C26,Henkilöautot_Lask!F26*Henkilöautot_Lask!C26))</f>
        <v>0</v>
      </c>
    </row>
    <row r="27" spans="1:8" x14ac:dyDescent="0.25">
      <c r="A27">
        <f>Henkilöautot!A27</f>
        <v>0</v>
      </c>
      <c r="B27">
        <f>Henkilöautot!B27</f>
        <v>0</v>
      </c>
      <c r="C27">
        <f>Henkilöautot!C27</f>
        <v>0</v>
      </c>
      <c r="D27">
        <f>Henkilöautot!D27</f>
        <v>0</v>
      </c>
      <c r="F27">
        <f>IF(B27=Henkilöautot_fx!$E$18,Henkilöautot_fx!$F$18,IF(B27=Henkilöautot_fx!$E$19,Henkilöautot_fx!$F$19,IF(B27=Henkilöautot_fx!$E$20,Henkilöautot_fx!$F$20,IF(B27=Henkilöautot_fx!$E$21,Henkilöautot_fx!$F$21,IF(B27=Henkilöautot_fx!$J$19,Henkilöautot_fx!$F$18,0)))))</f>
        <v>0</v>
      </c>
      <c r="G27">
        <f>IF($D$3=2018,Energia_fx!$C$12,IF($D$3=2019,Energia_fx!$C$13,IF($D$3=2020,Energia_fx!$C$14,IF($D$3=2021,Energia_fx!$C$15,Energia_fx!$C$16))))</f>
        <v>101</v>
      </c>
      <c r="H27">
        <f>IF(B27=Henkilöautot_fx!$J$18,Henkilöautot_Lask!G27/1000000*Henkilöautot_Lask!D27,IF(B27=Henkilöautot_fx!$J$19,0.48*Henkilöautot_Lask!G27/1000000*Henkilöautot_Lask!D27+0.52*Henkilöautot_Lask!F27*Henkilöautot_Lask!C27,Henkilöautot_Lask!F27*Henkilöautot_Lask!C27))</f>
        <v>0</v>
      </c>
    </row>
    <row r="28" spans="1:8" x14ac:dyDescent="0.25">
      <c r="A28">
        <f>Henkilöautot!A28</f>
        <v>0</v>
      </c>
      <c r="B28">
        <f>Henkilöautot!B28</f>
        <v>0</v>
      </c>
      <c r="C28">
        <f>Henkilöautot!C28</f>
        <v>0</v>
      </c>
      <c r="D28">
        <f>Henkilöautot!D28</f>
        <v>0</v>
      </c>
      <c r="F28">
        <f>IF(B28=Henkilöautot_fx!$E$18,Henkilöautot_fx!$F$18,IF(B28=Henkilöautot_fx!$E$19,Henkilöautot_fx!$F$19,IF(B28=Henkilöautot_fx!$E$20,Henkilöautot_fx!$F$20,IF(B28=Henkilöautot_fx!$E$21,Henkilöautot_fx!$F$21,IF(B28=Henkilöautot_fx!$J$19,Henkilöautot_fx!$F$18,0)))))</f>
        <v>0</v>
      </c>
      <c r="G28">
        <f>IF($D$3=2018,Energia_fx!$C$12,IF($D$3=2019,Energia_fx!$C$13,IF($D$3=2020,Energia_fx!$C$14,IF($D$3=2021,Energia_fx!$C$15,Energia_fx!$C$16))))</f>
        <v>101</v>
      </c>
      <c r="H28">
        <f>IF(B28=Henkilöautot_fx!$J$18,Henkilöautot_Lask!G28/1000000*Henkilöautot_Lask!D28,IF(B28=Henkilöautot_fx!$J$19,0.48*Henkilöautot_Lask!G28/1000000*Henkilöautot_Lask!D28+0.52*Henkilöautot_Lask!F28*Henkilöautot_Lask!C28,Henkilöautot_Lask!F28*Henkilöautot_Lask!C28))</f>
        <v>0</v>
      </c>
    </row>
    <row r="29" spans="1:8" x14ac:dyDescent="0.25">
      <c r="A29">
        <f>Henkilöautot!A29</f>
        <v>0</v>
      </c>
      <c r="B29">
        <f>Henkilöautot!B29</f>
        <v>0</v>
      </c>
      <c r="C29">
        <f>Henkilöautot!C29</f>
        <v>0</v>
      </c>
      <c r="D29">
        <f>Henkilöautot!D29</f>
        <v>0</v>
      </c>
      <c r="F29">
        <f>IF(B29=Henkilöautot_fx!$E$18,Henkilöautot_fx!$F$18,IF(B29=Henkilöautot_fx!$E$19,Henkilöautot_fx!$F$19,IF(B29=Henkilöautot_fx!$E$20,Henkilöautot_fx!$F$20,IF(B29=Henkilöautot_fx!$E$21,Henkilöautot_fx!$F$21,IF(B29=Henkilöautot_fx!$J$19,Henkilöautot_fx!$F$18,0)))))</f>
        <v>0</v>
      </c>
      <c r="G29">
        <f>IF($D$3=2018,Energia_fx!$C$12,IF($D$3=2019,Energia_fx!$C$13,IF($D$3=2020,Energia_fx!$C$14,IF($D$3=2021,Energia_fx!$C$15,Energia_fx!$C$16))))</f>
        <v>101</v>
      </c>
      <c r="H29">
        <f>IF(B29=Henkilöautot_fx!$J$18,Henkilöautot_Lask!G29/1000000*Henkilöautot_Lask!D29,IF(B29=Henkilöautot_fx!$J$19,0.48*Henkilöautot_Lask!G29/1000000*Henkilöautot_Lask!D29+0.52*Henkilöautot_Lask!F29*Henkilöautot_Lask!C29,Henkilöautot_Lask!F29*Henkilöautot_Lask!C29))</f>
        <v>0</v>
      </c>
    </row>
    <row r="30" spans="1:8" x14ac:dyDescent="0.25">
      <c r="A30">
        <f>Henkilöautot!A30</f>
        <v>0</v>
      </c>
      <c r="B30">
        <f>Henkilöautot!B30</f>
        <v>0</v>
      </c>
      <c r="C30">
        <f>Henkilöautot!C30</f>
        <v>0</v>
      </c>
      <c r="D30">
        <f>Henkilöautot!D30</f>
        <v>0</v>
      </c>
      <c r="F30">
        <f>IF(B30=Henkilöautot_fx!$E$18,Henkilöautot_fx!$F$18,IF(B30=Henkilöautot_fx!$E$19,Henkilöautot_fx!$F$19,IF(B30=Henkilöautot_fx!$E$20,Henkilöautot_fx!$F$20,IF(B30=Henkilöautot_fx!$E$21,Henkilöautot_fx!$F$21,IF(B30=Henkilöautot_fx!$J$19,Henkilöautot_fx!$F$18,0)))))</f>
        <v>0</v>
      </c>
      <c r="G30">
        <f>IF($D$3=2018,Energia_fx!$C$12,IF($D$3=2019,Energia_fx!$C$13,IF($D$3=2020,Energia_fx!$C$14,IF($D$3=2021,Energia_fx!$C$15,Energia_fx!$C$16))))</f>
        <v>101</v>
      </c>
      <c r="H30">
        <f>IF(B30=Henkilöautot_fx!$J$18,Henkilöautot_Lask!G30/1000000*Henkilöautot_Lask!D30,IF(B30=Henkilöautot_fx!$J$19,0.48*Henkilöautot_Lask!G30/1000000*Henkilöautot_Lask!D30+0.52*Henkilöautot_Lask!F30*Henkilöautot_Lask!C30,Henkilöautot_Lask!F30*Henkilöautot_Lask!C30))</f>
        <v>0</v>
      </c>
    </row>
    <row r="31" spans="1:8" x14ac:dyDescent="0.25">
      <c r="A31">
        <f>Henkilöautot!A31</f>
        <v>0</v>
      </c>
      <c r="B31">
        <f>Henkilöautot!B31</f>
        <v>0</v>
      </c>
      <c r="C31">
        <f>Henkilöautot!C31</f>
        <v>0</v>
      </c>
      <c r="D31">
        <f>Henkilöautot!D31</f>
        <v>0</v>
      </c>
      <c r="F31">
        <f>IF(B31=Henkilöautot_fx!$E$18,Henkilöautot_fx!$F$18,IF(B31=Henkilöautot_fx!$E$19,Henkilöautot_fx!$F$19,IF(B31=Henkilöautot_fx!$E$20,Henkilöautot_fx!$F$20,IF(B31=Henkilöautot_fx!$E$21,Henkilöautot_fx!$F$21,IF(B31=Henkilöautot_fx!$J$19,Henkilöautot_fx!$F$18,0)))))</f>
        <v>0</v>
      </c>
      <c r="G31">
        <f>IF($D$3=2018,Energia_fx!$C$12,IF($D$3=2019,Energia_fx!$C$13,IF($D$3=2020,Energia_fx!$C$14,IF($D$3=2021,Energia_fx!$C$15,Energia_fx!$C$16))))</f>
        <v>101</v>
      </c>
      <c r="H31">
        <f>IF(B31=Henkilöautot_fx!$J$18,Henkilöautot_Lask!G31/1000000*Henkilöautot_Lask!D31,IF(B31=Henkilöautot_fx!$J$19,0.48*Henkilöautot_Lask!G31/1000000*Henkilöautot_Lask!D31+0.52*Henkilöautot_Lask!F31*Henkilöautot_Lask!C31,Henkilöautot_Lask!F31*Henkilöautot_Lask!C31))</f>
        <v>0</v>
      </c>
    </row>
    <row r="32" spans="1:8" x14ac:dyDescent="0.25">
      <c r="A32">
        <f>Henkilöautot!A32</f>
        <v>0</v>
      </c>
      <c r="B32">
        <f>Henkilöautot!B32</f>
        <v>0</v>
      </c>
      <c r="C32">
        <f>Henkilöautot!C32</f>
        <v>0</v>
      </c>
      <c r="D32">
        <f>Henkilöautot!D32</f>
        <v>0</v>
      </c>
      <c r="F32">
        <f>IF(B32=Henkilöautot_fx!$E$18,Henkilöautot_fx!$F$18,IF(B32=Henkilöautot_fx!$E$19,Henkilöautot_fx!$F$19,IF(B32=Henkilöautot_fx!$E$20,Henkilöautot_fx!$F$20,IF(B32=Henkilöautot_fx!$E$21,Henkilöautot_fx!$F$21,IF(B32=Henkilöautot_fx!$J$19,Henkilöautot_fx!$F$18,0)))))</f>
        <v>0</v>
      </c>
      <c r="G32">
        <f>IF($D$3=2018,Energia_fx!$C$12,IF($D$3=2019,Energia_fx!$C$13,IF($D$3=2020,Energia_fx!$C$14,IF($D$3=2021,Energia_fx!$C$15,Energia_fx!$C$16))))</f>
        <v>101</v>
      </c>
      <c r="H32">
        <f>IF(B32=Henkilöautot_fx!$J$18,Henkilöautot_Lask!G32/1000000*Henkilöautot_Lask!D32,IF(B32=Henkilöautot_fx!$J$19,0.48*Henkilöautot_Lask!G32/1000000*Henkilöautot_Lask!D32+0.52*Henkilöautot_Lask!F32*Henkilöautot_Lask!C32,Henkilöautot_Lask!F32*Henkilöautot_Lask!C32))</f>
        <v>0</v>
      </c>
    </row>
    <row r="33" spans="1:17" x14ac:dyDescent="0.25">
      <c r="A33">
        <f>Henkilöautot!A33</f>
        <v>0</v>
      </c>
      <c r="B33">
        <f>Henkilöautot!B33</f>
        <v>0</v>
      </c>
      <c r="C33">
        <f>Henkilöautot!C33</f>
        <v>0</v>
      </c>
      <c r="D33">
        <f>Henkilöautot!D33</f>
        <v>0</v>
      </c>
      <c r="F33">
        <f>IF(B33=Henkilöautot_fx!$E$18,Henkilöautot_fx!$F$18,IF(B33=Henkilöautot_fx!$E$19,Henkilöautot_fx!$F$19,IF(B33=Henkilöautot_fx!$E$20,Henkilöautot_fx!$F$20,IF(B33=Henkilöautot_fx!$E$21,Henkilöautot_fx!$F$21,IF(B33=Henkilöautot_fx!$J$19,Henkilöautot_fx!$F$18,0)))))</f>
        <v>0</v>
      </c>
      <c r="G33">
        <f>IF($D$3=2018,Energia_fx!$C$12,IF($D$3=2019,Energia_fx!$C$13,IF($D$3=2020,Energia_fx!$C$14,IF($D$3=2021,Energia_fx!$C$15,Energia_fx!$C$16))))</f>
        <v>101</v>
      </c>
      <c r="H33">
        <f>IF(B33=Henkilöautot_fx!$J$18,Henkilöautot_Lask!G33/1000000*Henkilöautot_Lask!D33,IF(B33=Henkilöautot_fx!$J$19,0.48*Henkilöautot_Lask!G33/1000000*Henkilöautot_Lask!D33+0.52*Henkilöautot_Lask!F33*Henkilöautot_Lask!C33,Henkilöautot_Lask!F33*Henkilöautot_Lask!C33))</f>
        <v>0</v>
      </c>
    </row>
    <row r="34" spans="1:17" ht="15.75" x14ac:dyDescent="0.25">
      <c r="A34">
        <f>Henkilöautot!A34</f>
        <v>0</v>
      </c>
      <c r="B34">
        <f>Henkilöautot!B34</f>
        <v>0</v>
      </c>
      <c r="C34">
        <f>Henkilöautot!C34</f>
        <v>0</v>
      </c>
      <c r="D34">
        <f>Henkilöautot!D34</f>
        <v>0</v>
      </c>
      <c r="F34">
        <f>IF(B34=Henkilöautot_fx!$E$18,Henkilöautot_fx!$F$18,IF(B34=Henkilöautot_fx!$E$19,Henkilöautot_fx!$F$19,IF(B34=Henkilöautot_fx!$E$20,Henkilöautot_fx!$F$20,IF(B34=Henkilöautot_fx!$E$21,Henkilöautot_fx!$F$21,IF(B34=Henkilöautot_fx!$J$19,Henkilöautot_fx!$F$18,0)))))</f>
        <v>0</v>
      </c>
      <c r="G34">
        <f>IF($D$3=2018,Energia_fx!$C$12,IF($D$3=2019,Energia_fx!$C$13,IF($D$3=2020,Energia_fx!$C$14,IF($D$3=2021,Energia_fx!$C$15,Energia_fx!$C$16))))</f>
        <v>101</v>
      </c>
      <c r="H34">
        <f>IF(B34=Henkilöautot_fx!$J$18,Henkilöautot_Lask!G34/1000000*Henkilöautot_Lask!D34,IF(B34=Henkilöautot_fx!$J$19,0.48*Henkilöautot_Lask!G34/1000000*Henkilöautot_Lask!D34+0.52*Henkilöautot_Lask!F34*Henkilöautot_Lask!C34,Henkilöautot_Lask!F34*Henkilöautot_Lask!C34))</f>
        <v>0</v>
      </c>
      <c r="J34" s="253" t="s">
        <v>813</v>
      </c>
      <c r="M34" s="253" t="s">
        <v>814</v>
      </c>
    </row>
    <row r="35" spans="1:17" ht="19.5" thickBot="1" x14ac:dyDescent="0.35">
      <c r="A35">
        <f>Henkilöautot!A35</f>
        <v>0</v>
      </c>
      <c r="B35">
        <f>Henkilöautot!B35</f>
        <v>0</v>
      </c>
      <c r="C35">
        <f>Henkilöautot!C35</f>
        <v>0</v>
      </c>
      <c r="D35">
        <f>Henkilöautot!D35</f>
        <v>0</v>
      </c>
      <c r="F35">
        <f>IF(B35=Henkilöautot_fx!$E$18,Henkilöautot_fx!$F$18,IF(B35=Henkilöautot_fx!$E$19,Henkilöautot_fx!$F$19,IF(B35=Henkilöautot_fx!$E$20,Henkilöautot_fx!$F$20,IF(B35=Henkilöautot_fx!$E$21,Henkilöautot_fx!$F$21,IF(B35=Henkilöautot_fx!$J$19,Henkilöautot_fx!$F$18,0)))))</f>
        <v>0</v>
      </c>
      <c r="G35">
        <f>IF($D$3=2018,Energia_fx!$C$12,IF($D$3=2019,Energia_fx!$C$13,IF($D$3=2020,Energia_fx!$C$14,IF($D$3=2021,Energia_fx!$C$15,Energia_fx!$C$16))))</f>
        <v>101</v>
      </c>
      <c r="H35">
        <f>IF(B35=Henkilöautot_fx!$J$18,Henkilöautot_Lask!G35/1000000*Henkilöautot_Lask!D35,IF(B35=Henkilöautot_fx!$J$19,0.48*Henkilöautot_Lask!G35/1000000*Henkilöautot_Lask!D35+0.52*Henkilöautot_Lask!F35*Henkilöautot_Lask!C35,Henkilöautot_Lask!F35*Henkilöautot_Lask!C35))</f>
        <v>0</v>
      </c>
      <c r="J35" s="259">
        <f>SUM(H13:H22,H26:H35)</f>
        <v>0</v>
      </c>
      <c r="M35" s="259">
        <f>SUM(I43:I102,Q43:Q102)</f>
        <v>0</v>
      </c>
    </row>
    <row r="36" spans="1:17" ht="15.75" thickTop="1" x14ac:dyDescent="0.25"/>
    <row r="40" spans="1:17" ht="15.75" x14ac:dyDescent="0.25">
      <c r="A40" s="238" t="s">
        <v>815</v>
      </c>
      <c r="B40" s="216"/>
      <c r="C40" s="216"/>
      <c r="D40" s="216"/>
      <c r="E40" s="216"/>
    </row>
    <row r="41" spans="1:17" x14ac:dyDescent="0.25">
      <c r="A41" s="251" t="s">
        <v>915</v>
      </c>
      <c r="B41" s="236"/>
      <c r="L41" s="251" t="s">
        <v>916</v>
      </c>
      <c r="M41" s="236"/>
      <c r="N41" s="229"/>
    </row>
    <row r="42" spans="1:17" ht="36" x14ac:dyDescent="0.25">
      <c r="A42" s="217" t="s">
        <v>816</v>
      </c>
      <c r="B42" s="217" t="s">
        <v>566</v>
      </c>
      <c r="C42" s="217" t="s">
        <v>817</v>
      </c>
      <c r="D42" s="217" t="s">
        <v>818</v>
      </c>
      <c r="E42" s="217" t="s">
        <v>425</v>
      </c>
      <c r="G42" s="217" t="s">
        <v>819</v>
      </c>
      <c r="H42" s="217" t="s">
        <v>820</v>
      </c>
      <c r="I42" s="217" t="s">
        <v>93</v>
      </c>
      <c r="L42" s="217" t="s">
        <v>821</v>
      </c>
      <c r="M42" s="217" t="s">
        <v>817</v>
      </c>
      <c r="N42" s="217" t="s">
        <v>818</v>
      </c>
      <c r="P42" s="217" t="s">
        <v>822</v>
      </c>
      <c r="Q42" s="217" t="s">
        <v>93</v>
      </c>
    </row>
    <row r="43" spans="1:17" x14ac:dyDescent="0.25">
      <c r="A43">
        <f>Henkilöautot!A45</f>
        <v>0</v>
      </c>
      <c r="B43">
        <f>Henkilöautot!B45</f>
        <v>0</v>
      </c>
      <c r="C43">
        <f>Henkilöautot!C45</f>
        <v>0</v>
      </c>
      <c r="D43">
        <f>Henkilöautot!D45</f>
        <v>0</v>
      </c>
      <c r="E43">
        <f>Henkilöautot!E45</f>
        <v>0</v>
      </c>
      <c r="G43">
        <f>IF(E43=Henkilöautot_fx!$J$16,IF(B43=Henkilöautot_fx!$Q$7,Henkilöautot_fx!$R$7,IF(B43=Henkilöautot_fx!$Q$8,Henkilöautot_fx!$R$8,IF(B43=Henkilöautot_fx!$Q$9,Henkilöautot_fx!$R$9,IF(B43=Henkilöautot_fx!$Q$10,Henkilöautot_fx!$R$10,IF(B43=Henkilöautot_fx!$Q$11,Henkilöautot_fx!$R$11,IF(B43=Henkilöautot_fx!$Q$12,Henkilöautot_fx!$R$12,IF(B43=Henkilöautot_fx!$Q$13,Henkilöautot_fx!$R$13,0))))))),IF(E43=Henkilöautot_fx!$J$17,IF(B43=Henkilöautot_fx!$Q$14,Henkilöautot_fx!$R$14,IF(B43=Henkilöautot_fx!$Q$15,Henkilöautot_fx!$R$15,IF(B43=Henkilöautot_fx!$Q$16,Henkilöautot_fx!$R$16,IF(B43=Henkilöautot_fx!$Q$17,Henkilöautot_fx!$R$17,IF(B43=Henkilöautot_fx!$Q$18,Henkilöautot_fx!$R$18,IF(B43=Henkilöautot_fx!$Q$19,Henkilöautot_fx!$R$19,IF(B43=Henkilöautot_fx!$Q$20,Henkilöautot_fx!$R$20,0))))))),IF(E43=Henkilöautot_fx!$J$18,Henkilöautot_fx!$R$21,IF(E43=Henkilöautot_fx!$J$19,IF(B43=Henkilöautot_fx!$Q$22,Henkilöautot_fx!$R$22,IF(B43=Henkilöautot_fx!$Q$23,Henkilöautot_fx!$R$23,IF(B43=Henkilöautot_fx!$Q$24,Henkilöautot_fx!$R$24,0))),0))))</f>
        <v>0</v>
      </c>
      <c r="H43">
        <f>IF(E43=Henkilöautot_fx!$J$20,IF(B43=Henkilöautot_fx!$Q$25,Henkilöautot_fx!$R$25,IF(B43=Henkilöautot_fx!$Q$26,Henkilöautot_fx!$R$26,IF(B43=Henkilöautot_fx!$Q$27,Henkilöautot_fx!$R$27,IF(B43=Henkilöautot_fx!$Q$28,Henkilöautot_fx!$R$28,IF(B43=Henkilöautot_fx!$Q$29,Henkilöautot_fx!$R$29,0))))),IF(E43=Henkilöautot_fx!$J$21,Henkilöautot_fx!$R$30,IF(E43=Henkilöautot_fx!$J$22,IF(B43=Henkilöautot_fx!$Q$31,Henkilöautot_fx!$R$31,IF(B43=Henkilöautot_fx!$Q$32,Henkilöautot_fx!$R$32,IF(B43=Henkilöautot_fx!$Q$33,Henkilöautot_fx!$R$33,IF(B43=Henkilöautot_fx!$Q$34,Henkilöautot_fx!$R$34,0)))),0)))</f>
        <v>0</v>
      </c>
      <c r="I43">
        <f>IF(G43&lt;&gt;0,G43*D43*C43*2/1000000,H43*D43*C43*2/1000000)</f>
        <v>0</v>
      </c>
      <c r="L43">
        <f>Henkilöautot!H45</f>
        <v>0</v>
      </c>
      <c r="M43">
        <f>Henkilöautot!I45</f>
        <v>0</v>
      </c>
      <c r="N43">
        <f>Henkilöautot!J45</f>
        <v>0</v>
      </c>
      <c r="P43">
        <f>IF(L43=Henkilöautot_fx!$O$35,Henkilöautot_fx!$R$35,IF(L43=Henkilöautot_fx!$O$36,Henkilöautot_fx!$R$36,IF(L43=Henkilöautot_fx!$O$37,Henkilöautot_fx!$R$37,IF(L43=Henkilöautot_fx!$O$38,Henkilöautot_fx!$R$38,IF(L43=Henkilöautot_fx!$O$39,Henkilöautot_fx!$R$39,IF(L43=Henkilöautot_fx!$O$40,Henkilöautot_fx!$R$40,IF(L43=Henkilöautot_fx!$N$41,Henkilöautot_fx!$R$41,0)))))))</f>
        <v>0</v>
      </c>
      <c r="Q43">
        <f>M43*2*N43*P43/1000000</f>
        <v>0</v>
      </c>
    </row>
    <row r="44" spans="1:17" x14ac:dyDescent="0.25">
      <c r="A44">
        <f>Henkilöautot!A46</f>
        <v>0</v>
      </c>
      <c r="B44">
        <f>Henkilöautot!B46</f>
        <v>0</v>
      </c>
      <c r="C44">
        <f>Henkilöautot!C46</f>
        <v>0</v>
      </c>
      <c r="D44">
        <f>Henkilöautot!D46</f>
        <v>0</v>
      </c>
      <c r="E44">
        <f>Henkilöautot!E46</f>
        <v>0</v>
      </c>
      <c r="G44">
        <f>IF(E44=Henkilöautot_fx!$J$16,IF(B44=Henkilöautot_fx!$Q$7,Henkilöautot_fx!$R$7,IF(B44=Henkilöautot_fx!$Q$8,Henkilöautot_fx!$R$8,IF(B44=Henkilöautot_fx!$Q$9,Henkilöautot_fx!$R$9,IF(B44=Henkilöautot_fx!$Q$10,Henkilöautot_fx!$R$10,IF(B44=Henkilöautot_fx!$Q$11,Henkilöautot_fx!$R$11,IF(B44=Henkilöautot_fx!$Q$12,Henkilöautot_fx!$R$12,IF(B44=Henkilöautot_fx!$Q$13,Henkilöautot_fx!$R$13,0))))))),IF(E44=Henkilöautot_fx!$J$17,IF(B44=Henkilöautot_fx!$Q$14,Henkilöautot_fx!$R$14,IF(B44=Henkilöautot_fx!$Q$15,Henkilöautot_fx!$R$15,IF(B44=Henkilöautot_fx!$Q$16,Henkilöautot_fx!$R$16,IF(B44=Henkilöautot_fx!$Q$17,Henkilöautot_fx!$R$17,IF(B44=Henkilöautot_fx!$Q$18,Henkilöautot_fx!$R$18,IF(B44=Henkilöautot_fx!$Q$19,Henkilöautot_fx!$R$19,IF(B44=Henkilöautot_fx!$Q$20,Henkilöautot_fx!$R$20,0))))))),IF(E44=Henkilöautot_fx!$J$18,Henkilöautot_fx!$R$21,IF(E44=Henkilöautot_fx!$J$19,IF(B44=Henkilöautot_fx!$Q$22,Henkilöautot_fx!$R$22,IF(B44=Henkilöautot_fx!$Q$23,Henkilöautot_fx!$R$23,IF(B44=Henkilöautot_fx!$Q$24,Henkilöautot_fx!$R$24,0))),0))))</f>
        <v>0</v>
      </c>
      <c r="H44">
        <f>IF(E44=Henkilöautot_fx!$J$20,IF(B44=Henkilöautot_fx!$Q$25,Henkilöautot_fx!$R$25,IF(B44=Henkilöautot_fx!$Q$26,Henkilöautot_fx!$R$26,IF(B44=Henkilöautot_fx!$Q$27,Henkilöautot_fx!$R$27,IF(B44=Henkilöautot_fx!$Q$28,Henkilöautot_fx!$R$28,IF(B44=Henkilöautot_fx!$Q$29,Henkilöautot_fx!$R$29,0))))),IF(E44=Henkilöautot_fx!$J$21,Henkilöautot_fx!$R$30,IF(E44=Henkilöautot_fx!$J$22,IF(B44=Henkilöautot_fx!$Q$31,Henkilöautot_fx!$R$31,IF(B44=Henkilöautot_fx!$Q$32,Henkilöautot_fx!$R$32,IF(B44=Henkilöautot_fx!$Q$33,Henkilöautot_fx!$R$33,IF(B44=Henkilöautot_fx!$Q$34,Henkilöautot_fx!$R$34,0)))),0)))</f>
        <v>0</v>
      </c>
      <c r="I44">
        <f t="shared" ref="I44:I102" si="1">IF(G44&lt;&gt;0,G44*D44*C44*2/1000000,H44*D44*C44*2/1000000)</f>
        <v>0</v>
      </c>
      <c r="L44">
        <f>Henkilöautot!H46</f>
        <v>0</v>
      </c>
      <c r="M44">
        <f>Henkilöautot!I46</f>
        <v>0</v>
      </c>
      <c r="N44">
        <f>Henkilöautot!J46</f>
        <v>0</v>
      </c>
      <c r="P44">
        <f>IF(L44=Henkilöautot_fx!$O$35,Henkilöautot_fx!$R$35,IF(L44=Henkilöautot_fx!$O$36,Henkilöautot_fx!$R$36,IF(L44=Henkilöautot_fx!$O$37,Henkilöautot_fx!$R$37,IF(L44=Henkilöautot_fx!$O$38,Henkilöautot_fx!$R$38,IF(L44=Henkilöautot_fx!$O$39,Henkilöautot_fx!$R$39,IF(L44=Henkilöautot_fx!$O$40,Henkilöautot_fx!$R$40,IF(L44=Henkilöautot_fx!$N$41,Henkilöautot_fx!$R$41,0)))))))</f>
        <v>0</v>
      </c>
      <c r="Q44">
        <f t="shared" ref="Q44:Q102" si="2">M44*2*N44*P44/1000000</f>
        <v>0</v>
      </c>
    </row>
    <row r="45" spans="1:17" x14ac:dyDescent="0.25">
      <c r="A45">
        <f>Henkilöautot!A47</f>
        <v>0</v>
      </c>
      <c r="B45">
        <f>Henkilöautot!B47</f>
        <v>0</v>
      </c>
      <c r="C45">
        <f>Henkilöautot!C47</f>
        <v>0</v>
      </c>
      <c r="D45">
        <f>Henkilöautot!D47</f>
        <v>0</v>
      </c>
      <c r="E45">
        <f>Henkilöautot!E47</f>
        <v>0</v>
      </c>
      <c r="G45">
        <f>IF(E45=Henkilöautot_fx!$J$16,IF(B45=Henkilöautot_fx!$Q$7,Henkilöautot_fx!$R$7,IF(B45=Henkilöautot_fx!$Q$8,Henkilöautot_fx!$R$8,IF(B45=Henkilöautot_fx!$Q$9,Henkilöautot_fx!$R$9,IF(B45=Henkilöautot_fx!$Q$10,Henkilöautot_fx!$R$10,IF(B45=Henkilöautot_fx!$Q$11,Henkilöautot_fx!$R$11,IF(B45=Henkilöautot_fx!$Q$12,Henkilöautot_fx!$R$12,IF(B45=Henkilöautot_fx!$Q$13,Henkilöautot_fx!$R$13,0))))))),IF(E45=Henkilöautot_fx!$J$17,IF(B45=Henkilöautot_fx!$Q$14,Henkilöautot_fx!$R$14,IF(B45=Henkilöautot_fx!$Q$15,Henkilöautot_fx!$R$15,IF(B45=Henkilöautot_fx!$Q$16,Henkilöautot_fx!$R$16,IF(B45=Henkilöautot_fx!$Q$17,Henkilöautot_fx!$R$17,IF(B45=Henkilöautot_fx!$Q$18,Henkilöautot_fx!$R$18,IF(B45=Henkilöautot_fx!$Q$19,Henkilöautot_fx!$R$19,IF(B45=Henkilöautot_fx!$Q$20,Henkilöautot_fx!$R$20,0))))))),IF(E45=Henkilöautot_fx!$J$18,Henkilöautot_fx!$R$21,IF(E45=Henkilöautot_fx!$J$19,IF(B45=Henkilöautot_fx!$Q$22,Henkilöautot_fx!$R$22,IF(B45=Henkilöautot_fx!$Q$23,Henkilöautot_fx!$R$23,IF(B45=Henkilöautot_fx!$Q$24,Henkilöautot_fx!$R$24,0))),0))))</f>
        <v>0</v>
      </c>
      <c r="H45">
        <f>IF(E45=Henkilöautot_fx!$J$20,IF(B45=Henkilöautot_fx!$Q$25,Henkilöautot_fx!$R$25,IF(B45=Henkilöautot_fx!$Q$26,Henkilöautot_fx!$R$26,IF(B45=Henkilöautot_fx!$Q$27,Henkilöautot_fx!$R$27,IF(B45=Henkilöautot_fx!$Q$28,Henkilöautot_fx!$R$28,IF(B45=Henkilöautot_fx!$Q$29,Henkilöautot_fx!$R$29,0))))),IF(E45=Henkilöautot_fx!$J$21,Henkilöautot_fx!$R$30,IF(E45=Henkilöautot_fx!$J$22,IF(B45=Henkilöautot_fx!$Q$31,Henkilöautot_fx!$R$31,IF(B45=Henkilöautot_fx!$Q$32,Henkilöautot_fx!$R$32,IF(B45=Henkilöautot_fx!$Q$33,Henkilöautot_fx!$R$33,IF(B45=Henkilöautot_fx!$Q$34,Henkilöautot_fx!$R$34,0)))),0)))</f>
        <v>0</v>
      </c>
      <c r="I45">
        <f t="shared" si="1"/>
        <v>0</v>
      </c>
      <c r="L45">
        <f>Henkilöautot!H47</f>
        <v>0</v>
      </c>
      <c r="M45">
        <f>Henkilöautot!I47</f>
        <v>0</v>
      </c>
      <c r="N45">
        <f>Henkilöautot!J47</f>
        <v>0</v>
      </c>
      <c r="P45">
        <f>IF(L45=Henkilöautot_fx!$O$35,Henkilöautot_fx!$R$35,IF(L45=Henkilöautot_fx!$O$36,Henkilöautot_fx!$R$36,IF(L45=Henkilöautot_fx!$O$37,Henkilöautot_fx!$R$37,IF(L45=Henkilöautot_fx!$O$38,Henkilöautot_fx!$R$38,IF(L45=Henkilöautot_fx!$O$39,Henkilöautot_fx!$R$39,IF(L45=Henkilöautot_fx!$O$40,Henkilöautot_fx!$R$40,IF(L45=Henkilöautot_fx!$N$41,Henkilöautot_fx!$R$41,0)))))))</f>
        <v>0</v>
      </c>
      <c r="Q45">
        <f t="shared" si="2"/>
        <v>0</v>
      </c>
    </row>
    <row r="46" spans="1:17" x14ac:dyDescent="0.25">
      <c r="A46">
        <f>Henkilöautot!A48</f>
        <v>0</v>
      </c>
      <c r="B46">
        <f>Henkilöautot!B48</f>
        <v>0</v>
      </c>
      <c r="C46">
        <f>Henkilöautot!C48</f>
        <v>0</v>
      </c>
      <c r="D46">
        <f>Henkilöautot!D48</f>
        <v>0</v>
      </c>
      <c r="E46">
        <f>Henkilöautot!E48</f>
        <v>0</v>
      </c>
      <c r="G46">
        <f>IF(E46=Henkilöautot_fx!$J$16,IF(B46=Henkilöautot_fx!$Q$7,Henkilöautot_fx!$R$7,IF(B46=Henkilöautot_fx!$Q$8,Henkilöautot_fx!$R$8,IF(B46=Henkilöautot_fx!$Q$9,Henkilöautot_fx!$R$9,IF(B46=Henkilöautot_fx!$Q$10,Henkilöautot_fx!$R$10,IF(B46=Henkilöautot_fx!$Q$11,Henkilöautot_fx!$R$11,IF(B46=Henkilöautot_fx!$Q$12,Henkilöautot_fx!$R$12,IF(B46=Henkilöautot_fx!$Q$13,Henkilöautot_fx!$R$13,0))))))),IF(E46=Henkilöautot_fx!$J$17,IF(B46=Henkilöautot_fx!$Q$14,Henkilöautot_fx!$R$14,IF(B46=Henkilöautot_fx!$Q$15,Henkilöautot_fx!$R$15,IF(B46=Henkilöautot_fx!$Q$16,Henkilöautot_fx!$R$16,IF(B46=Henkilöautot_fx!$Q$17,Henkilöautot_fx!$R$17,IF(B46=Henkilöautot_fx!$Q$18,Henkilöautot_fx!$R$18,IF(B46=Henkilöautot_fx!$Q$19,Henkilöautot_fx!$R$19,IF(B46=Henkilöautot_fx!$Q$20,Henkilöautot_fx!$R$20,0))))))),IF(E46=Henkilöautot_fx!$J$18,Henkilöautot_fx!$R$21,IF(E46=Henkilöautot_fx!$J$19,IF(B46=Henkilöautot_fx!$Q$22,Henkilöautot_fx!$R$22,IF(B46=Henkilöautot_fx!$Q$23,Henkilöautot_fx!$R$23,IF(B46=Henkilöautot_fx!$Q$24,Henkilöautot_fx!$R$24,0))),0))))</f>
        <v>0</v>
      </c>
      <c r="H46">
        <f>IF(E46=Henkilöautot_fx!$J$20,IF(B46=Henkilöautot_fx!$Q$25,Henkilöautot_fx!$R$25,IF(B46=Henkilöautot_fx!$Q$26,Henkilöautot_fx!$R$26,IF(B46=Henkilöautot_fx!$Q$27,Henkilöautot_fx!$R$27,IF(B46=Henkilöautot_fx!$Q$28,Henkilöautot_fx!$R$28,IF(B46=Henkilöautot_fx!$Q$29,Henkilöautot_fx!$R$29,0))))),IF(E46=Henkilöautot_fx!$J$21,Henkilöautot_fx!$R$30,IF(E46=Henkilöautot_fx!$J$22,IF(B46=Henkilöautot_fx!$Q$31,Henkilöautot_fx!$R$31,IF(B46=Henkilöautot_fx!$Q$32,Henkilöautot_fx!$R$32,IF(B46=Henkilöautot_fx!$Q$33,Henkilöautot_fx!$R$33,IF(B46=Henkilöautot_fx!$Q$34,Henkilöautot_fx!$R$34,0)))),0)))</f>
        <v>0</v>
      </c>
      <c r="I46">
        <f t="shared" si="1"/>
        <v>0</v>
      </c>
      <c r="L46">
        <f>Henkilöautot!H48</f>
        <v>0</v>
      </c>
      <c r="M46">
        <f>Henkilöautot!I48</f>
        <v>0</v>
      </c>
      <c r="N46">
        <f>Henkilöautot!J48</f>
        <v>0</v>
      </c>
      <c r="P46">
        <f>IF(L46=Henkilöautot_fx!$O$35,Henkilöautot_fx!$R$35,IF(L46=Henkilöautot_fx!$O$36,Henkilöautot_fx!$R$36,IF(L46=Henkilöautot_fx!$O$37,Henkilöautot_fx!$R$37,IF(L46=Henkilöautot_fx!$O$38,Henkilöautot_fx!$R$38,IF(L46=Henkilöautot_fx!$O$39,Henkilöautot_fx!$R$39,IF(L46=Henkilöautot_fx!$O$40,Henkilöautot_fx!$R$40,IF(L46=Henkilöautot_fx!$N$41,Henkilöautot_fx!$R$41,0)))))))</f>
        <v>0</v>
      </c>
      <c r="Q46">
        <f t="shared" si="2"/>
        <v>0</v>
      </c>
    </row>
    <row r="47" spans="1:17" x14ac:dyDescent="0.25">
      <c r="A47">
        <f>Henkilöautot!A49</f>
        <v>0</v>
      </c>
      <c r="B47">
        <f>Henkilöautot!B49</f>
        <v>0</v>
      </c>
      <c r="C47">
        <f>Henkilöautot!C49</f>
        <v>0</v>
      </c>
      <c r="D47">
        <f>Henkilöautot!D49</f>
        <v>0</v>
      </c>
      <c r="E47">
        <f>Henkilöautot!E49</f>
        <v>0</v>
      </c>
      <c r="G47">
        <f>IF(E47=Henkilöautot_fx!$J$16,IF(B47=Henkilöautot_fx!$Q$7,Henkilöautot_fx!$R$7,IF(B47=Henkilöautot_fx!$Q$8,Henkilöautot_fx!$R$8,IF(B47=Henkilöautot_fx!$Q$9,Henkilöautot_fx!$R$9,IF(B47=Henkilöautot_fx!$Q$10,Henkilöautot_fx!$R$10,IF(B47=Henkilöautot_fx!$Q$11,Henkilöautot_fx!$R$11,IF(B47=Henkilöautot_fx!$Q$12,Henkilöautot_fx!$R$12,IF(B47=Henkilöautot_fx!$Q$13,Henkilöautot_fx!$R$13,0))))))),IF(E47=Henkilöautot_fx!$J$17,IF(B47=Henkilöautot_fx!$Q$14,Henkilöautot_fx!$R$14,IF(B47=Henkilöautot_fx!$Q$15,Henkilöautot_fx!$R$15,IF(B47=Henkilöautot_fx!$Q$16,Henkilöautot_fx!$R$16,IF(B47=Henkilöautot_fx!$Q$17,Henkilöautot_fx!$R$17,IF(B47=Henkilöautot_fx!$Q$18,Henkilöautot_fx!$R$18,IF(B47=Henkilöautot_fx!$Q$19,Henkilöautot_fx!$R$19,IF(B47=Henkilöautot_fx!$Q$20,Henkilöautot_fx!$R$20,0))))))),IF(E47=Henkilöautot_fx!$J$18,Henkilöautot_fx!$R$21,IF(E47=Henkilöautot_fx!$J$19,IF(B47=Henkilöautot_fx!$Q$22,Henkilöautot_fx!$R$22,IF(B47=Henkilöautot_fx!$Q$23,Henkilöautot_fx!$R$23,IF(B47=Henkilöautot_fx!$Q$24,Henkilöautot_fx!$R$24,0))),0))))</f>
        <v>0</v>
      </c>
      <c r="H47">
        <f>IF(E47=Henkilöautot_fx!$J$20,IF(B47=Henkilöautot_fx!$Q$25,Henkilöautot_fx!$R$25,IF(B47=Henkilöautot_fx!$Q$26,Henkilöautot_fx!$R$26,IF(B47=Henkilöautot_fx!$Q$27,Henkilöautot_fx!$R$27,IF(B47=Henkilöautot_fx!$Q$28,Henkilöautot_fx!$R$28,IF(B47=Henkilöautot_fx!$Q$29,Henkilöautot_fx!$R$29,0))))),IF(E47=Henkilöautot_fx!$J$21,Henkilöautot_fx!$R$30,IF(E47=Henkilöautot_fx!$J$22,IF(B47=Henkilöautot_fx!$Q$31,Henkilöautot_fx!$R$31,IF(B47=Henkilöautot_fx!$Q$32,Henkilöautot_fx!$R$32,IF(B47=Henkilöautot_fx!$Q$33,Henkilöautot_fx!$R$33,IF(B47=Henkilöautot_fx!$Q$34,Henkilöautot_fx!$R$34,0)))),0)))</f>
        <v>0</v>
      </c>
      <c r="I47">
        <f t="shared" si="1"/>
        <v>0</v>
      </c>
      <c r="L47">
        <f>Henkilöautot!H49</f>
        <v>0</v>
      </c>
      <c r="M47">
        <f>Henkilöautot!I49</f>
        <v>0</v>
      </c>
      <c r="N47">
        <f>Henkilöautot!J49</f>
        <v>0</v>
      </c>
      <c r="P47">
        <f>IF(L47=Henkilöautot_fx!$O$35,Henkilöautot_fx!$R$35,IF(L47=Henkilöautot_fx!$O$36,Henkilöautot_fx!$R$36,IF(L47=Henkilöautot_fx!$O$37,Henkilöautot_fx!$R$37,IF(L47=Henkilöautot_fx!$O$38,Henkilöautot_fx!$R$38,IF(L47=Henkilöautot_fx!$O$39,Henkilöautot_fx!$R$39,IF(L47=Henkilöautot_fx!$O$40,Henkilöautot_fx!$R$40,IF(L47=Henkilöautot_fx!$N$41,Henkilöautot_fx!$R$41,0)))))))</f>
        <v>0</v>
      </c>
      <c r="Q47">
        <f t="shared" si="2"/>
        <v>0</v>
      </c>
    </row>
    <row r="48" spans="1:17" x14ac:dyDescent="0.25">
      <c r="A48">
        <f>Henkilöautot!A50</f>
        <v>0</v>
      </c>
      <c r="B48">
        <f>Henkilöautot!B50</f>
        <v>0</v>
      </c>
      <c r="C48">
        <f>Henkilöautot!C50</f>
        <v>0</v>
      </c>
      <c r="D48">
        <f>Henkilöautot!D50</f>
        <v>0</v>
      </c>
      <c r="E48">
        <f>Henkilöautot!E50</f>
        <v>0</v>
      </c>
      <c r="G48">
        <f>IF(E48=Henkilöautot_fx!$J$16,IF(B48=Henkilöautot_fx!$Q$7,Henkilöautot_fx!$R$7,IF(B48=Henkilöautot_fx!$Q$8,Henkilöautot_fx!$R$8,IF(B48=Henkilöautot_fx!$Q$9,Henkilöautot_fx!$R$9,IF(B48=Henkilöautot_fx!$Q$10,Henkilöautot_fx!$R$10,IF(B48=Henkilöautot_fx!$Q$11,Henkilöautot_fx!$R$11,IF(B48=Henkilöautot_fx!$Q$12,Henkilöautot_fx!$R$12,IF(B48=Henkilöautot_fx!$Q$13,Henkilöautot_fx!$R$13,0))))))),IF(E48=Henkilöautot_fx!$J$17,IF(B48=Henkilöautot_fx!$Q$14,Henkilöautot_fx!$R$14,IF(B48=Henkilöautot_fx!$Q$15,Henkilöautot_fx!$R$15,IF(B48=Henkilöautot_fx!$Q$16,Henkilöautot_fx!$R$16,IF(B48=Henkilöautot_fx!$Q$17,Henkilöautot_fx!$R$17,IF(B48=Henkilöautot_fx!$Q$18,Henkilöautot_fx!$R$18,IF(B48=Henkilöautot_fx!$Q$19,Henkilöautot_fx!$R$19,IF(B48=Henkilöautot_fx!$Q$20,Henkilöautot_fx!$R$20,0))))))),IF(E48=Henkilöautot_fx!$J$18,Henkilöautot_fx!$R$21,IF(E48=Henkilöautot_fx!$J$19,IF(B48=Henkilöautot_fx!$Q$22,Henkilöautot_fx!$R$22,IF(B48=Henkilöautot_fx!$Q$23,Henkilöautot_fx!$R$23,IF(B48=Henkilöautot_fx!$Q$24,Henkilöautot_fx!$R$24,0))),0))))</f>
        <v>0</v>
      </c>
      <c r="H48">
        <f>IF(E48=Henkilöautot_fx!$J$20,IF(B48=Henkilöautot_fx!$Q$25,Henkilöautot_fx!$R$25,IF(B48=Henkilöautot_fx!$Q$26,Henkilöautot_fx!$R$26,IF(B48=Henkilöautot_fx!$Q$27,Henkilöautot_fx!$R$27,IF(B48=Henkilöautot_fx!$Q$28,Henkilöautot_fx!$R$28,IF(B48=Henkilöautot_fx!$Q$29,Henkilöautot_fx!$R$29,0))))),IF(E48=Henkilöautot_fx!$J$21,Henkilöautot_fx!$R$30,IF(E48=Henkilöautot_fx!$J$22,IF(B48=Henkilöautot_fx!$Q$31,Henkilöautot_fx!$R$31,IF(B48=Henkilöautot_fx!$Q$32,Henkilöautot_fx!$R$32,IF(B48=Henkilöautot_fx!$Q$33,Henkilöautot_fx!$R$33,IF(B48=Henkilöautot_fx!$Q$34,Henkilöautot_fx!$R$34,0)))),0)))</f>
        <v>0</v>
      </c>
      <c r="I48">
        <f t="shared" si="1"/>
        <v>0</v>
      </c>
      <c r="L48">
        <f>Henkilöautot!H50</f>
        <v>0</v>
      </c>
      <c r="M48">
        <f>Henkilöautot!I50</f>
        <v>0</v>
      </c>
      <c r="N48">
        <f>Henkilöautot!J50</f>
        <v>0</v>
      </c>
      <c r="P48">
        <f>IF(L48=Henkilöautot_fx!$O$35,Henkilöautot_fx!$R$35,IF(L48=Henkilöautot_fx!$O$36,Henkilöautot_fx!$R$36,IF(L48=Henkilöautot_fx!$O$37,Henkilöautot_fx!$R$37,IF(L48=Henkilöautot_fx!$O$38,Henkilöautot_fx!$R$38,IF(L48=Henkilöautot_fx!$O$39,Henkilöautot_fx!$R$39,IF(L48=Henkilöautot_fx!$O$40,Henkilöautot_fx!$R$40,IF(L48=Henkilöautot_fx!$N$41,Henkilöautot_fx!$R$41,0)))))))</f>
        <v>0</v>
      </c>
      <c r="Q48">
        <f t="shared" si="2"/>
        <v>0</v>
      </c>
    </row>
    <row r="49" spans="1:17" x14ac:dyDescent="0.25">
      <c r="A49">
        <f>Henkilöautot!A51</f>
        <v>0</v>
      </c>
      <c r="B49">
        <f>Henkilöautot!B51</f>
        <v>0</v>
      </c>
      <c r="C49">
        <f>Henkilöautot!C51</f>
        <v>0</v>
      </c>
      <c r="D49">
        <f>Henkilöautot!D51</f>
        <v>0</v>
      </c>
      <c r="E49">
        <f>Henkilöautot!E51</f>
        <v>0</v>
      </c>
      <c r="G49">
        <f>IF(E49=Henkilöautot_fx!$J$16,IF(B49=Henkilöautot_fx!$Q$7,Henkilöautot_fx!$R$7,IF(B49=Henkilöautot_fx!$Q$8,Henkilöautot_fx!$R$8,IF(B49=Henkilöautot_fx!$Q$9,Henkilöautot_fx!$R$9,IF(B49=Henkilöautot_fx!$Q$10,Henkilöautot_fx!$R$10,IF(B49=Henkilöautot_fx!$Q$11,Henkilöautot_fx!$R$11,IF(B49=Henkilöautot_fx!$Q$12,Henkilöautot_fx!$R$12,IF(B49=Henkilöautot_fx!$Q$13,Henkilöautot_fx!$R$13,0))))))),IF(E49=Henkilöautot_fx!$J$17,IF(B49=Henkilöautot_fx!$Q$14,Henkilöautot_fx!$R$14,IF(B49=Henkilöautot_fx!$Q$15,Henkilöautot_fx!$R$15,IF(B49=Henkilöautot_fx!$Q$16,Henkilöautot_fx!$R$16,IF(B49=Henkilöautot_fx!$Q$17,Henkilöautot_fx!$R$17,IF(B49=Henkilöautot_fx!$Q$18,Henkilöautot_fx!$R$18,IF(B49=Henkilöautot_fx!$Q$19,Henkilöautot_fx!$R$19,IF(B49=Henkilöautot_fx!$Q$20,Henkilöautot_fx!$R$20,0))))))),IF(E49=Henkilöautot_fx!$J$18,Henkilöautot_fx!$R$21,IF(E49=Henkilöautot_fx!$J$19,IF(B49=Henkilöautot_fx!$Q$22,Henkilöautot_fx!$R$22,IF(B49=Henkilöautot_fx!$Q$23,Henkilöautot_fx!$R$23,IF(B49=Henkilöautot_fx!$Q$24,Henkilöautot_fx!$R$24,0))),0))))</f>
        <v>0</v>
      </c>
      <c r="H49">
        <f>IF(E49=Henkilöautot_fx!$J$20,IF(B49=Henkilöautot_fx!$Q$25,Henkilöautot_fx!$R$25,IF(B49=Henkilöautot_fx!$Q$26,Henkilöautot_fx!$R$26,IF(B49=Henkilöautot_fx!$Q$27,Henkilöautot_fx!$R$27,IF(B49=Henkilöautot_fx!$Q$28,Henkilöautot_fx!$R$28,IF(B49=Henkilöautot_fx!$Q$29,Henkilöautot_fx!$R$29,0))))),IF(E49=Henkilöautot_fx!$J$21,Henkilöautot_fx!$R$30,IF(E49=Henkilöautot_fx!$J$22,IF(B49=Henkilöautot_fx!$Q$31,Henkilöautot_fx!$R$31,IF(B49=Henkilöautot_fx!$Q$32,Henkilöautot_fx!$R$32,IF(B49=Henkilöautot_fx!$Q$33,Henkilöautot_fx!$R$33,IF(B49=Henkilöautot_fx!$Q$34,Henkilöautot_fx!$R$34,0)))),0)))</f>
        <v>0</v>
      </c>
      <c r="I49">
        <f t="shared" si="1"/>
        <v>0</v>
      </c>
      <c r="L49">
        <f>Henkilöautot!H51</f>
        <v>0</v>
      </c>
      <c r="M49">
        <f>Henkilöautot!I51</f>
        <v>0</v>
      </c>
      <c r="N49">
        <f>Henkilöautot!J51</f>
        <v>0</v>
      </c>
      <c r="P49">
        <f>IF(L49=Henkilöautot_fx!$O$35,Henkilöautot_fx!$R$35,IF(L49=Henkilöautot_fx!$O$36,Henkilöautot_fx!$R$36,IF(L49=Henkilöautot_fx!$O$37,Henkilöautot_fx!$R$37,IF(L49=Henkilöautot_fx!$O$38,Henkilöautot_fx!$R$38,IF(L49=Henkilöautot_fx!$O$39,Henkilöautot_fx!$R$39,IF(L49=Henkilöautot_fx!$O$40,Henkilöautot_fx!$R$40,IF(L49=Henkilöautot_fx!$N$41,Henkilöautot_fx!$R$41,0)))))))</f>
        <v>0</v>
      </c>
      <c r="Q49">
        <f t="shared" si="2"/>
        <v>0</v>
      </c>
    </row>
    <row r="50" spans="1:17" x14ac:dyDescent="0.25">
      <c r="A50">
        <f>Henkilöautot!A52</f>
        <v>0</v>
      </c>
      <c r="B50">
        <f>Henkilöautot!B52</f>
        <v>0</v>
      </c>
      <c r="C50">
        <f>Henkilöautot!C52</f>
        <v>0</v>
      </c>
      <c r="D50">
        <f>Henkilöautot!D52</f>
        <v>0</v>
      </c>
      <c r="E50">
        <f>Henkilöautot!E52</f>
        <v>0</v>
      </c>
      <c r="G50">
        <f>IF(E50=Henkilöautot_fx!$J$16,IF(B50=Henkilöautot_fx!$Q$7,Henkilöautot_fx!$R$7,IF(B50=Henkilöautot_fx!$Q$8,Henkilöautot_fx!$R$8,IF(B50=Henkilöautot_fx!$Q$9,Henkilöautot_fx!$R$9,IF(B50=Henkilöautot_fx!$Q$10,Henkilöautot_fx!$R$10,IF(B50=Henkilöautot_fx!$Q$11,Henkilöautot_fx!$R$11,IF(B50=Henkilöautot_fx!$Q$12,Henkilöautot_fx!$R$12,IF(B50=Henkilöautot_fx!$Q$13,Henkilöautot_fx!$R$13,0))))))),IF(E50=Henkilöautot_fx!$J$17,IF(B50=Henkilöautot_fx!$Q$14,Henkilöautot_fx!$R$14,IF(B50=Henkilöautot_fx!$Q$15,Henkilöautot_fx!$R$15,IF(B50=Henkilöautot_fx!$Q$16,Henkilöautot_fx!$R$16,IF(B50=Henkilöautot_fx!$Q$17,Henkilöautot_fx!$R$17,IF(B50=Henkilöautot_fx!$Q$18,Henkilöautot_fx!$R$18,IF(B50=Henkilöautot_fx!$Q$19,Henkilöautot_fx!$R$19,IF(B50=Henkilöautot_fx!$Q$20,Henkilöautot_fx!$R$20,0))))))),IF(E50=Henkilöautot_fx!$J$18,Henkilöautot_fx!$R$21,IF(E50=Henkilöautot_fx!$J$19,IF(B50=Henkilöautot_fx!$Q$22,Henkilöautot_fx!$R$22,IF(B50=Henkilöautot_fx!$Q$23,Henkilöautot_fx!$R$23,IF(B50=Henkilöautot_fx!$Q$24,Henkilöautot_fx!$R$24,0))),0))))</f>
        <v>0</v>
      </c>
      <c r="H50">
        <f>IF(E50=Henkilöautot_fx!$J$20,IF(B50=Henkilöautot_fx!$Q$25,Henkilöautot_fx!$R$25,IF(B50=Henkilöautot_fx!$Q$26,Henkilöautot_fx!$R$26,IF(B50=Henkilöautot_fx!$Q$27,Henkilöautot_fx!$R$27,IF(B50=Henkilöautot_fx!$Q$28,Henkilöautot_fx!$R$28,IF(B50=Henkilöautot_fx!$Q$29,Henkilöautot_fx!$R$29,0))))),IF(E50=Henkilöautot_fx!$J$21,Henkilöautot_fx!$R$30,IF(E50=Henkilöautot_fx!$J$22,IF(B50=Henkilöautot_fx!$Q$31,Henkilöautot_fx!$R$31,IF(B50=Henkilöautot_fx!$Q$32,Henkilöautot_fx!$R$32,IF(B50=Henkilöautot_fx!$Q$33,Henkilöautot_fx!$R$33,IF(B50=Henkilöautot_fx!$Q$34,Henkilöautot_fx!$R$34,0)))),0)))</f>
        <v>0</v>
      </c>
      <c r="I50">
        <f t="shared" si="1"/>
        <v>0</v>
      </c>
      <c r="L50">
        <f>Henkilöautot!H52</f>
        <v>0</v>
      </c>
      <c r="M50">
        <f>Henkilöautot!I52</f>
        <v>0</v>
      </c>
      <c r="N50">
        <f>Henkilöautot!J52</f>
        <v>0</v>
      </c>
      <c r="P50">
        <f>IF(L50=Henkilöautot_fx!$O$35,Henkilöautot_fx!$R$35,IF(L50=Henkilöautot_fx!$O$36,Henkilöautot_fx!$R$36,IF(L50=Henkilöautot_fx!$O$37,Henkilöautot_fx!$R$37,IF(L50=Henkilöautot_fx!$O$38,Henkilöautot_fx!$R$38,IF(L50=Henkilöautot_fx!$O$39,Henkilöautot_fx!$R$39,IF(L50=Henkilöautot_fx!$O$40,Henkilöautot_fx!$R$40,IF(L50=Henkilöautot_fx!$N$41,Henkilöautot_fx!$R$41,0)))))))</f>
        <v>0</v>
      </c>
      <c r="Q50">
        <f t="shared" si="2"/>
        <v>0</v>
      </c>
    </row>
    <row r="51" spans="1:17" x14ac:dyDescent="0.25">
      <c r="A51">
        <f>Henkilöautot!A53</f>
        <v>0</v>
      </c>
      <c r="B51">
        <f>Henkilöautot!B53</f>
        <v>0</v>
      </c>
      <c r="C51">
        <f>Henkilöautot!C53</f>
        <v>0</v>
      </c>
      <c r="D51">
        <f>Henkilöautot!D53</f>
        <v>0</v>
      </c>
      <c r="E51">
        <f>Henkilöautot!E53</f>
        <v>0</v>
      </c>
      <c r="G51">
        <f>IF(E51=Henkilöautot_fx!$J$16,IF(B51=Henkilöautot_fx!$Q$7,Henkilöautot_fx!$R$7,IF(B51=Henkilöautot_fx!$Q$8,Henkilöautot_fx!$R$8,IF(B51=Henkilöautot_fx!$Q$9,Henkilöautot_fx!$R$9,IF(B51=Henkilöautot_fx!$Q$10,Henkilöautot_fx!$R$10,IF(B51=Henkilöautot_fx!$Q$11,Henkilöautot_fx!$R$11,IF(B51=Henkilöautot_fx!$Q$12,Henkilöautot_fx!$R$12,IF(B51=Henkilöautot_fx!$Q$13,Henkilöautot_fx!$R$13,0))))))),IF(E51=Henkilöautot_fx!$J$17,IF(B51=Henkilöautot_fx!$Q$14,Henkilöautot_fx!$R$14,IF(B51=Henkilöautot_fx!$Q$15,Henkilöautot_fx!$R$15,IF(B51=Henkilöautot_fx!$Q$16,Henkilöautot_fx!$R$16,IF(B51=Henkilöautot_fx!$Q$17,Henkilöautot_fx!$R$17,IF(B51=Henkilöautot_fx!$Q$18,Henkilöautot_fx!$R$18,IF(B51=Henkilöautot_fx!$Q$19,Henkilöautot_fx!$R$19,IF(B51=Henkilöautot_fx!$Q$20,Henkilöautot_fx!$R$20,0))))))),IF(E51=Henkilöautot_fx!$J$18,Henkilöautot_fx!$R$21,IF(E51=Henkilöautot_fx!$J$19,IF(B51=Henkilöautot_fx!$Q$22,Henkilöautot_fx!$R$22,IF(B51=Henkilöautot_fx!$Q$23,Henkilöautot_fx!$R$23,IF(B51=Henkilöautot_fx!$Q$24,Henkilöautot_fx!$R$24,0))),0))))</f>
        <v>0</v>
      </c>
      <c r="H51">
        <f>IF(E51=Henkilöautot_fx!$J$20,IF(B51=Henkilöautot_fx!$Q$25,Henkilöautot_fx!$R$25,IF(B51=Henkilöautot_fx!$Q$26,Henkilöautot_fx!$R$26,IF(B51=Henkilöautot_fx!$Q$27,Henkilöautot_fx!$R$27,IF(B51=Henkilöautot_fx!$Q$28,Henkilöautot_fx!$R$28,IF(B51=Henkilöautot_fx!$Q$29,Henkilöautot_fx!$R$29,0))))),IF(E51=Henkilöautot_fx!$J$21,Henkilöautot_fx!$R$30,IF(E51=Henkilöautot_fx!$J$22,IF(B51=Henkilöautot_fx!$Q$31,Henkilöautot_fx!$R$31,IF(B51=Henkilöautot_fx!$Q$32,Henkilöautot_fx!$R$32,IF(B51=Henkilöautot_fx!$Q$33,Henkilöautot_fx!$R$33,IF(B51=Henkilöautot_fx!$Q$34,Henkilöautot_fx!$R$34,0)))),0)))</f>
        <v>0</v>
      </c>
      <c r="I51">
        <f t="shared" si="1"/>
        <v>0</v>
      </c>
      <c r="L51">
        <f>Henkilöautot!H53</f>
        <v>0</v>
      </c>
      <c r="M51">
        <f>Henkilöautot!I53</f>
        <v>0</v>
      </c>
      <c r="N51">
        <f>Henkilöautot!J53</f>
        <v>0</v>
      </c>
      <c r="P51">
        <f>IF(L51=Henkilöautot_fx!$O$35,Henkilöautot_fx!$R$35,IF(L51=Henkilöautot_fx!$O$36,Henkilöautot_fx!$R$36,IF(L51=Henkilöautot_fx!$O$37,Henkilöautot_fx!$R$37,IF(L51=Henkilöautot_fx!$O$38,Henkilöautot_fx!$R$38,IF(L51=Henkilöautot_fx!$O$39,Henkilöautot_fx!$R$39,IF(L51=Henkilöautot_fx!$O$40,Henkilöautot_fx!$R$40,IF(L51=Henkilöautot_fx!$N$41,Henkilöautot_fx!$R$41,0)))))))</f>
        <v>0</v>
      </c>
      <c r="Q51">
        <f t="shared" si="2"/>
        <v>0</v>
      </c>
    </row>
    <row r="52" spans="1:17" x14ac:dyDescent="0.25">
      <c r="A52">
        <f>Henkilöautot!A54</f>
        <v>0</v>
      </c>
      <c r="B52">
        <f>Henkilöautot!B54</f>
        <v>0</v>
      </c>
      <c r="C52">
        <f>Henkilöautot!C54</f>
        <v>0</v>
      </c>
      <c r="D52">
        <f>Henkilöautot!D54</f>
        <v>0</v>
      </c>
      <c r="E52">
        <f>Henkilöautot!E54</f>
        <v>0</v>
      </c>
      <c r="G52">
        <f>IF(E52=Henkilöautot_fx!$J$16,IF(B52=Henkilöautot_fx!$Q$7,Henkilöautot_fx!$R$7,IF(B52=Henkilöautot_fx!$Q$8,Henkilöautot_fx!$R$8,IF(B52=Henkilöautot_fx!$Q$9,Henkilöautot_fx!$R$9,IF(B52=Henkilöautot_fx!$Q$10,Henkilöautot_fx!$R$10,IF(B52=Henkilöautot_fx!$Q$11,Henkilöautot_fx!$R$11,IF(B52=Henkilöautot_fx!$Q$12,Henkilöautot_fx!$R$12,IF(B52=Henkilöautot_fx!$Q$13,Henkilöautot_fx!$R$13,0))))))),IF(E52=Henkilöautot_fx!$J$17,IF(B52=Henkilöautot_fx!$Q$14,Henkilöautot_fx!$R$14,IF(B52=Henkilöautot_fx!$Q$15,Henkilöautot_fx!$R$15,IF(B52=Henkilöautot_fx!$Q$16,Henkilöautot_fx!$R$16,IF(B52=Henkilöautot_fx!$Q$17,Henkilöautot_fx!$R$17,IF(B52=Henkilöautot_fx!$Q$18,Henkilöautot_fx!$R$18,IF(B52=Henkilöautot_fx!$Q$19,Henkilöautot_fx!$R$19,IF(B52=Henkilöautot_fx!$Q$20,Henkilöautot_fx!$R$20,0))))))),IF(E52=Henkilöautot_fx!$J$18,Henkilöautot_fx!$R$21,IF(E52=Henkilöautot_fx!$J$19,IF(B52=Henkilöautot_fx!$Q$22,Henkilöautot_fx!$R$22,IF(B52=Henkilöautot_fx!$Q$23,Henkilöautot_fx!$R$23,IF(B52=Henkilöautot_fx!$Q$24,Henkilöautot_fx!$R$24,0))),0))))</f>
        <v>0</v>
      </c>
      <c r="H52">
        <f>IF(E52=Henkilöautot_fx!$J$20,IF(B52=Henkilöautot_fx!$Q$25,Henkilöautot_fx!$R$25,IF(B52=Henkilöautot_fx!$Q$26,Henkilöautot_fx!$R$26,IF(B52=Henkilöautot_fx!$Q$27,Henkilöautot_fx!$R$27,IF(B52=Henkilöautot_fx!$Q$28,Henkilöautot_fx!$R$28,IF(B52=Henkilöautot_fx!$Q$29,Henkilöautot_fx!$R$29,0))))),IF(E52=Henkilöautot_fx!$J$21,Henkilöautot_fx!$R$30,IF(E52=Henkilöautot_fx!$J$22,IF(B52=Henkilöautot_fx!$Q$31,Henkilöautot_fx!$R$31,IF(B52=Henkilöautot_fx!$Q$32,Henkilöautot_fx!$R$32,IF(B52=Henkilöautot_fx!$Q$33,Henkilöautot_fx!$R$33,IF(B52=Henkilöautot_fx!$Q$34,Henkilöautot_fx!$R$34,0)))),0)))</f>
        <v>0</v>
      </c>
      <c r="I52">
        <f t="shared" si="1"/>
        <v>0</v>
      </c>
      <c r="L52">
        <f>Henkilöautot!H54</f>
        <v>0</v>
      </c>
      <c r="M52">
        <f>Henkilöautot!I54</f>
        <v>0</v>
      </c>
      <c r="N52">
        <f>Henkilöautot!J54</f>
        <v>0</v>
      </c>
      <c r="P52">
        <f>IF(L52=Henkilöautot_fx!$O$35,Henkilöautot_fx!$R$35,IF(L52=Henkilöautot_fx!$O$36,Henkilöautot_fx!$R$36,IF(L52=Henkilöautot_fx!$O$37,Henkilöautot_fx!$R$37,IF(L52=Henkilöautot_fx!$O$38,Henkilöautot_fx!$R$38,IF(L52=Henkilöautot_fx!$O$39,Henkilöautot_fx!$R$39,IF(L52=Henkilöautot_fx!$O$40,Henkilöautot_fx!$R$40,IF(L52=Henkilöautot_fx!$N$41,Henkilöautot_fx!$R$41,0)))))))</f>
        <v>0</v>
      </c>
      <c r="Q52">
        <f t="shared" si="2"/>
        <v>0</v>
      </c>
    </row>
    <row r="53" spans="1:17" x14ac:dyDescent="0.25">
      <c r="A53">
        <f>Henkilöautot!A55</f>
        <v>0</v>
      </c>
      <c r="B53">
        <f>Henkilöautot!B55</f>
        <v>0</v>
      </c>
      <c r="C53">
        <f>Henkilöautot!C55</f>
        <v>0</v>
      </c>
      <c r="D53">
        <f>Henkilöautot!D55</f>
        <v>0</v>
      </c>
      <c r="E53">
        <f>Henkilöautot!E55</f>
        <v>0</v>
      </c>
      <c r="G53">
        <f>IF(E53=Henkilöautot_fx!$J$16,IF(B53=Henkilöautot_fx!$Q$7,Henkilöautot_fx!$R$7,IF(B53=Henkilöautot_fx!$Q$8,Henkilöautot_fx!$R$8,IF(B53=Henkilöautot_fx!$Q$9,Henkilöautot_fx!$R$9,IF(B53=Henkilöautot_fx!$Q$10,Henkilöautot_fx!$R$10,IF(B53=Henkilöautot_fx!$Q$11,Henkilöautot_fx!$R$11,IF(B53=Henkilöautot_fx!$Q$12,Henkilöautot_fx!$R$12,IF(B53=Henkilöautot_fx!$Q$13,Henkilöautot_fx!$R$13,0))))))),IF(E53=Henkilöautot_fx!$J$17,IF(B53=Henkilöautot_fx!$Q$14,Henkilöautot_fx!$R$14,IF(B53=Henkilöautot_fx!$Q$15,Henkilöautot_fx!$R$15,IF(B53=Henkilöautot_fx!$Q$16,Henkilöautot_fx!$R$16,IF(B53=Henkilöautot_fx!$Q$17,Henkilöautot_fx!$R$17,IF(B53=Henkilöautot_fx!$Q$18,Henkilöautot_fx!$R$18,IF(B53=Henkilöautot_fx!$Q$19,Henkilöautot_fx!$R$19,IF(B53=Henkilöautot_fx!$Q$20,Henkilöautot_fx!$R$20,0))))))),IF(E53=Henkilöautot_fx!$J$18,Henkilöautot_fx!$R$21,IF(E53=Henkilöautot_fx!$J$19,IF(B53=Henkilöautot_fx!$Q$22,Henkilöautot_fx!$R$22,IF(B53=Henkilöautot_fx!$Q$23,Henkilöautot_fx!$R$23,IF(B53=Henkilöautot_fx!$Q$24,Henkilöautot_fx!$R$24,0))),0))))</f>
        <v>0</v>
      </c>
      <c r="H53">
        <f>IF(E53=Henkilöautot_fx!$J$20,IF(B53=Henkilöautot_fx!$Q$25,Henkilöautot_fx!$R$25,IF(B53=Henkilöautot_fx!$Q$26,Henkilöautot_fx!$R$26,IF(B53=Henkilöautot_fx!$Q$27,Henkilöautot_fx!$R$27,IF(B53=Henkilöautot_fx!$Q$28,Henkilöautot_fx!$R$28,IF(B53=Henkilöautot_fx!$Q$29,Henkilöautot_fx!$R$29,0))))),IF(E53=Henkilöautot_fx!$J$21,Henkilöautot_fx!$R$30,IF(E53=Henkilöautot_fx!$J$22,IF(B53=Henkilöautot_fx!$Q$31,Henkilöautot_fx!$R$31,IF(B53=Henkilöautot_fx!$Q$32,Henkilöautot_fx!$R$32,IF(B53=Henkilöautot_fx!$Q$33,Henkilöautot_fx!$R$33,IF(B53=Henkilöautot_fx!$Q$34,Henkilöautot_fx!$R$34,0)))),0)))</f>
        <v>0</v>
      </c>
      <c r="I53">
        <f t="shared" si="1"/>
        <v>0</v>
      </c>
      <c r="L53">
        <f>Henkilöautot!H55</f>
        <v>0</v>
      </c>
      <c r="M53">
        <f>Henkilöautot!I55</f>
        <v>0</v>
      </c>
      <c r="N53">
        <f>Henkilöautot!J55</f>
        <v>0</v>
      </c>
      <c r="P53">
        <f>IF(L53=Henkilöautot_fx!$O$35,Henkilöautot_fx!$R$35,IF(L53=Henkilöautot_fx!$O$36,Henkilöautot_fx!$R$36,IF(L53=Henkilöautot_fx!$O$37,Henkilöautot_fx!$R$37,IF(L53=Henkilöautot_fx!$O$38,Henkilöautot_fx!$R$38,IF(L53=Henkilöautot_fx!$O$39,Henkilöautot_fx!$R$39,IF(L53=Henkilöautot_fx!$O$40,Henkilöautot_fx!$R$40,IF(L53=Henkilöautot_fx!$N$41,Henkilöautot_fx!$R$41,0)))))))</f>
        <v>0</v>
      </c>
      <c r="Q53">
        <f t="shared" si="2"/>
        <v>0</v>
      </c>
    </row>
    <row r="54" spans="1:17" x14ac:dyDescent="0.25">
      <c r="A54">
        <f>Henkilöautot!A56</f>
        <v>0</v>
      </c>
      <c r="B54">
        <f>Henkilöautot!B56</f>
        <v>0</v>
      </c>
      <c r="C54">
        <f>Henkilöautot!C56</f>
        <v>0</v>
      </c>
      <c r="D54">
        <f>Henkilöautot!D56</f>
        <v>0</v>
      </c>
      <c r="E54">
        <f>Henkilöautot!E56</f>
        <v>0</v>
      </c>
      <c r="G54">
        <f>IF(E54=Henkilöautot_fx!$J$16,IF(B54=Henkilöautot_fx!$Q$7,Henkilöautot_fx!$R$7,IF(B54=Henkilöautot_fx!$Q$8,Henkilöautot_fx!$R$8,IF(B54=Henkilöautot_fx!$Q$9,Henkilöautot_fx!$R$9,IF(B54=Henkilöautot_fx!$Q$10,Henkilöautot_fx!$R$10,IF(B54=Henkilöautot_fx!$Q$11,Henkilöautot_fx!$R$11,IF(B54=Henkilöautot_fx!$Q$12,Henkilöautot_fx!$R$12,IF(B54=Henkilöautot_fx!$Q$13,Henkilöautot_fx!$R$13,0))))))),IF(E54=Henkilöautot_fx!$J$17,IF(B54=Henkilöautot_fx!$Q$14,Henkilöautot_fx!$R$14,IF(B54=Henkilöautot_fx!$Q$15,Henkilöautot_fx!$R$15,IF(B54=Henkilöautot_fx!$Q$16,Henkilöautot_fx!$R$16,IF(B54=Henkilöautot_fx!$Q$17,Henkilöautot_fx!$R$17,IF(B54=Henkilöautot_fx!$Q$18,Henkilöautot_fx!$R$18,IF(B54=Henkilöautot_fx!$Q$19,Henkilöautot_fx!$R$19,IF(B54=Henkilöautot_fx!$Q$20,Henkilöautot_fx!$R$20,0))))))),IF(E54=Henkilöautot_fx!$J$18,Henkilöautot_fx!$R$21,IF(E54=Henkilöautot_fx!$J$19,IF(B54=Henkilöautot_fx!$Q$22,Henkilöautot_fx!$R$22,IF(B54=Henkilöautot_fx!$Q$23,Henkilöautot_fx!$R$23,IF(B54=Henkilöautot_fx!$Q$24,Henkilöautot_fx!$R$24,0))),0))))</f>
        <v>0</v>
      </c>
      <c r="H54">
        <f>IF(E54=Henkilöautot_fx!$J$20,IF(B54=Henkilöautot_fx!$Q$25,Henkilöautot_fx!$R$25,IF(B54=Henkilöautot_fx!$Q$26,Henkilöautot_fx!$R$26,IF(B54=Henkilöautot_fx!$Q$27,Henkilöautot_fx!$R$27,IF(B54=Henkilöautot_fx!$Q$28,Henkilöautot_fx!$R$28,IF(B54=Henkilöautot_fx!$Q$29,Henkilöautot_fx!$R$29,0))))),IF(E54=Henkilöautot_fx!$J$21,Henkilöautot_fx!$R$30,IF(E54=Henkilöautot_fx!$J$22,IF(B54=Henkilöautot_fx!$Q$31,Henkilöautot_fx!$R$31,IF(B54=Henkilöautot_fx!$Q$32,Henkilöautot_fx!$R$32,IF(B54=Henkilöautot_fx!$Q$33,Henkilöautot_fx!$R$33,IF(B54=Henkilöautot_fx!$Q$34,Henkilöautot_fx!$R$34,0)))),0)))</f>
        <v>0</v>
      </c>
      <c r="I54">
        <f t="shared" si="1"/>
        <v>0</v>
      </c>
      <c r="L54">
        <f>Henkilöautot!H56</f>
        <v>0</v>
      </c>
      <c r="M54">
        <f>Henkilöautot!I56</f>
        <v>0</v>
      </c>
      <c r="N54">
        <f>Henkilöautot!J56</f>
        <v>0</v>
      </c>
      <c r="P54">
        <f>IF(L54=Henkilöautot_fx!$O$35,Henkilöautot_fx!$R$35,IF(L54=Henkilöautot_fx!$O$36,Henkilöautot_fx!$R$36,IF(L54=Henkilöautot_fx!$O$37,Henkilöautot_fx!$R$37,IF(L54=Henkilöautot_fx!$O$38,Henkilöautot_fx!$R$38,IF(L54=Henkilöautot_fx!$O$39,Henkilöautot_fx!$R$39,IF(L54=Henkilöautot_fx!$O$40,Henkilöautot_fx!$R$40,IF(L54=Henkilöautot_fx!$N$41,Henkilöautot_fx!$R$41,0)))))))</f>
        <v>0</v>
      </c>
      <c r="Q54">
        <f t="shared" si="2"/>
        <v>0</v>
      </c>
    </row>
    <row r="55" spans="1:17" x14ac:dyDescent="0.25">
      <c r="A55">
        <f>Henkilöautot!A57</f>
        <v>0</v>
      </c>
      <c r="B55">
        <f>Henkilöautot!B57</f>
        <v>0</v>
      </c>
      <c r="C55">
        <f>Henkilöautot!C57</f>
        <v>0</v>
      </c>
      <c r="D55">
        <f>Henkilöautot!D57</f>
        <v>0</v>
      </c>
      <c r="E55">
        <f>Henkilöautot!E57</f>
        <v>0</v>
      </c>
      <c r="G55">
        <f>IF(E55=Henkilöautot_fx!$J$16,IF(B55=Henkilöautot_fx!$Q$7,Henkilöautot_fx!$R$7,IF(B55=Henkilöautot_fx!$Q$8,Henkilöautot_fx!$R$8,IF(B55=Henkilöautot_fx!$Q$9,Henkilöautot_fx!$R$9,IF(B55=Henkilöautot_fx!$Q$10,Henkilöautot_fx!$R$10,IF(B55=Henkilöautot_fx!$Q$11,Henkilöautot_fx!$R$11,IF(B55=Henkilöautot_fx!$Q$12,Henkilöautot_fx!$R$12,IF(B55=Henkilöautot_fx!$Q$13,Henkilöautot_fx!$R$13,0))))))),IF(E55=Henkilöautot_fx!$J$17,IF(B55=Henkilöautot_fx!$Q$14,Henkilöautot_fx!$R$14,IF(B55=Henkilöautot_fx!$Q$15,Henkilöautot_fx!$R$15,IF(B55=Henkilöautot_fx!$Q$16,Henkilöautot_fx!$R$16,IF(B55=Henkilöautot_fx!$Q$17,Henkilöautot_fx!$R$17,IF(B55=Henkilöautot_fx!$Q$18,Henkilöautot_fx!$R$18,IF(B55=Henkilöautot_fx!$Q$19,Henkilöautot_fx!$R$19,IF(B55=Henkilöautot_fx!$Q$20,Henkilöautot_fx!$R$20,0))))))),IF(E55=Henkilöautot_fx!$J$18,Henkilöautot_fx!$R$21,IF(E55=Henkilöautot_fx!$J$19,IF(B55=Henkilöautot_fx!$Q$22,Henkilöautot_fx!$R$22,IF(B55=Henkilöautot_fx!$Q$23,Henkilöautot_fx!$R$23,IF(B55=Henkilöautot_fx!$Q$24,Henkilöautot_fx!$R$24,0))),0))))</f>
        <v>0</v>
      </c>
      <c r="H55">
        <f>IF(E55=Henkilöautot_fx!$J$20,IF(B55=Henkilöautot_fx!$Q$25,Henkilöautot_fx!$R$25,IF(B55=Henkilöautot_fx!$Q$26,Henkilöautot_fx!$R$26,IF(B55=Henkilöautot_fx!$Q$27,Henkilöautot_fx!$R$27,IF(B55=Henkilöautot_fx!$Q$28,Henkilöautot_fx!$R$28,IF(B55=Henkilöautot_fx!$Q$29,Henkilöautot_fx!$R$29,0))))),IF(E55=Henkilöautot_fx!$J$21,Henkilöautot_fx!$R$30,IF(E55=Henkilöautot_fx!$J$22,IF(B55=Henkilöautot_fx!$Q$31,Henkilöautot_fx!$R$31,IF(B55=Henkilöautot_fx!$Q$32,Henkilöautot_fx!$R$32,IF(B55=Henkilöautot_fx!$Q$33,Henkilöautot_fx!$R$33,IF(B55=Henkilöautot_fx!$Q$34,Henkilöautot_fx!$R$34,0)))),0)))</f>
        <v>0</v>
      </c>
      <c r="I55">
        <f t="shared" si="1"/>
        <v>0</v>
      </c>
      <c r="L55">
        <f>Henkilöautot!H57</f>
        <v>0</v>
      </c>
      <c r="M55">
        <f>Henkilöautot!I57</f>
        <v>0</v>
      </c>
      <c r="N55">
        <f>Henkilöautot!J57</f>
        <v>0</v>
      </c>
      <c r="P55">
        <f>IF(L55=Henkilöautot_fx!$O$35,Henkilöautot_fx!$R$35,IF(L55=Henkilöautot_fx!$O$36,Henkilöautot_fx!$R$36,IF(L55=Henkilöautot_fx!$O$37,Henkilöautot_fx!$R$37,IF(L55=Henkilöautot_fx!$O$38,Henkilöautot_fx!$R$38,IF(L55=Henkilöautot_fx!$O$39,Henkilöautot_fx!$R$39,IF(L55=Henkilöautot_fx!$O$40,Henkilöautot_fx!$R$40,IF(L55=Henkilöautot_fx!$N$41,Henkilöautot_fx!$R$41,0)))))))</f>
        <v>0</v>
      </c>
      <c r="Q55">
        <f t="shared" si="2"/>
        <v>0</v>
      </c>
    </row>
    <row r="56" spans="1:17" x14ac:dyDescent="0.25">
      <c r="A56">
        <f>Henkilöautot!A58</f>
        <v>0</v>
      </c>
      <c r="B56">
        <f>Henkilöautot!B58</f>
        <v>0</v>
      </c>
      <c r="C56">
        <f>Henkilöautot!C58</f>
        <v>0</v>
      </c>
      <c r="D56">
        <f>Henkilöautot!D58</f>
        <v>0</v>
      </c>
      <c r="E56">
        <f>Henkilöautot!E58</f>
        <v>0</v>
      </c>
      <c r="G56">
        <f>IF(E56=Henkilöautot_fx!$J$16,IF(B56=Henkilöautot_fx!$Q$7,Henkilöautot_fx!$R$7,IF(B56=Henkilöautot_fx!$Q$8,Henkilöautot_fx!$R$8,IF(B56=Henkilöautot_fx!$Q$9,Henkilöautot_fx!$R$9,IF(B56=Henkilöautot_fx!$Q$10,Henkilöautot_fx!$R$10,IF(B56=Henkilöautot_fx!$Q$11,Henkilöautot_fx!$R$11,IF(B56=Henkilöautot_fx!$Q$12,Henkilöautot_fx!$R$12,IF(B56=Henkilöautot_fx!$Q$13,Henkilöautot_fx!$R$13,0))))))),IF(E56=Henkilöautot_fx!$J$17,IF(B56=Henkilöautot_fx!$Q$14,Henkilöautot_fx!$R$14,IF(B56=Henkilöautot_fx!$Q$15,Henkilöautot_fx!$R$15,IF(B56=Henkilöautot_fx!$Q$16,Henkilöautot_fx!$R$16,IF(B56=Henkilöautot_fx!$Q$17,Henkilöautot_fx!$R$17,IF(B56=Henkilöautot_fx!$Q$18,Henkilöautot_fx!$R$18,IF(B56=Henkilöautot_fx!$Q$19,Henkilöautot_fx!$R$19,IF(B56=Henkilöautot_fx!$Q$20,Henkilöautot_fx!$R$20,0))))))),IF(E56=Henkilöautot_fx!$J$18,Henkilöautot_fx!$R$21,IF(E56=Henkilöautot_fx!$J$19,IF(B56=Henkilöautot_fx!$Q$22,Henkilöautot_fx!$R$22,IF(B56=Henkilöautot_fx!$Q$23,Henkilöautot_fx!$R$23,IF(B56=Henkilöautot_fx!$Q$24,Henkilöautot_fx!$R$24,0))),0))))</f>
        <v>0</v>
      </c>
      <c r="H56">
        <f>IF(E56=Henkilöautot_fx!$J$20,IF(B56=Henkilöautot_fx!$Q$25,Henkilöautot_fx!$R$25,IF(B56=Henkilöautot_fx!$Q$26,Henkilöautot_fx!$R$26,IF(B56=Henkilöautot_fx!$Q$27,Henkilöautot_fx!$R$27,IF(B56=Henkilöautot_fx!$Q$28,Henkilöautot_fx!$R$28,IF(B56=Henkilöautot_fx!$Q$29,Henkilöautot_fx!$R$29,0))))),IF(E56=Henkilöautot_fx!$J$21,Henkilöautot_fx!$R$30,IF(E56=Henkilöautot_fx!$J$22,IF(B56=Henkilöautot_fx!$Q$31,Henkilöautot_fx!$R$31,IF(B56=Henkilöautot_fx!$Q$32,Henkilöautot_fx!$R$32,IF(B56=Henkilöautot_fx!$Q$33,Henkilöautot_fx!$R$33,IF(B56=Henkilöautot_fx!$Q$34,Henkilöautot_fx!$R$34,0)))),0)))</f>
        <v>0</v>
      </c>
      <c r="I56">
        <f t="shared" si="1"/>
        <v>0</v>
      </c>
      <c r="L56">
        <f>Henkilöautot!H58</f>
        <v>0</v>
      </c>
      <c r="M56">
        <f>Henkilöautot!I58</f>
        <v>0</v>
      </c>
      <c r="N56">
        <f>Henkilöautot!J58</f>
        <v>0</v>
      </c>
      <c r="P56">
        <f>IF(L56=Henkilöautot_fx!$O$35,Henkilöautot_fx!$R$35,IF(L56=Henkilöautot_fx!$O$36,Henkilöautot_fx!$R$36,IF(L56=Henkilöautot_fx!$O$37,Henkilöautot_fx!$R$37,IF(L56=Henkilöautot_fx!$O$38,Henkilöautot_fx!$R$38,IF(L56=Henkilöautot_fx!$O$39,Henkilöautot_fx!$R$39,IF(L56=Henkilöautot_fx!$O$40,Henkilöautot_fx!$R$40,IF(L56=Henkilöautot_fx!$N$41,Henkilöautot_fx!$R$41,0)))))))</f>
        <v>0</v>
      </c>
      <c r="Q56">
        <f t="shared" si="2"/>
        <v>0</v>
      </c>
    </row>
    <row r="57" spans="1:17" x14ac:dyDescent="0.25">
      <c r="A57">
        <f>Henkilöautot!A59</f>
        <v>0</v>
      </c>
      <c r="B57">
        <f>Henkilöautot!B59</f>
        <v>0</v>
      </c>
      <c r="C57">
        <f>Henkilöautot!C59</f>
        <v>0</v>
      </c>
      <c r="D57">
        <f>Henkilöautot!D59</f>
        <v>0</v>
      </c>
      <c r="E57">
        <f>Henkilöautot!E59</f>
        <v>0</v>
      </c>
      <c r="G57">
        <f>IF(E57=Henkilöautot_fx!$J$16,IF(B57=Henkilöautot_fx!$Q$7,Henkilöautot_fx!$R$7,IF(B57=Henkilöautot_fx!$Q$8,Henkilöautot_fx!$R$8,IF(B57=Henkilöautot_fx!$Q$9,Henkilöautot_fx!$R$9,IF(B57=Henkilöautot_fx!$Q$10,Henkilöautot_fx!$R$10,IF(B57=Henkilöautot_fx!$Q$11,Henkilöautot_fx!$R$11,IF(B57=Henkilöautot_fx!$Q$12,Henkilöautot_fx!$R$12,IF(B57=Henkilöautot_fx!$Q$13,Henkilöautot_fx!$R$13,0))))))),IF(E57=Henkilöautot_fx!$J$17,IF(B57=Henkilöautot_fx!$Q$14,Henkilöautot_fx!$R$14,IF(B57=Henkilöautot_fx!$Q$15,Henkilöautot_fx!$R$15,IF(B57=Henkilöautot_fx!$Q$16,Henkilöautot_fx!$R$16,IF(B57=Henkilöautot_fx!$Q$17,Henkilöautot_fx!$R$17,IF(B57=Henkilöautot_fx!$Q$18,Henkilöautot_fx!$R$18,IF(B57=Henkilöautot_fx!$Q$19,Henkilöautot_fx!$R$19,IF(B57=Henkilöautot_fx!$Q$20,Henkilöautot_fx!$R$20,0))))))),IF(E57=Henkilöautot_fx!$J$18,Henkilöautot_fx!$R$21,IF(E57=Henkilöautot_fx!$J$19,IF(B57=Henkilöautot_fx!$Q$22,Henkilöautot_fx!$R$22,IF(B57=Henkilöautot_fx!$Q$23,Henkilöautot_fx!$R$23,IF(B57=Henkilöautot_fx!$Q$24,Henkilöautot_fx!$R$24,0))),0))))</f>
        <v>0</v>
      </c>
      <c r="H57">
        <f>IF(E57=Henkilöautot_fx!$J$20,IF(B57=Henkilöautot_fx!$Q$25,Henkilöautot_fx!$R$25,IF(B57=Henkilöautot_fx!$Q$26,Henkilöautot_fx!$R$26,IF(B57=Henkilöautot_fx!$Q$27,Henkilöautot_fx!$R$27,IF(B57=Henkilöautot_fx!$Q$28,Henkilöautot_fx!$R$28,IF(B57=Henkilöautot_fx!$Q$29,Henkilöautot_fx!$R$29,0))))),IF(E57=Henkilöautot_fx!$J$21,Henkilöautot_fx!$R$30,IF(E57=Henkilöautot_fx!$J$22,IF(B57=Henkilöautot_fx!$Q$31,Henkilöautot_fx!$R$31,IF(B57=Henkilöautot_fx!$Q$32,Henkilöautot_fx!$R$32,IF(B57=Henkilöautot_fx!$Q$33,Henkilöautot_fx!$R$33,IF(B57=Henkilöautot_fx!$Q$34,Henkilöautot_fx!$R$34,0)))),0)))</f>
        <v>0</v>
      </c>
      <c r="I57">
        <f t="shared" si="1"/>
        <v>0</v>
      </c>
      <c r="L57">
        <f>Henkilöautot!H59</f>
        <v>0</v>
      </c>
      <c r="M57">
        <f>Henkilöautot!I59</f>
        <v>0</v>
      </c>
      <c r="N57">
        <f>Henkilöautot!J59</f>
        <v>0</v>
      </c>
      <c r="P57">
        <f>IF(L57=Henkilöautot_fx!$O$35,Henkilöautot_fx!$R$35,IF(L57=Henkilöautot_fx!$O$36,Henkilöautot_fx!$R$36,IF(L57=Henkilöautot_fx!$O$37,Henkilöautot_fx!$R$37,IF(L57=Henkilöautot_fx!$O$38,Henkilöautot_fx!$R$38,IF(L57=Henkilöautot_fx!$O$39,Henkilöautot_fx!$R$39,IF(L57=Henkilöautot_fx!$O$40,Henkilöautot_fx!$R$40,IF(L57=Henkilöautot_fx!$N$41,Henkilöautot_fx!$R$41,0)))))))</f>
        <v>0</v>
      </c>
      <c r="Q57">
        <f t="shared" si="2"/>
        <v>0</v>
      </c>
    </row>
    <row r="58" spans="1:17" x14ac:dyDescent="0.25">
      <c r="A58">
        <f>Henkilöautot!A60</f>
        <v>0</v>
      </c>
      <c r="B58">
        <f>Henkilöautot!B60</f>
        <v>0</v>
      </c>
      <c r="C58">
        <f>Henkilöautot!C60</f>
        <v>0</v>
      </c>
      <c r="D58">
        <f>Henkilöautot!D60</f>
        <v>0</v>
      </c>
      <c r="E58">
        <f>Henkilöautot!E60</f>
        <v>0</v>
      </c>
      <c r="G58">
        <f>IF(E58=Henkilöautot_fx!$J$16,IF(B58=Henkilöautot_fx!$Q$7,Henkilöautot_fx!$R$7,IF(B58=Henkilöautot_fx!$Q$8,Henkilöautot_fx!$R$8,IF(B58=Henkilöautot_fx!$Q$9,Henkilöautot_fx!$R$9,IF(B58=Henkilöautot_fx!$Q$10,Henkilöautot_fx!$R$10,IF(B58=Henkilöautot_fx!$Q$11,Henkilöautot_fx!$R$11,IF(B58=Henkilöautot_fx!$Q$12,Henkilöautot_fx!$R$12,IF(B58=Henkilöautot_fx!$Q$13,Henkilöautot_fx!$R$13,0))))))),IF(E58=Henkilöautot_fx!$J$17,IF(B58=Henkilöautot_fx!$Q$14,Henkilöautot_fx!$R$14,IF(B58=Henkilöautot_fx!$Q$15,Henkilöautot_fx!$R$15,IF(B58=Henkilöautot_fx!$Q$16,Henkilöautot_fx!$R$16,IF(B58=Henkilöautot_fx!$Q$17,Henkilöautot_fx!$R$17,IF(B58=Henkilöautot_fx!$Q$18,Henkilöautot_fx!$R$18,IF(B58=Henkilöautot_fx!$Q$19,Henkilöautot_fx!$R$19,IF(B58=Henkilöautot_fx!$Q$20,Henkilöautot_fx!$R$20,0))))))),IF(E58=Henkilöautot_fx!$J$18,Henkilöautot_fx!$R$21,IF(E58=Henkilöautot_fx!$J$19,IF(B58=Henkilöautot_fx!$Q$22,Henkilöautot_fx!$R$22,IF(B58=Henkilöautot_fx!$Q$23,Henkilöautot_fx!$R$23,IF(B58=Henkilöautot_fx!$Q$24,Henkilöautot_fx!$R$24,0))),0))))</f>
        <v>0</v>
      </c>
      <c r="H58">
        <f>IF(E58=Henkilöautot_fx!$J$20,IF(B58=Henkilöautot_fx!$Q$25,Henkilöautot_fx!$R$25,IF(B58=Henkilöautot_fx!$Q$26,Henkilöautot_fx!$R$26,IF(B58=Henkilöautot_fx!$Q$27,Henkilöautot_fx!$R$27,IF(B58=Henkilöautot_fx!$Q$28,Henkilöautot_fx!$R$28,IF(B58=Henkilöautot_fx!$Q$29,Henkilöautot_fx!$R$29,0))))),IF(E58=Henkilöautot_fx!$J$21,Henkilöautot_fx!$R$30,IF(E58=Henkilöautot_fx!$J$22,IF(B58=Henkilöautot_fx!$Q$31,Henkilöautot_fx!$R$31,IF(B58=Henkilöautot_fx!$Q$32,Henkilöautot_fx!$R$32,IF(B58=Henkilöautot_fx!$Q$33,Henkilöautot_fx!$R$33,IF(B58=Henkilöautot_fx!$Q$34,Henkilöautot_fx!$R$34,0)))),0)))</f>
        <v>0</v>
      </c>
      <c r="I58">
        <f t="shared" si="1"/>
        <v>0</v>
      </c>
      <c r="L58">
        <f>Henkilöautot!H60</f>
        <v>0</v>
      </c>
      <c r="M58">
        <f>Henkilöautot!I60</f>
        <v>0</v>
      </c>
      <c r="N58">
        <f>Henkilöautot!J60</f>
        <v>0</v>
      </c>
      <c r="P58">
        <f>IF(L58=Henkilöautot_fx!$O$35,Henkilöautot_fx!$R$35,IF(L58=Henkilöautot_fx!$O$36,Henkilöautot_fx!$R$36,IF(L58=Henkilöautot_fx!$O$37,Henkilöautot_fx!$R$37,IF(L58=Henkilöautot_fx!$O$38,Henkilöautot_fx!$R$38,IF(L58=Henkilöautot_fx!$O$39,Henkilöautot_fx!$R$39,IF(L58=Henkilöautot_fx!$O$40,Henkilöautot_fx!$R$40,IF(L58=Henkilöautot_fx!$N$41,Henkilöautot_fx!$R$41,0)))))))</f>
        <v>0</v>
      </c>
      <c r="Q58">
        <f t="shared" si="2"/>
        <v>0</v>
      </c>
    </row>
    <row r="59" spans="1:17" x14ac:dyDescent="0.25">
      <c r="A59">
        <f>Henkilöautot!A61</f>
        <v>0</v>
      </c>
      <c r="B59">
        <f>Henkilöautot!B61</f>
        <v>0</v>
      </c>
      <c r="C59">
        <f>Henkilöautot!C61</f>
        <v>0</v>
      </c>
      <c r="D59">
        <f>Henkilöautot!D61</f>
        <v>0</v>
      </c>
      <c r="E59">
        <f>Henkilöautot!E61</f>
        <v>0</v>
      </c>
      <c r="G59">
        <f>IF(E59=Henkilöautot_fx!$J$16,IF(B59=Henkilöautot_fx!$Q$7,Henkilöautot_fx!$R$7,IF(B59=Henkilöautot_fx!$Q$8,Henkilöautot_fx!$R$8,IF(B59=Henkilöautot_fx!$Q$9,Henkilöautot_fx!$R$9,IF(B59=Henkilöautot_fx!$Q$10,Henkilöautot_fx!$R$10,IF(B59=Henkilöautot_fx!$Q$11,Henkilöautot_fx!$R$11,IF(B59=Henkilöautot_fx!$Q$12,Henkilöautot_fx!$R$12,IF(B59=Henkilöautot_fx!$Q$13,Henkilöautot_fx!$R$13,0))))))),IF(E59=Henkilöautot_fx!$J$17,IF(B59=Henkilöautot_fx!$Q$14,Henkilöautot_fx!$R$14,IF(B59=Henkilöautot_fx!$Q$15,Henkilöautot_fx!$R$15,IF(B59=Henkilöautot_fx!$Q$16,Henkilöautot_fx!$R$16,IF(B59=Henkilöautot_fx!$Q$17,Henkilöautot_fx!$R$17,IF(B59=Henkilöautot_fx!$Q$18,Henkilöautot_fx!$R$18,IF(B59=Henkilöautot_fx!$Q$19,Henkilöautot_fx!$R$19,IF(B59=Henkilöautot_fx!$Q$20,Henkilöautot_fx!$R$20,0))))))),IF(E59=Henkilöautot_fx!$J$18,Henkilöautot_fx!$R$21,IF(E59=Henkilöautot_fx!$J$19,IF(B59=Henkilöautot_fx!$Q$22,Henkilöautot_fx!$R$22,IF(B59=Henkilöautot_fx!$Q$23,Henkilöautot_fx!$R$23,IF(B59=Henkilöautot_fx!$Q$24,Henkilöautot_fx!$R$24,0))),0))))</f>
        <v>0</v>
      </c>
      <c r="H59">
        <f>IF(E59=Henkilöautot_fx!$J$20,IF(B59=Henkilöautot_fx!$Q$25,Henkilöautot_fx!$R$25,IF(B59=Henkilöautot_fx!$Q$26,Henkilöautot_fx!$R$26,IF(B59=Henkilöautot_fx!$Q$27,Henkilöautot_fx!$R$27,IF(B59=Henkilöautot_fx!$Q$28,Henkilöautot_fx!$R$28,IF(B59=Henkilöautot_fx!$Q$29,Henkilöautot_fx!$R$29,0))))),IF(E59=Henkilöautot_fx!$J$21,Henkilöautot_fx!$R$30,IF(E59=Henkilöautot_fx!$J$22,IF(B59=Henkilöautot_fx!$Q$31,Henkilöautot_fx!$R$31,IF(B59=Henkilöautot_fx!$Q$32,Henkilöautot_fx!$R$32,IF(B59=Henkilöautot_fx!$Q$33,Henkilöautot_fx!$R$33,IF(B59=Henkilöautot_fx!$Q$34,Henkilöautot_fx!$R$34,0)))),0)))</f>
        <v>0</v>
      </c>
      <c r="I59">
        <f t="shared" si="1"/>
        <v>0</v>
      </c>
      <c r="L59">
        <f>Henkilöautot!H61</f>
        <v>0</v>
      </c>
      <c r="M59">
        <f>Henkilöautot!I61</f>
        <v>0</v>
      </c>
      <c r="N59">
        <f>Henkilöautot!J61</f>
        <v>0</v>
      </c>
      <c r="P59">
        <f>IF(L59=Henkilöautot_fx!$O$35,Henkilöautot_fx!$R$35,IF(L59=Henkilöautot_fx!$O$36,Henkilöautot_fx!$R$36,IF(L59=Henkilöautot_fx!$O$37,Henkilöautot_fx!$R$37,IF(L59=Henkilöautot_fx!$O$38,Henkilöautot_fx!$R$38,IF(L59=Henkilöautot_fx!$O$39,Henkilöautot_fx!$R$39,IF(L59=Henkilöautot_fx!$O$40,Henkilöautot_fx!$R$40,IF(L59=Henkilöautot_fx!$N$41,Henkilöautot_fx!$R$41,0)))))))</f>
        <v>0</v>
      </c>
      <c r="Q59">
        <f t="shared" si="2"/>
        <v>0</v>
      </c>
    </row>
    <row r="60" spans="1:17" x14ac:dyDescent="0.25">
      <c r="A60">
        <f>Henkilöautot!A62</f>
        <v>0</v>
      </c>
      <c r="B60">
        <f>Henkilöautot!B62</f>
        <v>0</v>
      </c>
      <c r="C60">
        <f>Henkilöautot!C62</f>
        <v>0</v>
      </c>
      <c r="D60">
        <f>Henkilöautot!D62</f>
        <v>0</v>
      </c>
      <c r="E60">
        <f>Henkilöautot!E62</f>
        <v>0</v>
      </c>
      <c r="G60">
        <f>IF(E60=Henkilöautot_fx!$J$16,IF(B60=Henkilöautot_fx!$Q$7,Henkilöautot_fx!$R$7,IF(B60=Henkilöautot_fx!$Q$8,Henkilöautot_fx!$R$8,IF(B60=Henkilöautot_fx!$Q$9,Henkilöautot_fx!$R$9,IF(B60=Henkilöautot_fx!$Q$10,Henkilöautot_fx!$R$10,IF(B60=Henkilöautot_fx!$Q$11,Henkilöautot_fx!$R$11,IF(B60=Henkilöautot_fx!$Q$12,Henkilöautot_fx!$R$12,IF(B60=Henkilöautot_fx!$Q$13,Henkilöautot_fx!$R$13,0))))))),IF(E60=Henkilöautot_fx!$J$17,IF(B60=Henkilöautot_fx!$Q$14,Henkilöautot_fx!$R$14,IF(B60=Henkilöautot_fx!$Q$15,Henkilöautot_fx!$R$15,IF(B60=Henkilöautot_fx!$Q$16,Henkilöautot_fx!$R$16,IF(B60=Henkilöautot_fx!$Q$17,Henkilöautot_fx!$R$17,IF(B60=Henkilöautot_fx!$Q$18,Henkilöautot_fx!$R$18,IF(B60=Henkilöautot_fx!$Q$19,Henkilöautot_fx!$R$19,IF(B60=Henkilöautot_fx!$Q$20,Henkilöautot_fx!$R$20,0))))))),IF(E60=Henkilöautot_fx!$J$18,Henkilöautot_fx!$R$21,IF(E60=Henkilöautot_fx!$J$19,IF(B60=Henkilöautot_fx!$Q$22,Henkilöautot_fx!$R$22,IF(B60=Henkilöautot_fx!$Q$23,Henkilöautot_fx!$R$23,IF(B60=Henkilöautot_fx!$Q$24,Henkilöautot_fx!$R$24,0))),0))))</f>
        <v>0</v>
      </c>
      <c r="H60">
        <f>IF(E60=Henkilöautot_fx!$J$20,IF(B60=Henkilöautot_fx!$Q$25,Henkilöautot_fx!$R$25,IF(B60=Henkilöautot_fx!$Q$26,Henkilöautot_fx!$R$26,IF(B60=Henkilöautot_fx!$Q$27,Henkilöautot_fx!$R$27,IF(B60=Henkilöautot_fx!$Q$28,Henkilöautot_fx!$R$28,IF(B60=Henkilöautot_fx!$Q$29,Henkilöautot_fx!$R$29,0))))),IF(E60=Henkilöautot_fx!$J$21,Henkilöautot_fx!$R$30,IF(E60=Henkilöautot_fx!$J$22,IF(B60=Henkilöautot_fx!$Q$31,Henkilöautot_fx!$R$31,IF(B60=Henkilöautot_fx!$Q$32,Henkilöautot_fx!$R$32,IF(B60=Henkilöautot_fx!$Q$33,Henkilöautot_fx!$R$33,IF(B60=Henkilöautot_fx!$Q$34,Henkilöautot_fx!$R$34,0)))),0)))</f>
        <v>0</v>
      </c>
      <c r="I60">
        <f t="shared" si="1"/>
        <v>0</v>
      </c>
      <c r="L60">
        <f>Henkilöautot!H62</f>
        <v>0</v>
      </c>
      <c r="M60">
        <f>Henkilöautot!I62</f>
        <v>0</v>
      </c>
      <c r="N60">
        <f>Henkilöautot!J62</f>
        <v>0</v>
      </c>
      <c r="P60">
        <f>IF(L60=Henkilöautot_fx!$O$35,Henkilöautot_fx!$R$35,IF(L60=Henkilöautot_fx!$O$36,Henkilöautot_fx!$R$36,IF(L60=Henkilöautot_fx!$O$37,Henkilöautot_fx!$R$37,IF(L60=Henkilöautot_fx!$O$38,Henkilöautot_fx!$R$38,IF(L60=Henkilöautot_fx!$O$39,Henkilöautot_fx!$R$39,IF(L60=Henkilöautot_fx!$O$40,Henkilöautot_fx!$R$40,IF(L60=Henkilöautot_fx!$N$41,Henkilöautot_fx!$R$41,0)))))))</f>
        <v>0</v>
      </c>
      <c r="Q60">
        <f t="shared" si="2"/>
        <v>0</v>
      </c>
    </row>
    <row r="61" spans="1:17" x14ac:dyDescent="0.25">
      <c r="A61">
        <f>Henkilöautot!A63</f>
        <v>0</v>
      </c>
      <c r="B61">
        <f>Henkilöautot!B63</f>
        <v>0</v>
      </c>
      <c r="C61">
        <f>Henkilöautot!C63</f>
        <v>0</v>
      </c>
      <c r="D61">
        <f>Henkilöautot!D63</f>
        <v>0</v>
      </c>
      <c r="E61">
        <f>Henkilöautot!E63</f>
        <v>0</v>
      </c>
      <c r="G61">
        <f>IF(E61=Henkilöautot_fx!$J$16,IF(B61=Henkilöautot_fx!$Q$7,Henkilöautot_fx!$R$7,IF(B61=Henkilöautot_fx!$Q$8,Henkilöautot_fx!$R$8,IF(B61=Henkilöautot_fx!$Q$9,Henkilöautot_fx!$R$9,IF(B61=Henkilöautot_fx!$Q$10,Henkilöautot_fx!$R$10,IF(B61=Henkilöautot_fx!$Q$11,Henkilöautot_fx!$R$11,IF(B61=Henkilöautot_fx!$Q$12,Henkilöautot_fx!$R$12,IF(B61=Henkilöautot_fx!$Q$13,Henkilöautot_fx!$R$13,0))))))),IF(E61=Henkilöautot_fx!$J$17,IF(B61=Henkilöautot_fx!$Q$14,Henkilöautot_fx!$R$14,IF(B61=Henkilöautot_fx!$Q$15,Henkilöautot_fx!$R$15,IF(B61=Henkilöautot_fx!$Q$16,Henkilöautot_fx!$R$16,IF(B61=Henkilöautot_fx!$Q$17,Henkilöautot_fx!$R$17,IF(B61=Henkilöautot_fx!$Q$18,Henkilöautot_fx!$R$18,IF(B61=Henkilöautot_fx!$Q$19,Henkilöautot_fx!$R$19,IF(B61=Henkilöautot_fx!$Q$20,Henkilöautot_fx!$R$20,0))))))),IF(E61=Henkilöautot_fx!$J$18,Henkilöautot_fx!$R$21,IF(E61=Henkilöautot_fx!$J$19,IF(B61=Henkilöautot_fx!$Q$22,Henkilöautot_fx!$R$22,IF(B61=Henkilöautot_fx!$Q$23,Henkilöautot_fx!$R$23,IF(B61=Henkilöautot_fx!$Q$24,Henkilöautot_fx!$R$24,0))),0))))</f>
        <v>0</v>
      </c>
      <c r="H61">
        <f>IF(E61=Henkilöautot_fx!$J$20,IF(B61=Henkilöautot_fx!$Q$25,Henkilöautot_fx!$R$25,IF(B61=Henkilöautot_fx!$Q$26,Henkilöautot_fx!$R$26,IF(B61=Henkilöautot_fx!$Q$27,Henkilöautot_fx!$R$27,IF(B61=Henkilöautot_fx!$Q$28,Henkilöautot_fx!$R$28,IF(B61=Henkilöautot_fx!$Q$29,Henkilöautot_fx!$R$29,0))))),IF(E61=Henkilöautot_fx!$J$21,Henkilöautot_fx!$R$30,IF(E61=Henkilöautot_fx!$J$22,IF(B61=Henkilöautot_fx!$Q$31,Henkilöautot_fx!$R$31,IF(B61=Henkilöautot_fx!$Q$32,Henkilöautot_fx!$R$32,IF(B61=Henkilöautot_fx!$Q$33,Henkilöautot_fx!$R$33,IF(B61=Henkilöautot_fx!$Q$34,Henkilöautot_fx!$R$34,0)))),0)))</f>
        <v>0</v>
      </c>
      <c r="I61">
        <f t="shared" si="1"/>
        <v>0</v>
      </c>
      <c r="L61">
        <f>Henkilöautot!H63</f>
        <v>0</v>
      </c>
      <c r="M61">
        <f>Henkilöautot!I63</f>
        <v>0</v>
      </c>
      <c r="N61">
        <f>Henkilöautot!J63</f>
        <v>0</v>
      </c>
      <c r="P61">
        <f>IF(L61=Henkilöautot_fx!$O$35,Henkilöautot_fx!$R$35,IF(L61=Henkilöautot_fx!$O$36,Henkilöautot_fx!$R$36,IF(L61=Henkilöautot_fx!$O$37,Henkilöautot_fx!$R$37,IF(L61=Henkilöautot_fx!$O$38,Henkilöautot_fx!$R$38,IF(L61=Henkilöautot_fx!$O$39,Henkilöautot_fx!$R$39,IF(L61=Henkilöautot_fx!$O$40,Henkilöautot_fx!$R$40,IF(L61=Henkilöautot_fx!$N$41,Henkilöautot_fx!$R$41,0)))))))</f>
        <v>0</v>
      </c>
      <c r="Q61">
        <f t="shared" si="2"/>
        <v>0</v>
      </c>
    </row>
    <row r="62" spans="1:17" x14ac:dyDescent="0.25">
      <c r="A62">
        <f>Henkilöautot!A64</f>
        <v>0</v>
      </c>
      <c r="B62">
        <f>Henkilöautot!B64</f>
        <v>0</v>
      </c>
      <c r="C62">
        <f>Henkilöautot!C64</f>
        <v>0</v>
      </c>
      <c r="D62">
        <f>Henkilöautot!D64</f>
        <v>0</v>
      </c>
      <c r="E62">
        <f>Henkilöautot!E64</f>
        <v>0</v>
      </c>
      <c r="G62">
        <f>IF(E62=Henkilöautot_fx!$J$16,IF(B62=Henkilöautot_fx!$Q$7,Henkilöautot_fx!$R$7,IF(B62=Henkilöautot_fx!$Q$8,Henkilöautot_fx!$R$8,IF(B62=Henkilöautot_fx!$Q$9,Henkilöautot_fx!$R$9,IF(B62=Henkilöautot_fx!$Q$10,Henkilöautot_fx!$R$10,IF(B62=Henkilöautot_fx!$Q$11,Henkilöautot_fx!$R$11,IF(B62=Henkilöautot_fx!$Q$12,Henkilöautot_fx!$R$12,IF(B62=Henkilöautot_fx!$Q$13,Henkilöautot_fx!$R$13,0))))))),IF(E62=Henkilöautot_fx!$J$17,IF(B62=Henkilöautot_fx!$Q$14,Henkilöautot_fx!$R$14,IF(B62=Henkilöautot_fx!$Q$15,Henkilöautot_fx!$R$15,IF(B62=Henkilöautot_fx!$Q$16,Henkilöautot_fx!$R$16,IF(B62=Henkilöautot_fx!$Q$17,Henkilöautot_fx!$R$17,IF(B62=Henkilöautot_fx!$Q$18,Henkilöautot_fx!$R$18,IF(B62=Henkilöautot_fx!$Q$19,Henkilöautot_fx!$R$19,IF(B62=Henkilöautot_fx!$Q$20,Henkilöautot_fx!$R$20,0))))))),IF(E62=Henkilöautot_fx!$J$18,Henkilöautot_fx!$R$21,IF(E62=Henkilöautot_fx!$J$19,IF(B62=Henkilöautot_fx!$Q$22,Henkilöautot_fx!$R$22,IF(B62=Henkilöautot_fx!$Q$23,Henkilöautot_fx!$R$23,IF(B62=Henkilöautot_fx!$Q$24,Henkilöautot_fx!$R$24,0))),0))))</f>
        <v>0</v>
      </c>
      <c r="H62">
        <f>IF(E62=Henkilöautot_fx!$J$20,IF(B62=Henkilöautot_fx!$Q$25,Henkilöautot_fx!$R$25,IF(B62=Henkilöautot_fx!$Q$26,Henkilöautot_fx!$R$26,IF(B62=Henkilöautot_fx!$Q$27,Henkilöautot_fx!$R$27,IF(B62=Henkilöautot_fx!$Q$28,Henkilöautot_fx!$R$28,IF(B62=Henkilöautot_fx!$Q$29,Henkilöautot_fx!$R$29,0))))),IF(E62=Henkilöautot_fx!$J$21,Henkilöautot_fx!$R$30,IF(E62=Henkilöautot_fx!$J$22,IF(B62=Henkilöautot_fx!$Q$31,Henkilöautot_fx!$R$31,IF(B62=Henkilöautot_fx!$Q$32,Henkilöautot_fx!$R$32,IF(B62=Henkilöautot_fx!$Q$33,Henkilöautot_fx!$R$33,IF(B62=Henkilöautot_fx!$Q$34,Henkilöautot_fx!$R$34,0)))),0)))</f>
        <v>0</v>
      </c>
      <c r="I62">
        <f t="shared" si="1"/>
        <v>0</v>
      </c>
      <c r="L62">
        <f>Henkilöautot!H64</f>
        <v>0</v>
      </c>
      <c r="M62">
        <f>Henkilöautot!I64</f>
        <v>0</v>
      </c>
      <c r="N62">
        <f>Henkilöautot!J64</f>
        <v>0</v>
      </c>
      <c r="P62">
        <f>IF(L62=Henkilöautot_fx!$O$35,Henkilöautot_fx!$R$35,IF(L62=Henkilöautot_fx!$O$36,Henkilöautot_fx!$R$36,IF(L62=Henkilöautot_fx!$O$37,Henkilöautot_fx!$R$37,IF(L62=Henkilöautot_fx!$O$38,Henkilöautot_fx!$R$38,IF(L62=Henkilöautot_fx!$O$39,Henkilöautot_fx!$R$39,IF(L62=Henkilöautot_fx!$O$40,Henkilöautot_fx!$R$40,IF(L62=Henkilöautot_fx!$N$41,Henkilöautot_fx!$R$41,0)))))))</f>
        <v>0</v>
      </c>
      <c r="Q62">
        <f t="shared" si="2"/>
        <v>0</v>
      </c>
    </row>
    <row r="63" spans="1:17" x14ac:dyDescent="0.25">
      <c r="A63">
        <f>Henkilöautot!A65</f>
        <v>0</v>
      </c>
      <c r="B63">
        <f>Henkilöautot!B65</f>
        <v>0</v>
      </c>
      <c r="C63">
        <f>Henkilöautot!C65</f>
        <v>0</v>
      </c>
      <c r="D63">
        <f>Henkilöautot!D65</f>
        <v>0</v>
      </c>
      <c r="E63">
        <f>Henkilöautot!E65</f>
        <v>0</v>
      </c>
      <c r="G63">
        <f>IF(E63=Henkilöautot_fx!$J$16,IF(B63=Henkilöautot_fx!$Q$7,Henkilöautot_fx!$R$7,IF(B63=Henkilöautot_fx!$Q$8,Henkilöautot_fx!$R$8,IF(B63=Henkilöautot_fx!$Q$9,Henkilöautot_fx!$R$9,IF(B63=Henkilöautot_fx!$Q$10,Henkilöautot_fx!$R$10,IF(B63=Henkilöautot_fx!$Q$11,Henkilöautot_fx!$R$11,IF(B63=Henkilöautot_fx!$Q$12,Henkilöautot_fx!$R$12,IF(B63=Henkilöautot_fx!$Q$13,Henkilöautot_fx!$R$13,0))))))),IF(E63=Henkilöautot_fx!$J$17,IF(B63=Henkilöautot_fx!$Q$14,Henkilöautot_fx!$R$14,IF(B63=Henkilöautot_fx!$Q$15,Henkilöautot_fx!$R$15,IF(B63=Henkilöautot_fx!$Q$16,Henkilöautot_fx!$R$16,IF(B63=Henkilöautot_fx!$Q$17,Henkilöautot_fx!$R$17,IF(B63=Henkilöautot_fx!$Q$18,Henkilöautot_fx!$R$18,IF(B63=Henkilöautot_fx!$Q$19,Henkilöautot_fx!$R$19,IF(B63=Henkilöautot_fx!$Q$20,Henkilöautot_fx!$R$20,0))))))),IF(E63=Henkilöautot_fx!$J$18,Henkilöautot_fx!$R$21,IF(E63=Henkilöautot_fx!$J$19,IF(B63=Henkilöautot_fx!$Q$22,Henkilöautot_fx!$R$22,IF(B63=Henkilöautot_fx!$Q$23,Henkilöautot_fx!$R$23,IF(B63=Henkilöautot_fx!$Q$24,Henkilöautot_fx!$R$24,0))),0))))</f>
        <v>0</v>
      </c>
      <c r="H63">
        <f>IF(E63=Henkilöautot_fx!$J$20,IF(B63=Henkilöautot_fx!$Q$25,Henkilöautot_fx!$R$25,IF(B63=Henkilöautot_fx!$Q$26,Henkilöautot_fx!$R$26,IF(B63=Henkilöautot_fx!$Q$27,Henkilöautot_fx!$R$27,IF(B63=Henkilöautot_fx!$Q$28,Henkilöautot_fx!$R$28,IF(B63=Henkilöautot_fx!$Q$29,Henkilöautot_fx!$R$29,0))))),IF(E63=Henkilöautot_fx!$J$21,Henkilöautot_fx!$R$30,IF(E63=Henkilöautot_fx!$J$22,IF(B63=Henkilöautot_fx!$Q$31,Henkilöautot_fx!$R$31,IF(B63=Henkilöautot_fx!$Q$32,Henkilöautot_fx!$R$32,IF(B63=Henkilöautot_fx!$Q$33,Henkilöautot_fx!$R$33,IF(B63=Henkilöautot_fx!$Q$34,Henkilöautot_fx!$R$34,0)))),0)))</f>
        <v>0</v>
      </c>
      <c r="I63">
        <f t="shared" si="1"/>
        <v>0</v>
      </c>
      <c r="L63">
        <f>Henkilöautot!H65</f>
        <v>0</v>
      </c>
      <c r="M63">
        <f>Henkilöautot!I65</f>
        <v>0</v>
      </c>
      <c r="N63">
        <f>Henkilöautot!J65</f>
        <v>0</v>
      </c>
      <c r="P63">
        <f>IF(L63=Henkilöautot_fx!$O$35,Henkilöautot_fx!$R$35,IF(L63=Henkilöautot_fx!$O$36,Henkilöautot_fx!$R$36,IF(L63=Henkilöautot_fx!$O$37,Henkilöautot_fx!$R$37,IF(L63=Henkilöautot_fx!$O$38,Henkilöautot_fx!$R$38,IF(L63=Henkilöautot_fx!$O$39,Henkilöautot_fx!$R$39,IF(L63=Henkilöautot_fx!$O$40,Henkilöautot_fx!$R$40,IF(L63=Henkilöautot_fx!$N$41,Henkilöautot_fx!$R$41,0)))))))</f>
        <v>0</v>
      </c>
      <c r="Q63">
        <f t="shared" si="2"/>
        <v>0</v>
      </c>
    </row>
    <row r="64" spans="1:17" x14ac:dyDescent="0.25">
      <c r="A64">
        <f>Henkilöautot!A66</f>
        <v>0</v>
      </c>
      <c r="B64">
        <f>Henkilöautot!B66</f>
        <v>0</v>
      </c>
      <c r="C64">
        <f>Henkilöautot!C66</f>
        <v>0</v>
      </c>
      <c r="D64">
        <f>Henkilöautot!D66</f>
        <v>0</v>
      </c>
      <c r="E64">
        <f>Henkilöautot!E66</f>
        <v>0</v>
      </c>
      <c r="G64">
        <f>IF(E64=Henkilöautot_fx!$J$16,IF(B64=Henkilöautot_fx!$Q$7,Henkilöautot_fx!$R$7,IF(B64=Henkilöautot_fx!$Q$8,Henkilöautot_fx!$R$8,IF(B64=Henkilöautot_fx!$Q$9,Henkilöautot_fx!$R$9,IF(B64=Henkilöautot_fx!$Q$10,Henkilöautot_fx!$R$10,IF(B64=Henkilöautot_fx!$Q$11,Henkilöautot_fx!$R$11,IF(B64=Henkilöautot_fx!$Q$12,Henkilöautot_fx!$R$12,IF(B64=Henkilöautot_fx!$Q$13,Henkilöautot_fx!$R$13,0))))))),IF(E64=Henkilöautot_fx!$J$17,IF(B64=Henkilöautot_fx!$Q$14,Henkilöautot_fx!$R$14,IF(B64=Henkilöautot_fx!$Q$15,Henkilöautot_fx!$R$15,IF(B64=Henkilöautot_fx!$Q$16,Henkilöautot_fx!$R$16,IF(B64=Henkilöautot_fx!$Q$17,Henkilöautot_fx!$R$17,IF(B64=Henkilöautot_fx!$Q$18,Henkilöautot_fx!$R$18,IF(B64=Henkilöautot_fx!$Q$19,Henkilöautot_fx!$R$19,IF(B64=Henkilöautot_fx!$Q$20,Henkilöautot_fx!$R$20,0))))))),IF(E64=Henkilöautot_fx!$J$18,Henkilöautot_fx!$R$21,IF(E64=Henkilöautot_fx!$J$19,IF(B64=Henkilöautot_fx!$Q$22,Henkilöautot_fx!$R$22,IF(B64=Henkilöautot_fx!$Q$23,Henkilöautot_fx!$R$23,IF(B64=Henkilöautot_fx!$Q$24,Henkilöautot_fx!$R$24,0))),0))))</f>
        <v>0</v>
      </c>
      <c r="H64">
        <f>IF(E64=Henkilöautot_fx!$J$20,IF(B64=Henkilöautot_fx!$Q$25,Henkilöautot_fx!$R$25,IF(B64=Henkilöautot_fx!$Q$26,Henkilöautot_fx!$R$26,IF(B64=Henkilöautot_fx!$Q$27,Henkilöautot_fx!$R$27,IF(B64=Henkilöautot_fx!$Q$28,Henkilöautot_fx!$R$28,IF(B64=Henkilöautot_fx!$Q$29,Henkilöautot_fx!$R$29,0))))),IF(E64=Henkilöautot_fx!$J$21,Henkilöautot_fx!$R$30,IF(E64=Henkilöautot_fx!$J$22,IF(B64=Henkilöautot_fx!$Q$31,Henkilöautot_fx!$R$31,IF(B64=Henkilöautot_fx!$Q$32,Henkilöautot_fx!$R$32,IF(B64=Henkilöautot_fx!$Q$33,Henkilöautot_fx!$R$33,IF(B64=Henkilöautot_fx!$Q$34,Henkilöautot_fx!$R$34,0)))),0)))</f>
        <v>0</v>
      </c>
      <c r="I64">
        <f t="shared" si="1"/>
        <v>0</v>
      </c>
      <c r="L64">
        <f>Henkilöautot!H66</f>
        <v>0</v>
      </c>
      <c r="M64">
        <f>Henkilöautot!I66</f>
        <v>0</v>
      </c>
      <c r="N64">
        <f>Henkilöautot!J66</f>
        <v>0</v>
      </c>
      <c r="P64">
        <f>IF(L64=Henkilöautot_fx!$O$35,Henkilöautot_fx!$R$35,IF(L64=Henkilöautot_fx!$O$36,Henkilöautot_fx!$R$36,IF(L64=Henkilöautot_fx!$O$37,Henkilöautot_fx!$R$37,IF(L64=Henkilöautot_fx!$O$38,Henkilöautot_fx!$R$38,IF(L64=Henkilöautot_fx!$O$39,Henkilöautot_fx!$R$39,IF(L64=Henkilöautot_fx!$O$40,Henkilöautot_fx!$R$40,IF(L64=Henkilöautot_fx!$N$41,Henkilöautot_fx!$R$41,0)))))))</f>
        <v>0</v>
      </c>
      <c r="Q64">
        <f t="shared" si="2"/>
        <v>0</v>
      </c>
    </row>
    <row r="65" spans="1:17" x14ac:dyDescent="0.25">
      <c r="A65">
        <f>Henkilöautot!A67</f>
        <v>0</v>
      </c>
      <c r="B65">
        <f>Henkilöautot!B67</f>
        <v>0</v>
      </c>
      <c r="C65">
        <f>Henkilöautot!C67</f>
        <v>0</v>
      </c>
      <c r="D65">
        <f>Henkilöautot!D67</f>
        <v>0</v>
      </c>
      <c r="E65">
        <f>Henkilöautot!E67</f>
        <v>0</v>
      </c>
      <c r="G65">
        <f>IF(E65=Henkilöautot_fx!$J$16,IF(B65=Henkilöautot_fx!$Q$7,Henkilöautot_fx!$R$7,IF(B65=Henkilöautot_fx!$Q$8,Henkilöautot_fx!$R$8,IF(B65=Henkilöautot_fx!$Q$9,Henkilöautot_fx!$R$9,IF(B65=Henkilöautot_fx!$Q$10,Henkilöautot_fx!$R$10,IF(B65=Henkilöautot_fx!$Q$11,Henkilöautot_fx!$R$11,IF(B65=Henkilöautot_fx!$Q$12,Henkilöautot_fx!$R$12,IF(B65=Henkilöautot_fx!$Q$13,Henkilöautot_fx!$R$13,0))))))),IF(E65=Henkilöautot_fx!$J$17,IF(B65=Henkilöautot_fx!$Q$14,Henkilöautot_fx!$R$14,IF(B65=Henkilöautot_fx!$Q$15,Henkilöautot_fx!$R$15,IF(B65=Henkilöautot_fx!$Q$16,Henkilöautot_fx!$R$16,IF(B65=Henkilöautot_fx!$Q$17,Henkilöautot_fx!$R$17,IF(B65=Henkilöautot_fx!$Q$18,Henkilöautot_fx!$R$18,IF(B65=Henkilöautot_fx!$Q$19,Henkilöautot_fx!$R$19,IF(B65=Henkilöautot_fx!$Q$20,Henkilöautot_fx!$R$20,0))))))),IF(E65=Henkilöautot_fx!$J$18,Henkilöautot_fx!$R$21,IF(E65=Henkilöautot_fx!$J$19,IF(B65=Henkilöautot_fx!$Q$22,Henkilöautot_fx!$R$22,IF(B65=Henkilöautot_fx!$Q$23,Henkilöautot_fx!$R$23,IF(B65=Henkilöautot_fx!$Q$24,Henkilöautot_fx!$R$24,0))),0))))</f>
        <v>0</v>
      </c>
      <c r="H65">
        <f>IF(E65=Henkilöautot_fx!$J$20,IF(B65=Henkilöautot_fx!$Q$25,Henkilöautot_fx!$R$25,IF(B65=Henkilöautot_fx!$Q$26,Henkilöautot_fx!$R$26,IF(B65=Henkilöautot_fx!$Q$27,Henkilöautot_fx!$R$27,IF(B65=Henkilöautot_fx!$Q$28,Henkilöautot_fx!$R$28,IF(B65=Henkilöautot_fx!$Q$29,Henkilöautot_fx!$R$29,0))))),IF(E65=Henkilöautot_fx!$J$21,Henkilöautot_fx!$R$30,IF(E65=Henkilöautot_fx!$J$22,IF(B65=Henkilöautot_fx!$Q$31,Henkilöautot_fx!$R$31,IF(B65=Henkilöautot_fx!$Q$32,Henkilöautot_fx!$R$32,IF(B65=Henkilöautot_fx!$Q$33,Henkilöautot_fx!$R$33,IF(B65=Henkilöautot_fx!$Q$34,Henkilöautot_fx!$R$34,0)))),0)))</f>
        <v>0</v>
      </c>
      <c r="I65">
        <f t="shared" si="1"/>
        <v>0</v>
      </c>
      <c r="L65">
        <f>Henkilöautot!H67</f>
        <v>0</v>
      </c>
      <c r="M65">
        <f>Henkilöautot!I67</f>
        <v>0</v>
      </c>
      <c r="N65">
        <f>Henkilöautot!J67</f>
        <v>0</v>
      </c>
      <c r="P65">
        <f>IF(L65=Henkilöautot_fx!$O$35,Henkilöautot_fx!$R$35,IF(L65=Henkilöautot_fx!$O$36,Henkilöautot_fx!$R$36,IF(L65=Henkilöautot_fx!$O$37,Henkilöautot_fx!$R$37,IF(L65=Henkilöautot_fx!$O$38,Henkilöautot_fx!$R$38,IF(L65=Henkilöautot_fx!$O$39,Henkilöautot_fx!$R$39,IF(L65=Henkilöautot_fx!$O$40,Henkilöautot_fx!$R$40,IF(L65=Henkilöautot_fx!$N$41,Henkilöautot_fx!$R$41,0)))))))</f>
        <v>0</v>
      </c>
      <c r="Q65">
        <f t="shared" si="2"/>
        <v>0</v>
      </c>
    </row>
    <row r="66" spans="1:17" x14ac:dyDescent="0.25">
      <c r="A66">
        <f>Henkilöautot!A68</f>
        <v>0</v>
      </c>
      <c r="B66">
        <f>Henkilöautot!B68</f>
        <v>0</v>
      </c>
      <c r="C66">
        <f>Henkilöautot!C68</f>
        <v>0</v>
      </c>
      <c r="D66">
        <f>Henkilöautot!D68</f>
        <v>0</v>
      </c>
      <c r="E66">
        <f>Henkilöautot!E68</f>
        <v>0</v>
      </c>
      <c r="G66">
        <f>IF(E66=Henkilöautot_fx!$J$16,IF(B66=Henkilöautot_fx!$Q$7,Henkilöautot_fx!$R$7,IF(B66=Henkilöautot_fx!$Q$8,Henkilöautot_fx!$R$8,IF(B66=Henkilöautot_fx!$Q$9,Henkilöautot_fx!$R$9,IF(B66=Henkilöautot_fx!$Q$10,Henkilöautot_fx!$R$10,IF(B66=Henkilöautot_fx!$Q$11,Henkilöautot_fx!$R$11,IF(B66=Henkilöautot_fx!$Q$12,Henkilöautot_fx!$R$12,IF(B66=Henkilöautot_fx!$Q$13,Henkilöautot_fx!$R$13,0))))))),IF(E66=Henkilöautot_fx!$J$17,IF(B66=Henkilöautot_fx!$Q$14,Henkilöautot_fx!$R$14,IF(B66=Henkilöautot_fx!$Q$15,Henkilöautot_fx!$R$15,IF(B66=Henkilöautot_fx!$Q$16,Henkilöautot_fx!$R$16,IF(B66=Henkilöautot_fx!$Q$17,Henkilöautot_fx!$R$17,IF(B66=Henkilöautot_fx!$Q$18,Henkilöautot_fx!$R$18,IF(B66=Henkilöautot_fx!$Q$19,Henkilöautot_fx!$R$19,IF(B66=Henkilöautot_fx!$Q$20,Henkilöautot_fx!$R$20,0))))))),IF(E66=Henkilöautot_fx!$J$18,Henkilöautot_fx!$R$21,IF(E66=Henkilöautot_fx!$J$19,IF(B66=Henkilöautot_fx!$Q$22,Henkilöautot_fx!$R$22,IF(B66=Henkilöautot_fx!$Q$23,Henkilöautot_fx!$R$23,IF(B66=Henkilöautot_fx!$Q$24,Henkilöautot_fx!$R$24,0))),0))))</f>
        <v>0</v>
      </c>
      <c r="H66">
        <f>IF(E66=Henkilöautot_fx!$J$20,IF(B66=Henkilöautot_fx!$Q$25,Henkilöautot_fx!$R$25,IF(B66=Henkilöautot_fx!$Q$26,Henkilöautot_fx!$R$26,IF(B66=Henkilöautot_fx!$Q$27,Henkilöautot_fx!$R$27,IF(B66=Henkilöautot_fx!$Q$28,Henkilöautot_fx!$R$28,IF(B66=Henkilöautot_fx!$Q$29,Henkilöautot_fx!$R$29,0))))),IF(E66=Henkilöautot_fx!$J$21,Henkilöautot_fx!$R$30,IF(E66=Henkilöautot_fx!$J$22,IF(B66=Henkilöautot_fx!$Q$31,Henkilöautot_fx!$R$31,IF(B66=Henkilöautot_fx!$Q$32,Henkilöautot_fx!$R$32,IF(B66=Henkilöautot_fx!$Q$33,Henkilöautot_fx!$R$33,IF(B66=Henkilöautot_fx!$Q$34,Henkilöautot_fx!$R$34,0)))),0)))</f>
        <v>0</v>
      </c>
      <c r="I66">
        <f t="shared" si="1"/>
        <v>0</v>
      </c>
      <c r="L66">
        <f>Henkilöautot!H68</f>
        <v>0</v>
      </c>
      <c r="M66">
        <f>Henkilöautot!I68</f>
        <v>0</v>
      </c>
      <c r="N66">
        <f>Henkilöautot!J68</f>
        <v>0</v>
      </c>
      <c r="P66">
        <f>IF(L66=Henkilöautot_fx!$O$35,Henkilöautot_fx!$R$35,IF(L66=Henkilöautot_fx!$O$36,Henkilöautot_fx!$R$36,IF(L66=Henkilöautot_fx!$O$37,Henkilöautot_fx!$R$37,IF(L66=Henkilöautot_fx!$O$38,Henkilöautot_fx!$R$38,IF(L66=Henkilöautot_fx!$O$39,Henkilöautot_fx!$R$39,IF(L66=Henkilöautot_fx!$O$40,Henkilöautot_fx!$R$40,IF(L66=Henkilöautot_fx!$N$41,Henkilöautot_fx!$R$41,0)))))))</f>
        <v>0</v>
      </c>
      <c r="Q66">
        <f t="shared" si="2"/>
        <v>0</v>
      </c>
    </row>
    <row r="67" spans="1:17" x14ac:dyDescent="0.25">
      <c r="A67">
        <f>Henkilöautot!A69</f>
        <v>0</v>
      </c>
      <c r="B67">
        <f>Henkilöautot!B69</f>
        <v>0</v>
      </c>
      <c r="C67">
        <f>Henkilöautot!C69</f>
        <v>0</v>
      </c>
      <c r="D67">
        <f>Henkilöautot!D69</f>
        <v>0</v>
      </c>
      <c r="E67">
        <f>Henkilöautot!E69</f>
        <v>0</v>
      </c>
      <c r="G67">
        <f>IF(E67=Henkilöautot_fx!$J$16,IF(B67=Henkilöautot_fx!$Q$7,Henkilöautot_fx!$R$7,IF(B67=Henkilöautot_fx!$Q$8,Henkilöautot_fx!$R$8,IF(B67=Henkilöautot_fx!$Q$9,Henkilöautot_fx!$R$9,IF(B67=Henkilöautot_fx!$Q$10,Henkilöautot_fx!$R$10,IF(B67=Henkilöautot_fx!$Q$11,Henkilöautot_fx!$R$11,IF(B67=Henkilöautot_fx!$Q$12,Henkilöautot_fx!$R$12,IF(B67=Henkilöautot_fx!$Q$13,Henkilöautot_fx!$R$13,0))))))),IF(E67=Henkilöautot_fx!$J$17,IF(B67=Henkilöautot_fx!$Q$14,Henkilöautot_fx!$R$14,IF(B67=Henkilöautot_fx!$Q$15,Henkilöautot_fx!$R$15,IF(B67=Henkilöautot_fx!$Q$16,Henkilöautot_fx!$R$16,IF(B67=Henkilöautot_fx!$Q$17,Henkilöautot_fx!$R$17,IF(B67=Henkilöautot_fx!$Q$18,Henkilöautot_fx!$R$18,IF(B67=Henkilöautot_fx!$Q$19,Henkilöautot_fx!$R$19,IF(B67=Henkilöautot_fx!$Q$20,Henkilöautot_fx!$R$20,0))))))),IF(E67=Henkilöautot_fx!$J$18,Henkilöautot_fx!$R$21,IF(E67=Henkilöautot_fx!$J$19,IF(B67=Henkilöautot_fx!$Q$22,Henkilöautot_fx!$R$22,IF(B67=Henkilöautot_fx!$Q$23,Henkilöautot_fx!$R$23,IF(B67=Henkilöautot_fx!$Q$24,Henkilöautot_fx!$R$24,0))),0))))</f>
        <v>0</v>
      </c>
      <c r="H67">
        <f>IF(E67=Henkilöautot_fx!$J$20,IF(B67=Henkilöautot_fx!$Q$25,Henkilöautot_fx!$R$25,IF(B67=Henkilöautot_fx!$Q$26,Henkilöautot_fx!$R$26,IF(B67=Henkilöautot_fx!$Q$27,Henkilöautot_fx!$R$27,IF(B67=Henkilöautot_fx!$Q$28,Henkilöautot_fx!$R$28,IF(B67=Henkilöautot_fx!$Q$29,Henkilöautot_fx!$R$29,0))))),IF(E67=Henkilöautot_fx!$J$21,Henkilöautot_fx!$R$30,IF(E67=Henkilöautot_fx!$J$22,IF(B67=Henkilöautot_fx!$Q$31,Henkilöautot_fx!$R$31,IF(B67=Henkilöautot_fx!$Q$32,Henkilöautot_fx!$R$32,IF(B67=Henkilöautot_fx!$Q$33,Henkilöautot_fx!$R$33,IF(B67=Henkilöautot_fx!$Q$34,Henkilöautot_fx!$R$34,0)))),0)))</f>
        <v>0</v>
      </c>
      <c r="I67">
        <f t="shared" si="1"/>
        <v>0</v>
      </c>
      <c r="L67">
        <f>Henkilöautot!H69</f>
        <v>0</v>
      </c>
      <c r="M67">
        <f>Henkilöautot!I69</f>
        <v>0</v>
      </c>
      <c r="N67">
        <f>Henkilöautot!J69</f>
        <v>0</v>
      </c>
      <c r="P67">
        <f>IF(L67=Henkilöautot_fx!$O$35,Henkilöautot_fx!$R$35,IF(L67=Henkilöautot_fx!$O$36,Henkilöautot_fx!$R$36,IF(L67=Henkilöautot_fx!$O$37,Henkilöautot_fx!$R$37,IF(L67=Henkilöautot_fx!$O$38,Henkilöautot_fx!$R$38,IF(L67=Henkilöautot_fx!$O$39,Henkilöautot_fx!$R$39,IF(L67=Henkilöautot_fx!$O$40,Henkilöautot_fx!$R$40,IF(L67=Henkilöautot_fx!$N$41,Henkilöautot_fx!$R$41,0)))))))</f>
        <v>0</v>
      </c>
      <c r="Q67">
        <f t="shared" si="2"/>
        <v>0</v>
      </c>
    </row>
    <row r="68" spans="1:17" x14ac:dyDescent="0.25">
      <c r="A68">
        <f>Henkilöautot!A70</f>
        <v>0</v>
      </c>
      <c r="B68">
        <f>Henkilöautot!B70</f>
        <v>0</v>
      </c>
      <c r="C68">
        <f>Henkilöautot!C70</f>
        <v>0</v>
      </c>
      <c r="D68">
        <f>Henkilöautot!D70</f>
        <v>0</v>
      </c>
      <c r="E68">
        <f>Henkilöautot!E70</f>
        <v>0</v>
      </c>
      <c r="G68">
        <f>IF(E68=Henkilöautot_fx!$J$16,IF(B68=Henkilöautot_fx!$Q$7,Henkilöautot_fx!$R$7,IF(B68=Henkilöautot_fx!$Q$8,Henkilöautot_fx!$R$8,IF(B68=Henkilöautot_fx!$Q$9,Henkilöautot_fx!$R$9,IF(B68=Henkilöautot_fx!$Q$10,Henkilöautot_fx!$R$10,IF(B68=Henkilöautot_fx!$Q$11,Henkilöautot_fx!$R$11,IF(B68=Henkilöautot_fx!$Q$12,Henkilöautot_fx!$R$12,IF(B68=Henkilöautot_fx!$Q$13,Henkilöautot_fx!$R$13,0))))))),IF(E68=Henkilöautot_fx!$J$17,IF(B68=Henkilöautot_fx!$Q$14,Henkilöautot_fx!$R$14,IF(B68=Henkilöautot_fx!$Q$15,Henkilöautot_fx!$R$15,IF(B68=Henkilöautot_fx!$Q$16,Henkilöautot_fx!$R$16,IF(B68=Henkilöautot_fx!$Q$17,Henkilöautot_fx!$R$17,IF(B68=Henkilöautot_fx!$Q$18,Henkilöautot_fx!$R$18,IF(B68=Henkilöautot_fx!$Q$19,Henkilöautot_fx!$R$19,IF(B68=Henkilöautot_fx!$Q$20,Henkilöautot_fx!$R$20,0))))))),IF(E68=Henkilöautot_fx!$J$18,Henkilöautot_fx!$R$21,IF(E68=Henkilöautot_fx!$J$19,IF(B68=Henkilöautot_fx!$Q$22,Henkilöautot_fx!$R$22,IF(B68=Henkilöautot_fx!$Q$23,Henkilöautot_fx!$R$23,IF(B68=Henkilöautot_fx!$Q$24,Henkilöautot_fx!$R$24,0))),0))))</f>
        <v>0</v>
      </c>
      <c r="H68">
        <f>IF(E68=Henkilöautot_fx!$J$20,IF(B68=Henkilöautot_fx!$Q$25,Henkilöautot_fx!$R$25,IF(B68=Henkilöautot_fx!$Q$26,Henkilöautot_fx!$R$26,IF(B68=Henkilöautot_fx!$Q$27,Henkilöautot_fx!$R$27,IF(B68=Henkilöautot_fx!$Q$28,Henkilöautot_fx!$R$28,IF(B68=Henkilöautot_fx!$Q$29,Henkilöautot_fx!$R$29,0))))),IF(E68=Henkilöautot_fx!$J$21,Henkilöautot_fx!$R$30,IF(E68=Henkilöautot_fx!$J$22,IF(B68=Henkilöautot_fx!$Q$31,Henkilöautot_fx!$R$31,IF(B68=Henkilöautot_fx!$Q$32,Henkilöautot_fx!$R$32,IF(B68=Henkilöautot_fx!$Q$33,Henkilöautot_fx!$R$33,IF(B68=Henkilöautot_fx!$Q$34,Henkilöautot_fx!$R$34,0)))),0)))</f>
        <v>0</v>
      </c>
      <c r="I68">
        <f t="shared" si="1"/>
        <v>0</v>
      </c>
      <c r="L68">
        <f>Henkilöautot!H70</f>
        <v>0</v>
      </c>
      <c r="M68">
        <f>Henkilöautot!I70</f>
        <v>0</v>
      </c>
      <c r="N68">
        <f>Henkilöautot!J70</f>
        <v>0</v>
      </c>
      <c r="P68">
        <f>IF(L68=Henkilöautot_fx!$O$35,Henkilöautot_fx!$R$35,IF(L68=Henkilöautot_fx!$O$36,Henkilöautot_fx!$R$36,IF(L68=Henkilöautot_fx!$O$37,Henkilöautot_fx!$R$37,IF(L68=Henkilöautot_fx!$O$38,Henkilöautot_fx!$R$38,IF(L68=Henkilöautot_fx!$O$39,Henkilöautot_fx!$R$39,IF(L68=Henkilöautot_fx!$O$40,Henkilöautot_fx!$R$40,IF(L68=Henkilöautot_fx!$N$41,Henkilöautot_fx!$R$41,0)))))))</f>
        <v>0</v>
      </c>
      <c r="Q68">
        <f t="shared" si="2"/>
        <v>0</v>
      </c>
    </row>
    <row r="69" spans="1:17" x14ac:dyDescent="0.25">
      <c r="A69">
        <f>Henkilöautot!A71</f>
        <v>0</v>
      </c>
      <c r="B69">
        <f>Henkilöautot!B71</f>
        <v>0</v>
      </c>
      <c r="C69">
        <f>Henkilöautot!C71</f>
        <v>0</v>
      </c>
      <c r="D69">
        <f>Henkilöautot!D71</f>
        <v>0</v>
      </c>
      <c r="E69">
        <f>Henkilöautot!E71</f>
        <v>0</v>
      </c>
      <c r="G69">
        <f>IF(E69=Henkilöautot_fx!$J$16,IF(B69=Henkilöautot_fx!$Q$7,Henkilöautot_fx!$R$7,IF(B69=Henkilöautot_fx!$Q$8,Henkilöautot_fx!$R$8,IF(B69=Henkilöautot_fx!$Q$9,Henkilöautot_fx!$R$9,IF(B69=Henkilöautot_fx!$Q$10,Henkilöautot_fx!$R$10,IF(B69=Henkilöautot_fx!$Q$11,Henkilöautot_fx!$R$11,IF(B69=Henkilöautot_fx!$Q$12,Henkilöautot_fx!$R$12,IF(B69=Henkilöautot_fx!$Q$13,Henkilöautot_fx!$R$13,0))))))),IF(E69=Henkilöautot_fx!$J$17,IF(B69=Henkilöautot_fx!$Q$14,Henkilöautot_fx!$R$14,IF(B69=Henkilöautot_fx!$Q$15,Henkilöautot_fx!$R$15,IF(B69=Henkilöautot_fx!$Q$16,Henkilöautot_fx!$R$16,IF(B69=Henkilöautot_fx!$Q$17,Henkilöautot_fx!$R$17,IF(B69=Henkilöautot_fx!$Q$18,Henkilöautot_fx!$R$18,IF(B69=Henkilöautot_fx!$Q$19,Henkilöautot_fx!$R$19,IF(B69=Henkilöautot_fx!$Q$20,Henkilöautot_fx!$R$20,0))))))),IF(E69=Henkilöautot_fx!$J$18,Henkilöautot_fx!$R$21,IF(E69=Henkilöautot_fx!$J$19,IF(B69=Henkilöautot_fx!$Q$22,Henkilöautot_fx!$R$22,IF(B69=Henkilöautot_fx!$Q$23,Henkilöautot_fx!$R$23,IF(B69=Henkilöautot_fx!$Q$24,Henkilöautot_fx!$R$24,0))),0))))</f>
        <v>0</v>
      </c>
      <c r="H69">
        <f>IF(E69=Henkilöautot_fx!$J$20,IF(B69=Henkilöautot_fx!$Q$25,Henkilöautot_fx!$R$25,IF(B69=Henkilöautot_fx!$Q$26,Henkilöautot_fx!$R$26,IF(B69=Henkilöautot_fx!$Q$27,Henkilöautot_fx!$R$27,IF(B69=Henkilöautot_fx!$Q$28,Henkilöautot_fx!$R$28,IF(B69=Henkilöautot_fx!$Q$29,Henkilöautot_fx!$R$29,0))))),IF(E69=Henkilöautot_fx!$J$21,Henkilöautot_fx!$R$30,IF(E69=Henkilöautot_fx!$J$22,IF(B69=Henkilöautot_fx!$Q$31,Henkilöautot_fx!$R$31,IF(B69=Henkilöautot_fx!$Q$32,Henkilöautot_fx!$R$32,IF(B69=Henkilöautot_fx!$Q$33,Henkilöautot_fx!$R$33,IF(B69=Henkilöautot_fx!$Q$34,Henkilöautot_fx!$R$34,0)))),0)))</f>
        <v>0</v>
      </c>
      <c r="I69">
        <f t="shared" si="1"/>
        <v>0</v>
      </c>
      <c r="L69">
        <f>Henkilöautot!H71</f>
        <v>0</v>
      </c>
      <c r="M69">
        <f>Henkilöautot!I71</f>
        <v>0</v>
      </c>
      <c r="N69">
        <f>Henkilöautot!J71</f>
        <v>0</v>
      </c>
      <c r="P69">
        <f>IF(L69=Henkilöautot_fx!$O$35,Henkilöautot_fx!$R$35,IF(L69=Henkilöautot_fx!$O$36,Henkilöautot_fx!$R$36,IF(L69=Henkilöautot_fx!$O$37,Henkilöautot_fx!$R$37,IF(L69=Henkilöautot_fx!$O$38,Henkilöautot_fx!$R$38,IF(L69=Henkilöautot_fx!$O$39,Henkilöautot_fx!$R$39,IF(L69=Henkilöautot_fx!$O$40,Henkilöautot_fx!$R$40,IF(L69=Henkilöautot_fx!$N$41,Henkilöautot_fx!$R$41,0)))))))</f>
        <v>0</v>
      </c>
      <c r="Q69">
        <f t="shared" si="2"/>
        <v>0</v>
      </c>
    </row>
    <row r="70" spans="1:17" x14ac:dyDescent="0.25">
      <c r="A70">
        <f>Henkilöautot!A72</f>
        <v>0</v>
      </c>
      <c r="B70">
        <f>Henkilöautot!B72</f>
        <v>0</v>
      </c>
      <c r="C70">
        <f>Henkilöautot!C72</f>
        <v>0</v>
      </c>
      <c r="D70">
        <f>Henkilöautot!D72</f>
        <v>0</v>
      </c>
      <c r="E70">
        <f>Henkilöautot!E72</f>
        <v>0</v>
      </c>
      <c r="G70">
        <f>IF(E70=Henkilöautot_fx!$J$16,IF(B70=Henkilöautot_fx!$Q$7,Henkilöautot_fx!$R$7,IF(B70=Henkilöautot_fx!$Q$8,Henkilöautot_fx!$R$8,IF(B70=Henkilöautot_fx!$Q$9,Henkilöautot_fx!$R$9,IF(B70=Henkilöautot_fx!$Q$10,Henkilöautot_fx!$R$10,IF(B70=Henkilöautot_fx!$Q$11,Henkilöautot_fx!$R$11,IF(B70=Henkilöautot_fx!$Q$12,Henkilöautot_fx!$R$12,IF(B70=Henkilöautot_fx!$Q$13,Henkilöautot_fx!$R$13,0))))))),IF(E70=Henkilöautot_fx!$J$17,IF(B70=Henkilöautot_fx!$Q$14,Henkilöautot_fx!$R$14,IF(B70=Henkilöautot_fx!$Q$15,Henkilöautot_fx!$R$15,IF(B70=Henkilöautot_fx!$Q$16,Henkilöautot_fx!$R$16,IF(B70=Henkilöautot_fx!$Q$17,Henkilöautot_fx!$R$17,IF(B70=Henkilöautot_fx!$Q$18,Henkilöautot_fx!$R$18,IF(B70=Henkilöautot_fx!$Q$19,Henkilöautot_fx!$R$19,IF(B70=Henkilöautot_fx!$Q$20,Henkilöautot_fx!$R$20,0))))))),IF(E70=Henkilöautot_fx!$J$18,Henkilöautot_fx!$R$21,IF(E70=Henkilöautot_fx!$J$19,IF(B70=Henkilöautot_fx!$Q$22,Henkilöautot_fx!$R$22,IF(B70=Henkilöautot_fx!$Q$23,Henkilöautot_fx!$R$23,IF(B70=Henkilöautot_fx!$Q$24,Henkilöautot_fx!$R$24,0))),0))))</f>
        <v>0</v>
      </c>
      <c r="H70">
        <f>IF(E70=Henkilöautot_fx!$J$20,IF(B70=Henkilöautot_fx!$Q$25,Henkilöautot_fx!$R$25,IF(B70=Henkilöautot_fx!$Q$26,Henkilöautot_fx!$R$26,IF(B70=Henkilöautot_fx!$Q$27,Henkilöautot_fx!$R$27,IF(B70=Henkilöautot_fx!$Q$28,Henkilöautot_fx!$R$28,IF(B70=Henkilöautot_fx!$Q$29,Henkilöautot_fx!$R$29,0))))),IF(E70=Henkilöautot_fx!$J$21,Henkilöautot_fx!$R$30,IF(E70=Henkilöautot_fx!$J$22,IF(B70=Henkilöautot_fx!$Q$31,Henkilöautot_fx!$R$31,IF(B70=Henkilöautot_fx!$Q$32,Henkilöautot_fx!$R$32,IF(B70=Henkilöautot_fx!$Q$33,Henkilöautot_fx!$R$33,IF(B70=Henkilöautot_fx!$Q$34,Henkilöautot_fx!$R$34,0)))),0)))</f>
        <v>0</v>
      </c>
      <c r="I70">
        <f t="shared" si="1"/>
        <v>0</v>
      </c>
      <c r="L70">
        <f>Henkilöautot!H72</f>
        <v>0</v>
      </c>
      <c r="M70">
        <f>Henkilöautot!I72</f>
        <v>0</v>
      </c>
      <c r="N70">
        <f>Henkilöautot!J72</f>
        <v>0</v>
      </c>
      <c r="P70">
        <f>IF(L70=Henkilöautot_fx!$O$35,Henkilöautot_fx!$R$35,IF(L70=Henkilöautot_fx!$O$36,Henkilöautot_fx!$R$36,IF(L70=Henkilöautot_fx!$O$37,Henkilöautot_fx!$R$37,IF(L70=Henkilöautot_fx!$O$38,Henkilöautot_fx!$R$38,IF(L70=Henkilöautot_fx!$O$39,Henkilöautot_fx!$R$39,IF(L70=Henkilöautot_fx!$O$40,Henkilöautot_fx!$R$40,IF(L70=Henkilöautot_fx!$N$41,Henkilöautot_fx!$R$41,0)))))))</f>
        <v>0</v>
      </c>
      <c r="Q70">
        <f t="shared" si="2"/>
        <v>0</v>
      </c>
    </row>
    <row r="71" spans="1:17" x14ac:dyDescent="0.25">
      <c r="A71">
        <f>Henkilöautot!A73</f>
        <v>0</v>
      </c>
      <c r="B71">
        <f>Henkilöautot!B73</f>
        <v>0</v>
      </c>
      <c r="C71">
        <f>Henkilöautot!C73</f>
        <v>0</v>
      </c>
      <c r="D71">
        <f>Henkilöautot!D73</f>
        <v>0</v>
      </c>
      <c r="E71">
        <f>Henkilöautot!E73</f>
        <v>0</v>
      </c>
      <c r="G71">
        <f>IF(E71=Henkilöautot_fx!$J$16,IF(B71=Henkilöautot_fx!$Q$7,Henkilöautot_fx!$R$7,IF(B71=Henkilöautot_fx!$Q$8,Henkilöautot_fx!$R$8,IF(B71=Henkilöautot_fx!$Q$9,Henkilöautot_fx!$R$9,IF(B71=Henkilöautot_fx!$Q$10,Henkilöautot_fx!$R$10,IF(B71=Henkilöautot_fx!$Q$11,Henkilöautot_fx!$R$11,IF(B71=Henkilöautot_fx!$Q$12,Henkilöautot_fx!$R$12,IF(B71=Henkilöautot_fx!$Q$13,Henkilöautot_fx!$R$13,0))))))),IF(E71=Henkilöautot_fx!$J$17,IF(B71=Henkilöautot_fx!$Q$14,Henkilöautot_fx!$R$14,IF(B71=Henkilöautot_fx!$Q$15,Henkilöautot_fx!$R$15,IF(B71=Henkilöautot_fx!$Q$16,Henkilöautot_fx!$R$16,IF(B71=Henkilöautot_fx!$Q$17,Henkilöautot_fx!$R$17,IF(B71=Henkilöautot_fx!$Q$18,Henkilöautot_fx!$R$18,IF(B71=Henkilöautot_fx!$Q$19,Henkilöautot_fx!$R$19,IF(B71=Henkilöautot_fx!$Q$20,Henkilöautot_fx!$R$20,0))))))),IF(E71=Henkilöautot_fx!$J$18,Henkilöautot_fx!$R$21,IF(E71=Henkilöautot_fx!$J$19,IF(B71=Henkilöautot_fx!$Q$22,Henkilöautot_fx!$R$22,IF(B71=Henkilöautot_fx!$Q$23,Henkilöautot_fx!$R$23,IF(B71=Henkilöautot_fx!$Q$24,Henkilöautot_fx!$R$24,0))),0))))</f>
        <v>0</v>
      </c>
      <c r="H71">
        <f>IF(E71=Henkilöautot_fx!$J$20,IF(B71=Henkilöautot_fx!$Q$25,Henkilöautot_fx!$R$25,IF(B71=Henkilöautot_fx!$Q$26,Henkilöautot_fx!$R$26,IF(B71=Henkilöautot_fx!$Q$27,Henkilöautot_fx!$R$27,IF(B71=Henkilöautot_fx!$Q$28,Henkilöautot_fx!$R$28,IF(B71=Henkilöautot_fx!$Q$29,Henkilöautot_fx!$R$29,0))))),IF(E71=Henkilöautot_fx!$J$21,Henkilöautot_fx!$R$30,IF(E71=Henkilöautot_fx!$J$22,IF(B71=Henkilöautot_fx!$Q$31,Henkilöautot_fx!$R$31,IF(B71=Henkilöautot_fx!$Q$32,Henkilöautot_fx!$R$32,IF(B71=Henkilöautot_fx!$Q$33,Henkilöautot_fx!$R$33,IF(B71=Henkilöautot_fx!$Q$34,Henkilöautot_fx!$R$34,0)))),0)))</f>
        <v>0</v>
      </c>
      <c r="I71">
        <f t="shared" si="1"/>
        <v>0</v>
      </c>
      <c r="L71">
        <f>Henkilöautot!H73</f>
        <v>0</v>
      </c>
      <c r="M71">
        <f>Henkilöautot!I73</f>
        <v>0</v>
      </c>
      <c r="N71">
        <f>Henkilöautot!J73</f>
        <v>0</v>
      </c>
      <c r="P71">
        <f>IF(L71=Henkilöautot_fx!$O$35,Henkilöautot_fx!$R$35,IF(L71=Henkilöautot_fx!$O$36,Henkilöautot_fx!$R$36,IF(L71=Henkilöautot_fx!$O$37,Henkilöautot_fx!$R$37,IF(L71=Henkilöautot_fx!$O$38,Henkilöautot_fx!$R$38,IF(L71=Henkilöautot_fx!$O$39,Henkilöautot_fx!$R$39,IF(L71=Henkilöautot_fx!$O$40,Henkilöautot_fx!$R$40,IF(L71=Henkilöautot_fx!$N$41,Henkilöautot_fx!$R$41,0)))))))</f>
        <v>0</v>
      </c>
      <c r="Q71">
        <f t="shared" si="2"/>
        <v>0</v>
      </c>
    </row>
    <row r="72" spans="1:17" x14ac:dyDescent="0.25">
      <c r="A72">
        <f>Henkilöautot!A74</f>
        <v>0</v>
      </c>
      <c r="B72">
        <f>Henkilöautot!B74</f>
        <v>0</v>
      </c>
      <c r="C72">
        <f>Henkilöautot!C74</f>
        <v>0</v>
      </c>
      <c r="D72">
        <f>Henkilöautot!D74</f>
        <v>0</v>
      </c>
      <c r="E72">
        <f>Henkilöautot!E74</f>
        <v>0</v>
      </c>
      <c r="G72">
        <f>IF(E72=Henkilöautot_fx!$J$16,IF(B72=Henkilöautot_fx!$Q$7,Henkilöautot_fx!$R$7,IF(B72=Henkilöautot_fx!$Q$8,Henkilöautot_fx!$R$8,IF(B72=Henkilöautot_fx!$Q$9,Henkilöautot_fx!$R$9,IF(B72=Henkilöautot_fx!$Q$10,Henkilöautot_fx!$R$10,IF(B72=Henkilöautot_fx!$Q$11,Henkilöautot_fx!$R$11,IF(B72=Henkilöautot_fx!$Q$12,Henkilöautot_fx!$R$12,IF(B72=Henkilöautot_fx!$Q$13,Henkilöautot_fx!$R$13,0))))))),IF(E72=Henkilöautot_fx!$J$17,IF(B72=Henkilöautot_fx!$Q$14,Henkilöautot_fx!$R$14,IF(B72=Henkilöautot_fx!$Q$15,Henkilöautot_fx!$R$15,IF(B72=Henkilöautot_fx!$Q$16,Henkilöautot_fx!$R$16,IF(B72=Henkilöautot_fx!$Q$17,Henkilöautot_fx!$R$17,IF(B72=Henkilöautot_fx!$Q$18,Henkilöautot_fx!$R$18,IF(B72=Henkilöautot_fx!$Q$19,Henkilöautot_fx!$R$19,IF(B72=Henkilöautot_fx!$Q$20,Henkilöautot_fx!$R$20,0))))))),IF(E72=Henkilöautot_fx!$J$18,Henkilöautot_fx!$R$21,IF(E72=Henkilöautot_fx!$J$19,IF(B72=Henkilöautot_fx!$Q$22,Henkilöautot_fx!$R$22,IF(B72=Henkilöautot_fx!$Q$23,Henkilöautot_fx!$R$23,IF(B72=Henkilöautot_fx!$Q$24,Henkilöautot_fx!$R$24,0))),0))))</f>
        <v>0</v>
      </c>
      <c r="H72">
        <f>IF(E72=Henkilöautot_fx!$J$20,IF(B72=Henkilöautot_fx!$Q$25,Henkilöautot_fx!$R$25,IF(B72=Henkilöautot_fx!$Q$26,Henkilöautot_fx!$R$26,IF(B72=Henkilöautot_fx!$Q$27,Henkilöautot_fx!$R$27,IF(B72=Henkilöautot_fx!$Q$28,Henkilöautot_fx!$R$28,IF(B72=Henkilöautot_fx!$Q$29,Henkilöautot_fx!$R$29,0))))),IF(E72=Henkilöautot_fx!$J$21,Henkilöautot_fx!$R$30,IF(E72=Henkilöautot_fx!$J$22,IF(B72=Henkilöautot_fx!$Q$31,Henkilöautot_fx!$R$31,IF(B72=Henkilöautot_fx!$Q$32,Henkilöautot_fx!$R$32,IF(B72=Henkilöautot_fx!$Q$33,Henkilöautot_fx!$R$33,IF(B72=Henkilöautot_fx!$Q$34,Henkilöautot_fx!$R$34,0)))),0)))</f>
        <v>0</v>
      </c>
      <c r="I72">
        <f t="shared" si="1"/>
        <v>0</v>
      </c>
      <c r="L72">
        <f>Henkilöautot!H74</f>
        <v>0</v>
      </c>
      <c r="M72">
        <f>Henkilöautot!I74</f>
        <v>0</v>
      </c>
      <c r="N72">
        <f>Henkilöautot!J74</f>
        <v>0</v>
      </c>
      <c r="P72">
        <f>IF(L72=Henkilöautot_fx!$O$35,Henkilöautot_fx!$R$35,IF(L72=Henkilöautot_fx!$O$36,Henkilöautot_fx!$R$36,IF(L72=Henkilöautot_fx!$O$37,Henkilöautot_fx!$R$37,IF(L72=Henkilöautot_fx!$O$38,Henkilöautot_fx!$R$38,IF(L72=Henkilöautot_fx!$O$39,Henkilöautot_fx!$R$39,IF(L72=Henkilöautot_fx!$O$40,Henkilöautot_fx!$R$40,IF(L72=Henkilöautot_fx!$N$41,Henkilöautot_fx!$R$41,0)))))))</f>
        <v>0</v>
      </c>
      <c r="Q72">
        <f t="shared" si="2"/>
        <v>0</v>
      </c>
    </row>
    <row r="73" spans="1:17" x14ac:dyDescent="0.25">
      <c r="A73">
        <f>Henkilöautot!A75</f>
        <v>0</v>
      </c>
      <c r="B73">
        <f>Henkilöautot!B75</f>
        <v>0</v>
      </c>
      <c r="C73">
        <f>Henkilöautot!C75</f>
        <v>0</v>
      </c>
      <c r="D73">
        <f>Henkilöautot!D75</f>
        <v>0</v>
      </c>
      <c r="E73">
        <f>Henkilöautot!E75</f>
        <v>0</v>
      </c>
      <c r="G73">
        <f>IF(E73=Henkilöautot_fx!$J$16,IF(B73=Henkilöautot_fx!$Q$7,Henkilöautot_fx!$R$7,IF(B73=Henkilöautot_fx!$Q$8,Henkilöautot_fx!$R$8,IF(B73=Henkilöautot_fx!$Q$9,Henkilöautot_fx!$R$9,IF(B73=Henkilöautot_fx!$Q$10,Henkilöautot_fx!$R$10,IF(B73=Henkilöautot_fx!$Q$11,Henkilöautot_fx!$R$11,IF(B73=Henkilöautot_fx!$Q$12,Henkilöautot_fx!$R$12,IF(B73=Henkilöautot_fx!$Q$13,Henkilöautot_fx!$R$13,0))))))),IF(E73=Henkilöautot_fx!$J$17,IF(B73=Henkilöautot_fx!$Q$14,Henkilöautot_fx!$R$14,IF(B73=Henkilöautot_fx!$Q$15,Henkilöautot_fx!$R$15,IF(B73=Henkilöautot_fx!$Q$16,Henkilöautot_fx!$R$16,IF(B73=Henkilöautot_fx!$Q$17,Henkilöautot_fx!$R$17,IF(B73=Henkilöautot_fx!$Q$18,Henkilöautot_fx!$R$18,IF(B73=Henkilöautot_fx!$Q$19,Henkilöautot_fx!$R$19,IF(B73=Henkilöautot_fx!$Q$20,Henkilöautot_fx!$R$20,0))))))),IF(E73=Henkilöautot_fx!$J$18,Henkilöautot_fx!$R$21,IF(E73=Henkilöautot_fx!$J$19,IF(B73=Henkilöautot_fx!$Q$22,Henkilöautot_fx!$R$22,IF(B73=Henkilöautot_fx!$Q$23,Henkilöautot_fx!$R$23,IF(B73=Henkilöautot_fx!$Q$24,Henkilöautot_fx!$R$24,0))),0))))</f>
        <v>0</v>
      </c>
      <c r="H73">
        <f>IF(E73=Henkilöautot_fx!$J$20,IF(B73=Henkilöautot_fx!$Q$25,Henkilöautot_fx!$R$25,IF(B73=Henkilöautot_fx!$Q$26,Henkilöautot_fx!$R$26,IF(B73=Henkilöautot_fx!$Q$27,Henkilöautot_fx!$R$27,IF(B73=Henkilöautot_fx!$Q$28,Henkilöautot_fx!$R$28,IF(B73=Henkilöautot_fx!$Q$29,Henkilöautot_fx!$R$29,0))))),IF(E73=Henkilöautot_fx!$J$21,Henkilöautot_fx!$R$30,IF(E73=Henkilöautot_fx!$J$22,IF(B73=Henkilöautot_fx!$Q$31,Henkilöautot_fx!$R$31,IF(B73=Henkilöautot_fx!$Q$32,Henkilöautot_fx!$R$32,IF(B73=Henkilöautot_fx!$Q$33,Henkilöautot_fx!$R$33,IF(B73=Henkilöautot_fx!$Q$34,Henkilöautot_fx!$R$34,0)))),0)))</f>
        <v>0</v>
      </c>
      <c r="I73">
        <f t="shared" si="1"/>
        <v>0</v>
      </c>
      <c r="L73">
        <f>Henkilöautot!H75</f>
        <v>0</v>
      </c>
      <c r="M73">
        <f>Henkilöautot!I75</f>
        <v>0</v>
      </c>
      <c r="N73">
        <f>Henkilöautot!J75</f>
        <v>0</v>
      </c>
      <c r="P73">
        <f>IF(L73=Henkilöautot_fx!$O$35,Henkilöautot_fx!$R$35,IF(L73=Henkilöautot_fx!$O$36,Henkilöautot_fx!$R$36,IF(L73=Henkilöautot_fx!$O$37,Henkilöautot_fx!$R$37,IF(L73=Henkilöautot_fx!$O$38,Henkilöautot_fx!$R$38,IF(L73=Henkilöautot_fx!$O$39,Henkilöautot_fx!$R$39,IF(L73=Henkilöautot_fx!$O$40,Henkilöautot_fx!$R$40,IF(L73=Henkilöautot_fx!$N$41,Henkilöautot_fx!$R$41,0)))))))</f>
        <v>0</v>
      </c>
      <c r="Q73">
        <f t="shared" si="2"/>
        <v>0</v>
      </c>
    </row>
    <row r="74" spans="1:17" x14ac:dyDescent="0.25">
      <c r="A74">
        <f>Henkilöautot!A76</f>
        <v>0</v>
      </c>
      <c r="B74">
        <f>Henkilöautot!B76</f>
        <v>0</v>
      </c>
      <c r="C74">
        <f>Henkilöautot!C76</f>
        <v>0</v>
      </c>
      <c r="D74">
        <f>Henkilöautot!D76</f>
        <v>0</v>
      </c>
      <c r="E74">
        <f>Henkilöautot!E76</f>
        <v>0</v>
      </c>
      <c r="G74">
        <f>IF(E74=Henkilöautot_fx!$J$16,IF(B74=Henkilöautot_fx!$Q$7,Henkilöautot_fx!$R$7,IF(B74=Henkilöautot_fx!$Q$8,Henkilöautot_fx!$R$8,IF(B74=Henkilöautot_fx!$Q$9,Henkilöautot_fx!$R$9,IF(B74=Henkilöautot_fx!$Q$10,Henkilöautot_fx!$R$10,IF(B74=Henkilöautot_fx!$Q$11,Henkilöautot_fx!$R$11,IF(B74=Henkilöautot_fx!$Q$12,Henkilöautot_fx!$R$12,IF(B74=Henkilöautot_fx!$Q$13,Henkilöautot_fx!$R$13,0))))))),IF(E74=Henkilöautot_fx!$J$17,IF(B74=Henkilöautot_fx!$Q$14,Henkilöautot_fx!$R$14,IF(B74=Henkilöautot_fx!$Q$15,Henkilöautot_fx!$R$15,IF(B74=Henkilöautot_fx!$Q$16,Henkilöautot_fx!$R$16,IF(B74=Henkilöautot_fx!$Q$17,Henkilöautot_fx!$R$17,IF(B74=Henkilöautot_fx!$Q$18,Henkilöautot_fx!$R$18,IF(B74=Henkilöautot_fx!$Q$19,Henkilöautot_fx!$R$19,IF(B74=Henkilöautot_fx!$Q$20,Henkilöautot_fx!$R$20,0))))))),IF(E74=Henkilöautot_fx!$J$18,Henkilöautot_fx!$R$21,IF(E74=Henkilöautot_fx!$J$19,IF(B74=Henkilöautot_fx!$Q$22,Henkilöautot_fx!$R$22,IF(B74=Henkilöautot_fx!$Q$23,Henkilöautot_fx!$R$23,IF(B74=Henkilöautot_fx!$Q$24,Henkilöautot_fx!$R$24,0))),0))))</f>
        <v>0</v>
      </c>
      <c r="H74">
        <f>IF(E74=Henkilöautot_fx!$J$20,IF(B74=Henkilöautot_fx!$Q$25,Henkilöautot_fx!$R$25,IF(B74=Henkilöautot_fx!$Q$26,Henkilöautot_fx!$R$26,IF(B74=Henkilöautot_fx!$Q$27,Henkilöautot_fx!$R$27,IF(B74=Henkilöautot_fx!$Q$28,Henkilöautot_fx!$R$28,IF(B74=Henkilöautot_fx!$Q$29,Henkilöautot_fx!$R$29,0))))),IF(E74=Henkilöautot_fx!$J$21,Henkilöautot_fx!$R$30,IF(E74=Henkilöautot_fx!$J$22,IF(B74=Henkilöautot_fx!$Q$31,Henkilöautot_fx!$R$31,IF(B74=Henkilöautot_fx!$Q$32,Henkilöautot_fx!$R$32,IF(B74=Henkilöautot_fx!$Q$33,Henkilöautot_fx!$R$33,IF(B74=Henkilöautot_fx!$Q$34,Henkilöautot_fx!$R$34,0)))),0)))</f>
        <v>0</v>
      </c>
      <c r="I74">
        <f t="shared" si="1"/>
        <v>0</v>
      </c>
      <c r="L74">
        <f>Henkilöautot!H76</f>
        <v>0</v>
      </c>
      <c r="M74">
        <f>Henkilöautot!I76</f>
        <v>0</v>
      </c>
      <c r="N74">
        <f>Henkilöautot!J76</f>
        <v>0</v>
      </c>
      <c r="P74">
        <f>IF(L74=Henkilöautot_fx!$O$35,Henkilöautot_fx!$R$35,IF(L74=Henkilöautot_fx!$O$36,Henkilöautot_fx!$R$36,IF(L74=Henkilöautot_fx!$O$37,Henkilöautot_fx!$R$37,IF(L74=Henkilöautot_fx!$O$38,Henkilöautot_fx!$R$38,IF(L74=Henkilöautot_fx!$O$39,Henkilöautot_fx!$R$39,IF(L74=Henkilöautot_fx!$O$40,Henkilöautot_fx!$R$40,IF(L74=Henkilöautot_fx!$N$41,Henkilöautot_fx!$R$41,0)))))))</f>
        <v>0</v>
      </c>
      <c r="Q74">
        <f t="shared" si="2"/>
        <v>0</v>
      </c>
    </row>
    <row r="75" spans="1:17" x14ac:dyDescent="0.25">
      <c r="A75">
        <f>Henkilöautot!A77</f>
        <v>0</v>
      </c>
      <c r="B75">
        <f>Henkilöautot!B77</f>
        <v>0</v>
      </c>
      <c r="C75">
        <f>Henkilöautot!C77</f>
        <v>0</v>
      </c>
      <c r="D75">
        <f>Henkilöautot!D77</f>
        <v>0</v>
      </c>
      <c r="E75">
        <f>Henkilöautot!E77</f>
        <v>0</v>
      </c>
      <c r="G75">
        <f>IF(E75=Henkilöautot_fx!$J$16,IF(B75=Henkilöautot_fx!$Q$7,Henkilöautot_fx!$R$7,IF(B75=Henkilöautot_fx!$Q$8,Henkilöautot_fx!$R$8,IF(B75=Henkilöautot_fx!$Q$9,Henkilöautot_fx!$R$9,IF(B75=Henkilöautot_fx!$Q$10,Henkilöautot_fx!$R$10,IF(B75=Henkilöautot_fx!$Q$11,Henkilöautot_fx!$R$11,IF(B75=Henkilöautot_fx!$Q$12,Henkilöautot_fx!$R$12,IF(B75=Henkilöautot_fx!$Q$13,Henkilöautot_fx!$R$13,0))))))),IF(E75=Henkilöautot_fx!$J$17,IF(B75=Henkilöautot_fx!$Q$14,Henkilöautot_fx!$R$14,IF(B75=Henkilöautot_fx!$Q$15,Henkilöautot_fx!$R$15,IF(B75=Henkilöautot_fx!$Q$16,Henkilöautot_fx!$R$16,IF(B75=Henkilöautot_fx!$Q$17,Henkilöautot_fx!$R$17,IF(B75=Henkilöautot_fx!$Q$18,Henkilöautot_fx!$R$18,IF(B75=Henkilöautot_fx!$Q$19,Henkilöautot_fx!$R$19,IF(B75=Henkilöautot_fx!$Q$20,Henkilöautot_fx!$R$20,0))))))),IF(E75=Henkilöautot_fx!$J$18,Henkilöautot_fx!$R$21,IF(E75=Henkilöautot_fx!$J$19,IF(B75=Henkilöautot_fx!$Q$22,Henkilöautot_fx!$R$22,IF(B75=Henkilöautot_fx!$Q$23,Henkilöautot_fx!$R$23,IF(B75=Henkilöautot_fx!$Q$24,Henkilöautot_fx!$R$24,0))),0))))</f>
        <v>0</v>
      </c>
      <c r="H75">
        <f>IF(E75=Henkilöautot_fx!$J$20,IF(B75=Henkilöautot_fx!$Q$25,Henkilöautot_fx!$R$25,IF(B75=Henkilöautot_fx!$Q$26,Henkilöautot_fx!$R$26,IF(B75=Henkilöautot_fx!$Q$27,Henkilöautot_fx!$R$27,IF(B75=Henkilöautot_fx!$Q$28,Henkilöautot_fx!$R$28,IF(B75=Henkilöautot_fx!$Q$29,Henkilöautot_fx!$R$29,0))))),IF(E75=Henkilöautot_fx!$J$21,Henkilöautot_fx!$R$30,IF(E75=Henkilöautot_fx!$J$22,IF(B75=Henkilöautot_fx!$Q$31,Henkilöautot_fx!$R$31,IF(B75=Henkilöautot_fx!$Q$32,Henkilöautot_fx!$R$32,IF(B75=Henkilöautot_fx!$Q$33,Henkilöautot_fx!$R$33,IF(B75=Henkilöautot_fx!$Q$34,Henkilöautot_fx!$R$34,0)))),0)))</f>
        <v>0</v>
      </c>
      <c r="I75">
        <f t="shared" si="1"/>
        <v>0</v>
      </c>
      <c r="L75">
        <f>Henkilöautot!H77</f>
        <v>0</v>
      </c>
      <c r="M75">
        <f>Henkilöautot!I77</f>
        <v>0</v>
      </c>
      <c r="N75">
        <f>Henkilöautot!J77</f>
        <v>0</v>
      </c>
      <c r="P75">
        <f>IF(L75=Henkilöautot_fx!$O$35,Henkilöautot_fx!$R$35,IF(L75=Henkilöautot_fx!$O$36,Henkilöautot_fx!$R$36,IF(L75=Henkilöautot_fx!$O$37,Henkilöautot_fx!$R$37,IF(L75=Henkilöautot_fx!$O$38,Henkilöautot_fx!$R$38,IF(L75=Henkilöautot_fx!$O$39,Henkilöautot_fx!$R$39,IF(L75=Henkilöautot_fx!$O$40,Henkilöautot_fx!$R$40,IF(L75=Henkilöautot_fx!$N$41,Henkilöautot_fx!$R$41,0)))))))</f>
        <v>0</v>
      </c>
      <c r="Q75">
        <f t="shared" si="2"/>
        <v>0</v>
      </c>
    </row>
    <row r="76" spans="1:17" x14ac:dyDescent="0.25">
      <c r="A76">
        <f>Henkilöautot!A78</f>
        <v>0</v>
      </c>
      <c r="B76">
        <f>Henkilöautot!B78</f>
        <v>0</v>
      </c>
      <c r="C76">
        <f>Henkilöautot!C78</f>
        <v>0</v>
      </c>
      <c r="D76">
        <f>Henkilöautot!D78</f>
        <v>0</v>
      </c>
      <c r="E76">
        <f>Henkilöautot!E78</f>
        <v>0</v>
      </c>
      <c r="G76">
        <f>IF(E76=Henkilöautot_fx!$J$16,IF(B76=Henkilöautot_fx!$Q$7,Henkilöautot_fx!$R$7,IF(B76=Henkilöautot_fx!$Q$8,Henkilöautot_fx!$R$8,IF(B76=Henkilöautot_fx!$Q$9,Henkilöautot_fx!$R$9,IF(B76=Henkilöautot_fx!$Q$10,Henkilöautot_fx!$R$10,IF(B76=Henkilöautot_fx!$Q$11,Henkilöautot_fx!$R$11,IF(B76=Henkilöautot_fx!$Q$12,Henkilöautot_fx!$R$12,IF(B76=Henkilöautot_fx!$Q$13,Henkilöautot_fx!$R$13,0))))))),IF(E76=Henkilöautot_fx!$J$17,IF(B76=Henkilöautot_fx!$Q$14,Henkilöautot_fx!$R$14,IF(B76=Henkilöautot_fx!$Q$15,Henkilöautot_fx!$R$15,IF(B76=Henkilöautot_fx!$Q$16,Henkilöautot_fx!$R$16,IF(B76=Henkilöautot_fx!$Q$17,Henkilöautot_fx!$R$17,IF(B76=Henkilöautot_fx!$Q$18,Henkilöautot_fx!$R$18,IF(B76=Henkilöautot_fx!$Q$19,Henkilöautot_fx!$R$19,IF(B76=Henkilöautot_fx!$Q$20,Henkilöautot_fx!$R$20,0))))))),IF(E76=Henkilöautot_fx!$J$18,Henkilöautot_fx!$R$21,IF(E76=Henkilöautot_fx!$J$19,IF(B76=Henkilöautot_fx!$Q$22,Henkilöautot_fx!$R$22,IF(B76=Henkilöautot_fx!$Q$23,Henkilöautot_fx!$R$23,IF(B76=Henkilöautot_fx!$Q$24,Henkilöautot_fx!$R$24,0))),0))))</f>
        <v>0</v>
      </c>
      <c r="H76">
        <f>IF(E76=Henkilöautot_fx!$J$20,IF(B76=Henkilöautot_fx!$Q$25,Henkilöautot_fx!$R$25,IF(B76=Henkilöautot_fx!$Q$26,Henkilöautot_fx!$R$26,IF(B76=Henkilöautot_fx!$Q$27,Henkilöautot_fx!$R$27,IF(B76=Henkilöautot_fx!$Q$28,Henkilöautot_fx!$R$28,IF(B76=Henkilöautot_fx!$Q$29,Henkilöautot_fx!$R$29,0))))),IF(E76=Henkilöautot_fx!$J$21,Henkilöautot_fx!$R$30,IF(E76=Henkilöautot_fx!$J$22,IF(B76=Henkilöautot_fx!$Q$31,Henkilöautot_fx!$R$31,IF(B76=Henkilöautot_fx!$Q$32,Henkilöautot_fx!$R$32,IF(B76=Henkilöautot_fx!$Q$33,Henkilöautot_fx!$R$33,IF(B76=Henkilöautot_fx!$Q$34,Henkilöautot_fx!$R$34,0)))),0)))</f>
        <v>0</v>
      </c>
      <c r="I76">
        <f t="shared" si="1"/>
        <v>0</v>
      </c>
      <c r="L76">
        <f>Henkilöautot!H78</f>
        <v>0</v>
      </c>
      <c r="M76">
        <f>Henkilöautot!I78</f>
        <v>0</v>
      </c>
      <c r="N76">
        <f>Henkilöautot!J78</f>
        <v>0</v>
      </c>
      <c r="P76">
        <f>IF(L76=Henkilöautot_fx!$O$35,Henkilöautot_fx!$R$35,IF(L76=Henkilöautot_fx!$O$36,Henkilöautot_fx!$R$36,IF(L76=Henkilöautot_fx!$O$37,Henkilöautot_fx!$R$37,IF(L76=Henkilöautot_fx!$O$38,Henkilöautot_fx!$R$38,IF(L76=Henkilöautot_fx!$O$39,Henkilöautot_fx!$R$39,IF(L76=Henkilöautot_fx!$O$40,Henkilöautot_fx!$R$40,IF(L76=Henkilöautot_fx!$N$41,Henkilöautot_fx!$R$41,0)))))))</f>
        <v>0</v>
      </c>
      <c r="Q76">
        <f t="shared" si="2"/>
        <v>0</v>
      </c>
    </row>
    <row r="77" spans="1:17" x14ac:dyDescent="0.25">
      <c r="A77">
        <f>Henkilöautot!A79</f>
        <v>0</v>
      </c>
      <c r="B77">
        <f>Henkilöautot!B79</f>
        <v>0</v>
      </c>
      <c r="C77">
        <f>Henkilöautot!C79</f>
        <v>0</v>
      </c>
      <c r="D77">
        <f>Henkilöautot!D79</f>
        <v>0</v>
      </c>
      <c r="E77">
        <f>Henkilöautot!E79</f>
        <v>0</v>
      </c>
      <c r="G77">
        <f>IF(E77=Henkilöautot_fx!$J$16,IF(B77=Henkilöautot_fx!$Q$7,Henkilöautot_fx!$R$7,IF(B77=Henkilöautot_fx!$Q$8,Henkilöautot_fx!$R$8,IF(B77=Henkilöautot_fx!$Q$9,Henkilöautot_fx!$R$9,IF(B77=Henkilöautot_fx!$Q$10,Henkilöautot_fx!$R$10,IF(B77=Henkilöautot_fx!$Q$11,Henkilöautot_fx!$R$11,IF(B77=Henkilöautot_fx!$Q$12,Henkilöautot_fx!$R$12,IF(B77=Henkilöautot_fx!$Q$13,Henkilöautot_fx!$R$13,0))))))),IF(E77=Henkilöautot_fx!$J$17,IF(B77=Henkilöautot_fx!$Q$14,Henkilöautot_fx!$R$14,IF(B77=Henkilöautot_fx!$Q$15,Henkilöautot_fx!$R$15,IF(B77=Henkilöautot_fx!$Q$16,Henkilöautot_fx!$R$16,IF(B77=Henkilöautot_fx!$Q$17,Henkilöautot_fx!$R$17,IF(B77=Henkilöautot_fx!$Q$18,Henkilöautot_fx!$R$18,IF(B77=Henkilöautot_fx!$Q$19,Henkilöautot_fx!$R$19,IF(B77=Henkilöautot_fx!$Q$20,Henkilöautot_fx!$R$20,0))))))),IF(E77=Henkilöautot_fx!$J$18,Henkilöautot_fx!$R$21,IF(E77=Henkilöautot_fx!$J$19,IF(B77=Henkilöautot_fx!$Q$22,Henkilöautot_fx!$R$22,IF(B77=Henkilöautot_fx!$Q$23,Henkilöautot_fx!$R$23,IF(B77=Henkilöautot_fx!$Q$24,Henkilöautot_fx!$R$24,0))),0))))</f>
        <v>0</v>
      </c>
      <c r="H77">
        <f>IF(E77=Henkilöautot_fx!$J$20,IF(B77=Henkilöautot_fx!$Q$25,Henkilöautot_fx!$R$25,IF(B77=Henkilöautot_fx!$Q$26,Henkilöautot_fx!$R$26,IF(B77=Henkilöautot_fx!$Q$27,Henkilöautot_fx!$R$27,IF(B77=Henkilöautot_fx!$Q$28,Henkilöautot_fx!$R$28,IF(B77=Henkilöautot_fx!$Q$29,Henkilöautot_fx!$R$29,0))))),IF(E77=Henkilöautot_fx!$J$21,Henkilöautot_fx!$R$30,IF(E77=Henkilöautot_fx!$J$22,IF(B77=Henkilöautot_fx!$Q$31,Henkilöautot_fx!$R$31,IF(B77=Henkilöautot_fx!$Q$32,Henkilöautot_fx!$R$32,IF(B77=Henkilöautot_fx!$Q$33,Henkilöautot_fx!$R$33,IF(B77=Henkilöautot_fx!$Q$34,Henkilöautot_fx!$R$34,0)))),0)))</f>
        <v>0</v>
      </c>
      <c r="I77">
        <f t="shared" si="1"/>
        <v>0</v>
      </c>
      <c r="L77">
        <f>Henkilöautot!H79</f>
        <v>0</v>
      </c>
      <c r="M77">
        <f>Henkilöautot!I79</f>
        <v>0</v>
      </c>
      <c r="N77">
        <f>Henkilöautot!J79</f>
        <v>0</v>
      </c>
      <c r="P77">
        <f>IF(L77=Henkilöautot_fx!$O$35,Henkilöautot_fx!$R$35,IF(L77=Henkilöautot_fx!$O$36,Henkilöautot_fx!$R$36,IF(L77=Henkilöautot_fx!$O$37,Henkilöautot_fx!$R$37,IF(L77=Henkilöautot_fx!$O$38,Henkilöautot_fx!$R$38,IF(L77=Henkilöautot_fx!$O$39,Henkilöautot_fx!$R$39,IF(L77=Henkilöautot_fx!$O$40,Henkilöautot_fx!$R$40,IF(L77=Henkilöautot_fx!$N$41,Henkilöautot_fx!$R$41,0)))))))</f>
        <v>0</v>
      </c>
      <c r="Q77">
        <f t="shared" si="2"/>
        <v>0</v>
      </c>
    </row>
    <row r="78" spans="1:17" x14ac:dyDescent="0.25">
      <c r="A78">
        <f>Henkilöautot!A80</f>
        <v>0</v>
      </c>
      <c r="B78">
        <f>Henkilöautot!B80</f>
        <v>0</v>
      </c>
      <c r="C78">
        <f>Henkilöautot!C80</f>
        <v>0</v>
      </c>
      <c r="D78">
        <f>Henkilöautot!D80</f>
        <v>0</v>
      </c>
      <c r="E78">
        <f>Henkilöautot!E80</f>
        <v>0</v>
      </c>
      <c r="G78">
        <f>IF(E78=Henkilöautot_fx!$J$16,IF(B78=Henkilöautot_fx!$Q$7,Henkilöautot_fx!$R$7,IF(B78=Henkilöautot_fx!$Q$8,Henkilöautot_fx!$R$8,IF(B78=Henkilöautot_fx!$Q$9,Henkilöautot_fx!$R$9,IF(B78=Henkilöautot_fx!$Q$10,Henkilöautot_fx!$R$10,IF(B78=Henkilöautot_fx!$Q$11,Henkilöautot_fx!$R$11,IF(B78=Henkilöautot_fx!$Q$12,Henkilöautot_fx!$R$12,IF(B78=Henkilöautot_fx!$Q$13,Henkilöautot_fx!$R$13,0))))))),IF(E78=Henkilöautot_fx!$J$17,IF(B78=Henkilöautot_fx!$Q$14,Henkilöautot_fx!$R$14,IF(B78=Henkilöautot_fx!$Q$15,Henkilöautot_fx!$R$15,IF(B78=Henkilöautot_fx!$Q$16,Henkilöautot_fx!$R$16,IF(B78=Henkilöautot_fx!$Q$17,Henkilöautot_fx!$R$17,IF(B78=Henkilöautot_fx!$Q$18,Henkilöautot_fx!$R$18,IF(B78=Henkilöautot_fx!$Q$19,Henkilöautot_fx!$R$19,IF(B78=Henkilöautot_fx!$Q$20,Henkilöautot_fx!$R$20,0))))))),IF(E78=Henkilöautot_fx!$J$18,Henkilöautot_fx!$R$21,IF(E78=Henkilöautot_fx!$J$19,IF(B78=Henkilöautot_fx!$Q$22,Henkilöautot_fx!$R$22,IF(B78=Henkilöautot_fx!$Q$23,Henkilöautot_fx!$R$23,IF(B78=Henkilöautot_fx!$Q$24,Henkilöautot_fx!$R$24,0))),0))))</f>
        <v>0</v>
      </c>
      <c r="H78">
        <f>IF(E78=Henkilöautot_fx!$J$20,IF(B78=Henkilöautot_fx!$Q$25,Henkilöautot_fx!$R$25,IF(B78=Henkilöautot_fx!$Q$26,Henkilöautot_fx!$R$26,IF(B78=Henkilöautot_fx!$Q$27,Henkilöautot_fx!$R$27,IF(B78=Henkilöautot_fx!$Q$28,Henkilöautot_fx!$R$28,IF(B78=Henkilöautot_fx!$Q$29,Henkilöautot_fx!$R$29,0))))),IF(E78=Henkilöautot_fx!$J$21,Henkilöautot_fx!$R$30,IF(E78=Henkilöautot_fx!$J$22,IF(B78=Henkilöautot_fx!$Q$31,Henkilöautot_fx!$R$31,IF(B78=Henkilöautot_fx!$Q$32,Henkilöautot_fx!$R$32,IF(B78=Henkilöautot_fx!$Q$33,Henkilöautot_fx!$R$33,IF(B78=Henkilöautot_fx!$Q$34,Henkilöautot_fx!$R$34,0)))),0)))</f>
        <v>0</v>
      </c>
      <c r="I78">
        <f t="shared" si="1"/>
        <v>0</v>
      </c>
      <c r="L78">
        <f>Henkilöautot!H80</f>
        <v>0</v>
      </c>
      <c r="M78">
        <f>Henkilöautot!I80</f>
        <v>0</v>
      </c>
      <c r="N78">
        <f>Henkilöautot!J80</f>
        <v>0</v>
      </c>
      <c r="P78">
        <f>IF(L78=Henkilöautot_fx!$O$35,Henkilöautot_fx!$R$35,IF(L78=Henkilöautot_fx!$O$36,Henkilöautot_fx!$R$36,IF(L78=Henkilöautot_fx!$O$37,Henkilöautot_fx!$R$37,IF(L78=Henkilöautot_fx!$O$38,Henkilöautot_fx!$R$38,IF(L78=Henkilöautot_fx!$O$39,Henkilöautot_fx!$R$39,IF(L78=Henkilöautot_fx!$O$40,Henkilöautot_fx!$R$40,IF(L78=Henkilöautot_fx!$N$41,Henkilöautot_fx!$R$41,0)))))))</f>
        <v>0</v>
      </c>
      <c r="Q78">
        <f t="shared" si="2"/>
        <v>0</v>
      </c>
    </row>
    <row r="79" spans="1:17" x14ac:dyDescent="0.25">
      <c r="A79">
        <f>Henkilöautot!A81</f>
        <v>0</v>
      </c>
      <c r="B79">
        <f>Henkilöautot!B81</f>
        <v>0</v>
      </c>
      <c r="C79">
        <f>Henkilöautot!C81</f>
        <v>0</v>
      </c>
      <c r="D79">
        <f>Henkilöautot!D81</f>
        <v>0</v>
      </c>
      <c r="E79">
        <f>Henkilöautot!E81</f>
        <v>0</v>
      </c>
      <c r="G79">
        <f>IF(E79=Henkilöautot_fx!$J$16,IF(B79=Henkilöautot_fx!$Q$7,Henkilöautot_fx!$R$7,IF(B79=Henkilöautot_fx!$Q$8,Henkilöautot_fx!$R$8,IF(B79=Henkilöautot_fx!$Q$9,Henkilöautot_fx!$R$9,IF(B79=Henkilöautot_fx!$Q$10,Henkilöautot_fx!$R$10,IF(B79=Henkilöautot_fx!$Q$11,Henkilöautot_fx!$R$11,IF(B79=Henkilöautot_fx!$Q$12,Henkilöautot_fx!$R$12,IF(B79=Henkilöautot_fx!$Q$13,Henkilöautot_fx!$R$13,0))))))),IF(E79=Henkilöautot_fx!$J$17,IF(B79=Henkilöautot_fx!$Q$14,Henkilöautot_fx!$R$14,IF(B79=Henkilöautot_fx!$Q$15,Henkilöautot_fx!$R$15,IF(B79=Henkilöautot_fx!$Q$16,Henkilöautot_fx!$R$16,IF(B79=Henkilöautot_fx!$Q$17,Henkilöautot_fx!$R$17,IF(B79=Henkilöautot_fx!$Q$18,Henkilöautot_fx!$R$18,IF(B79=Henkilöautot_fx!$Q$19,Henkilöautot_fx!$R$19,IF(B79=Henkilöautot_fx!$Q$20,Henkilöautot_fx!$R$20,0))))))),IF(E79=Henkilöautot_fx!$J$18,Henkilöautot_fx!$R$21,IF(E79=Henkilöautot_fx!$J$19,IF(B79=Henkilöautot_fx!$Q$22,Henkilöautot_fx!$R$22,IF(B79=Henkilöautot_fx!$Q$23,Henkilöautot_fx!$R$23,IF(B79=Henkilöautot_fx!$Q$24,Henkilöautot_fx!$R$24,0))),0))))</f>
        <v>0</v>
      </c>
      <c r="H79">
        <f>IF(E79=Henkilöautot_fx!$J$20,IF(B79=Henkilöautot_fx!$Q$25,Henkilöautot_fx!$R$25,IF(B79=Henkilöautot_fx!$Q$26,Henkilöautot_fx!$R$26,IF(B79=Henkilöautot_fx!$Q$27,Henkilöautot_fx!$R$27,IF(B79=Henkilöautot_fx!$Q$28,Henkilöautot_fx!$R$28,IF(B79=Henkilöautot_fx!$Q$29,Henkilöautot_fx!$R$29,0))))),IF(E79=Henkilöautot_fx!$J$21,Henkilöautot_fx!$R$30,IF(E79=Henkilöautot_fx!$J$22,IF(B79=Henkilöautot_fx!$Q$31,Henkilöautot_fx!$R$31,IF(B79=Henkilöautot_fx!$Q$32,Henkilöautot_fx!$R$32,IF(B79=Henkilöautot_fx!$Q$33,Henkilöautot_fx!$R$33,IF(B79=Henkilöautot_fx!$Q$34,Henkilöautot_fx!$R$34,0)))),0)))</f>
        <v>0</v>
      </c>
      <c r="I79">
        <f t="shared" si="1"/>
        <v>0</v>
      </c>
      <c r="L79">
        <f>Henkilöautot!H81</f>
        <v>0</v>
      </c>
      <c r="M79">
        <f>Henkilöautot!I81</f>
        <v>0</v>
      </c>
      <c r="N79">
        <f>Henkilöautot!J81</f>
        <v>0</v>
      </c>
      <c r="P79">
        <f>IF(L79=Henkilöautot_fx!$O$35,Henkilöautot_fx!$R$35,IF(L79=Henkilöautot_fx!$O$36,Henkilöautot_fx!$R$36,IF(L79=Henkilöautot_fx!$O$37,Henkilöautot_fx!$R$37,IF(L79=Henkilöautot_fx!$O$38,Henkilöautot_fx!$R$38,IF(L79=Henkilöautot_fx!$O$39,Henkilöautot_fx!$R$39,IF(L79=Henkilöautot_fx!$O$40,Henkilöautot_fx!$R$40,IF(L79=Henkilöautot_fx!$N$41,Henkilöautot_fx!$R$41,0)))))))</f>
        <v>0</v>
      </c>
      <c r="Q79">
        <f t="shared" si="2"/>
        <v>0</v>
      </c>
    </row>
    <row r="80" spans="1:17" x14ac:dyDescent="0.25">
      <c r="A80">
        <f>Henkilöautot!A82</f>
        <v>0</v>
      </c>
      <c r="B80">
        <f>Henkilöautot!B82</f>
        <v>0</v>
      </c>
      <c r="C80">
        <f>Henkilöautot!C82</f>
        <v>0</v>
      </c>
      <c r="D80">
        <f>Henkilöautot!D82</f>
        <v>0</v>
      </c>
      <c r="E80">
        <f>Henkilöautot!E82</f>
        <v>0</v>
      </c>
      <c r="G80">
        <f>IF(E80=Henkilöautot_fx!$J$16,IF(B80=Henkilöautot_fx!$Q$7,Henkilöautot_fx!$R$7,IF(B80=Henkilöautot_fx!$Q$8,Henkilöautot_fx!$R$8,IF(B80=Henkilöautot_fx!$Q$9,Henkilöautot_fx!$R$9,IF(B80=Henkilöautot_fx!$Q$10,Henkilöautot_fx!$R$10,IF(B80=Henkilöautot_fx!$Q$11,Henkilöautot_fx!$R$11,IF(B80=Henkilöautot_fx!$Q$12,Henkilöautot_fx!$R$12,IF(B80=Henkilöautot_fx!$Q$13,Henkilöautot_fx!$R$13,0))))))),IF(E80=Henkilöautot_fx!$J$17,IF(B80=Henkilöautot_fx!$Q$14,Henkilöautot_fx!$R$14,IF(B80=Henkilöautot_fx!$Q$15,Henkilöautot_fx!$R$15,IF(B80=Henkilöautot_fx!$Q$16,Henkilöautot_fx!$R$16,IF(B80=Henkilöautot_fx!$Q$17,Henkilöautot_fx!$R$17,IF(B80=Henkilöautot_fx!$Q$18,Henkilöautot_fx!$R$18,IF(B80=Henkilöautot_fx!$Q$19,Henkilöautot_fx!$R$19,IF(B80=Henkilöautot_fx!$Q$20,Henkilöautot_fx!$R$20,0))))))),IF(E80=Henkilöautot_fx!$J$18,Henkilöautot_fx!$R$21,IF(E80=Henkilöautot_fx!$J$19,IF(B80=Henkilöautot_fx!$Q$22,Henkilöautot_fx!$R$22,IF(B80=Henkilöautot_fx!$Q$23,Henkilöautot_fx!$R$23,IF(B80=Henkilöautot_fx!$Q$24,Henkilöautot_fx!$R$24,0))),0))))</f>
        <v>0</v>
      </c>
      <c r="H80">
        <f>IF(E80=Henkilöautot_fx!$J$20,IF(B80=Henkilöautot_fx!$Q$25,Henkilöautot_fx!$R$25,IF(B80=Henkilöautot_fx!$Q$26,Henkilöautot_fx!$R$26,IF(B80=Henkilöautot_fx!$Q$27,Henkilöautot_fx!$R$27,IF(B80=Henkilöautot_fx!$Q$28,Henkilöautot_fx!$R$28,IF(B80=Henkilöautot_fx!$Q$29,Henkilöautot_fx!$R$29,0))))),IF(E80=Henkilöautot_fx!$J$21,Henkilöautot_fx!$R$30,IF(E80=Henkilöautot_fx!$J$22,IF(B80=Henkilöautot_fx!$Q$31,Henkilöautot_fx!$R$31,IF(B80=Henkilöautot_fx!$Q$32,Henkilöautot_fx!$R$32,IF(B80=Henkilöautot_fx!$Q$33,Henkilöautot_fx!$R$33,IF(B80=Henkilöautot_fx!$Q$34,Henkilöautot_fx!$R$34,0)))),0)))</f>
        <v>0</v>
      </c>
      <c r="I80">
        <f t="shared" si="1"/>
        <v>0</v>
      </c>
      <c r="L80">
        <f>Henkilöautot!H82</f>
        <v>0</v>
      </c>
      <c r="M80">
        <f>Henkilöautot!I82</f>
        <v>0</v>
      </c>
      <c r="N80">
        <f>Henkilöautot!J82</f>
        <v>0</v>
      </c>
      <c r="P80">
        <f>IF(L80=Henkilöautot_fx!$O$35,Henkilöautot_fx!$R$35,IF(L80=Henkilöautot_fx!$O$36,Henkilöautot_fx!$R$36,IF(L80=Henkilöautot_fx!$O$37,Henkilöautot_fx!$R$37,IF(L80=Henkilöautot_fx!$O$38,Henkilöautot_fx!$R$38,IF(L80=Henkilöautot_fx!$O$39,Henkilöautot_fx!$R$39,IF(L80=Henkilöautot_fx!$O$40,Henkilöautot_fx!$R$40,IF(L80=Henkilöautot_fx!$N$41,Henkilöautot_fx!$R$41,0)))))))</f>
        <v>0</v>
      </c>
      <c r="Q80">
        <f t="shared" si="2"/>
        <v>0</v>
      </c>
    </row>
    <row r="81" spans="1:17" x14ac:dyDescent="0.25">
      <c r="A81">
        <f>Henkilöautot!A83</f>
        <v>0</v>
      </c>
      <c r="B81">
        <f>Henkilöautot!B83</f>
        <v>0</v>
      </c>
      <c r="C81">
        <f>Henkilöautot!C83</f>
        <v>0</v>
      </c>
      <c r="D81">
        <f>Henkilöautot!D83</f>
        <v>0</v>
      </c>
      <c r="E81">
        <f>Henkilöautot!E83</f>
        <v>0</v>
      </c>
      <c r="G81">
        <f>IF(E81=Henkilöautot_fx!$J$16,IF(B81=Henkilöautot_fx!$Q$7,Henkilöautot_fx!$R$7,IF(B81=Henkilöautot_fx!$Q$8,Henkilöautot_fx!$R$8,IF(B81=Henkilöautot_fx!$Q$9,Henkilöautot_fx!$R$9,IF(B81=Henkilöautot_fx!$Q$10,Henkilöautot_fx!$R$10,IF(B81=Henkilöautot_fx!$Q$11,Henkilöautot_fx!$R$11,IF(B81=Henkilöautot_fx!$Q$12,Henkilöautot_fx!$R$12,IF(B81=Henkilöautot_fx!$Q$13,Henkilöautot_fx!$R$13,0))))))),IF(E81=Henkilöautot_fx!$J$17,IF(B81=Henkilöautot_fx!$Q$14,Henkilöautot_fx!$R$14,IF(B81=Henkilöautot_fx!$Q$15,Henkilöautot_fx!$R$15,IF(B81=Henkilöautot_fx!$Q$16,Henkilöautot_fx!$R$16,IF(B81=Henkilöautot_fx!$Q$17,Henkilöautot_fx!$R$17,IF(B81=Henkilöautot_fx!$Q$18,Henkilöautot_fx!$R$18,IF(B81=Henkilöautot_fx!$Q$19,Henkilöautot_fx!$R$19,IF(B81=Henkilöautot_fx!$Q$20,Henkilöautot_fx!$R$20,0))))))),IF(E81=Henkilöautot_fx!$J$18,Henkilöautot_fx!$R$21,IF(E81=Henkilöautot_fx!$J$19,IF(B81=Henkilöautot_fx!$Q$22,Henkilöautot_fx!$R$22,IF(B81=Henkilöautot_fx!$Q$23,Henkilöautot_fx!$R$23,IF(B81=Henkilöautot_fx!$Q$24,Henkilöautot_fx!$R$24,0))),0))))</f>
        <v>0</v>
      </c>
      <c r="H81">
        <f>IF(E81=Henkilöautot_fx!$J$20,IF(B81=Henkilöautot_fx!$Q$25,Henkilöautot_fx!$R$25,IF(B81=Henkilöautot_fx!$Q$26,Henkilöautot_fx!$R$26,IF(B81=Henkilöautot_fx!$Q$27,Henkilöautot_fx!$R$27,IF(B81=Henkilöautot_fx!$Q$28,Henkilöautot_fx!$R$28,IF(B81=Henkilöautot_fx!$Q$29,Henkilöautot_fx!$R$29,0))))),IF(E81=Henkilöautot_fx!$J$21,Henkilöautot_fx!$R$30,IF(E81=Henkilöautot_fx!$J$22,IF(B81=Henkilöautot_fx!$Q$31,Henkilöautot_fx!$R$31,IF(B81=Henkilöautot_fx!$Q$32,Henkilöautot_fx!$R$32,IF(B81=Henkilöautot_fx!$Q$33,Henkilöautot_fx!$R$33,IF(B81=Henkilöautot_fx!$Q$34,Henkilöautot_fx!$R$34,0)))),0)))</f>
        <v>0</v>
      </c>
      <c r="I81">
        <f t="shared" si="1"/>
        <v>0</v>
      </c>
      <c r="L81">
        <f>Henkilöautot!H83</f>
        <v>0</v>
      </c>
      <c r="M81">
        <f>Henkilöautot!I83</f>
        <v>0</v>
      </c>
      <c r="N81">
        <f>Henkilöautot!J83</f>
        <v>0</v>
      </c>
      <c r="P81">
        <f>IF(L81=Henkilöautot_fx!$O$35,Henkilöautot_fx!$R$35,IF(L81=Henkilöautot_fx!$O$36,Henkilöautot_fx!$R$36,IF(L81=Henkilöautot_fx!$O$37,Henkilöautot_fx!$R$37,IF(L81=Henkilöautot_fx!$O$38,Henkilöautot_fx!$R$38,IF(L81=Henkilöautot_fx!$O$39,Henkilöautot_fx!$R$39,IF(L81=Henkilöautot_fx!$O$40,Henkilöautot_fx!$R$40,IF(L81=Henkilöautot_fx!$N$41,Henkilöautot_fx!$R$41,0)))))))</f>
        <v>0</v>
      </c>
      <c r="Q81">
        <f t="shared" si="2"/>
        <v>0</v>
      </c>
    </row>
    <row r="82" spans="1:17" x14ac:dyDescent="0.25">
      <c r="A82">
        <f>Henkilöautot!A84</f>
        <v>0</v>
      </c>
      <c r="B82">
        <f>Henkilöautot!B84</f>
        <v>0</v>
      </c>
      <c r="C82">
        <f>Henkilöautot!C84</f>
        <v>0</v>
      </c>
      <c r="D82">
        <f>Henkilöautot!D84</f>
        <v>0</v>
      </c>
      <c r="E82">
        <f>Henkilöautot!E84</f>
        <v>0</v>
      </c>
      <c r="G82">
        <f>IF(E82=Henkilöautot_fx!$J$16,IF(B82=Henkilöautot_fx!$Q$7,Henkilöautot_fx!$R$7,IF(B82=Henkilöautot_fx!$Q$8,Henkilöautot_fx!$R$8,IF(B82=Henkilöautot_fx!$Q$9,Henkilöautot_fx!$R$9,IF(B82=Henkilöautot_fx!$Q$10,Henkilöautot_fx!$R$10,IF(B82=Henkilöautot_fx!$Q$11,Henkilöautot_fx!$R$11,IF(B82=Henkilöautot_fx!$Q$12,Henkilöautot_fx!$R$12,IF(B82=Henkilöautot_fx!$Q$13,Henkilöautot_fx!$R$13,0))))))),IF(E82=Henkilöautot_fx!$J$17,IF(B82=Henkilöautot_fx!$Q$14,Henkilöautot_fx!$R$14,IF(B82=Henkilöautot_fx!$Q$15,Henkilöautot_fx!$R$15,IF(B82=Henkilöautot_fx!$Q$16,Henkilöautot_fx!$R$16,IF(B82=Henkilöautot_fx!$Q$17,Henkilöautot_fx!$R$17,IF(B82=Henkilöautot_fx!$Q$18,Henkilöautot_fx!$R$18,IF(B82=Henkilöautot_fx!$Q$19,Henkilöautot_fx!$R$19,IF(B82=Henkilöautot_fx!$Q$20,Henkilöautot_fx!$R$20,0))))))),IF(E82=Henkilöautot_fx!$J$18,Henkilöautot_fx!$R$21,IF(E82=Henkilöautot_fx!$J$19,IF(B82=Henkilöautot_fx!$Q$22,Henkilöautot_fx!$R$22,IF(B82=Henkilöautot_fx!$Q$23,Henkilöautot_fx!$R$23,IF(B82=Henkilöautot_fx!$Q$24,Henkilöautot_fx!$R$24,0))),0))))</f>
        <v>0</v>
      </c>
      <c r="H82">
        <f>IF(E82=Henkilöautot_fx!$J$20,IF(B82=Henkilöautot_fx!$Q$25,Henkilöautot_fx!$R$25,IF(B82=Henkilöautot_fx!$Q$26,Henkilöautot_fx!$R$26,IF(B82=Henkilöautot_fx!$Q$27,Henkilöautot_fx!$R$27,IF(B82=Henkilöautot_fx!$Q$28,Henkilöautot_fx!$R$28,IF(B82=Henkilöautot_fx!$Q$29,Henkilöautot_fx!$R$29,0))))),IF(E82=Henkilöautot_fx!$J$21,Henkilöautot_fx!$R$30,IF(E82=Henkilöautot_fx!$J$22,IF(B82=Henkilöautot_fx!$Q$31,Henkilöautot_fx!$R$31,IF(B82=Henkilöautot_fx!$Q$32,Henkilöautot_fx!$R$32,IF(B82=Henkilöautot_fx!$Q$33,Henkilöautot_fx!$R$33,IF(B82=Henkilöautot_fx!$Q$34,Henkilöautot_fx!$R$34,0)))),0)))</f>
        <v>0</v>
      </c>
      <c r="I82">
        <f t="shared" si="1"/>
        <v>0</v>
      </c>
      <c r="L82">
        <f>Henkilöautot!H84</f>
        <v>0</v>
      </c>
      <c r="M82">
        <f>Henkilöautot!I84</f>
        <v>0</v>
      </c>
      <c r="N82">
        <f>Henkilöautot!J84</f>
        <v>0</v>
      </c>
      <c r="P82">
        <f>IF(L82=Henkilöautot_fx!$O$35,Henkilöautot_fx!$R$35,IF(L82=Henkilöautot_fx!$O$36,Henkilöautot_fx!$R$36,IF(L82=Henkilöautot_fx!$O$37,Henkilöautot_fx!$R$37,IF(L82=Henkilöautot_fx!$O$38,Henkilöautot_fx!$R$38,IF(L82=Henkilöautot_fx!$O$39,Henkilöautot_fx!$R$39,IF(L82=Henkilöautot_fx!$O$40,Henkilöautot_fx!$R$40,IF(L82=Henkilöautot_fx!$N$41,Henkilöautot_fx!$R$41,0)))))))</f>
        <v>0</v>
      </c>
      <c r="Q82">
        <f t="shared" si="2"/>
        <v>0</v>
      </c>
    </row>
    <row r="83" spans="1:17" x14ac:dyDescent="0.25">
      <c r="A83">
        <f>Henkilöautot!A85</f>
        <v>0</v>
      </c>
      <c r="B83">
        <f>Henkilöautot!B85</f>
        <v>0</v>
      </c>
      <c r="C83">
        <f>Henkilöautot!C85</f>
        <v>0</v>
      </c>
      <c r="D83">
        <f>Henkilöautot!D85</f>
        <v>0</v>
      </c>
      <c r="E83">
        <f>Henkilöautot!E85</f>
        <v>0</v>
      </c>
      <c r="G83">
        <f>IF(E83=Henkilöautot_fx!$J$16,IF(B83=Henkilöautot_fx!$Q$7,Henkilöautot_fx!$R$7,IF(B83=Henkilöautot_fx!$Q$8,Henkilöautot_fx!$R$8,IF(B83=Henkilöautot_fx!$Q$9,Henkilöautot_fx!$R$9,IF(B83=Henkilöautot_fx!$Q$10,Henkilöautot_fx!$R$10,IF(B83=Henkilöautot_fx!$Q$11,Henkilöautot_fx!$R$11,IF(B83=Henkilöautot_fx!$Q$12,Henkilöautot_fx!$R$12,IF(B83=Henkilöautot_fx!$Q$13,Henkilöautot_fx!$R$13,0))))))),IF(E83=Henkilöautot_fx!$J$17,IF(B83=Henkilöautot_fx!$Q$14,Henkilöautot_fx!$R$14,IF(B83=Henkilöautot_fx!$Q$15,Henkilöautot_fx!$R$15,IF(B83=Henkilöautot_fx!$Q$16,Henkilöautot_fx!$R$16,IF(B83=Henkilöautot_fx!$Q$17,Henkilöautot_fx!$R$17,IF(B83=Henkilöautot_fx!$Q$18,Henkilöautot_fx!$R$18,IF(B83=Henkilöautot_fx!$Q$19,Henkilöautot_fx!$R$19,IF(B83=Henkilöautot_fx!$Q$20,Henkilöautot_fx!$R$20,0))))))),IF(E83=Henkilöautot_fx!$J$18,Henkilöautot_fx!$R$21,IF(E83=Henkilöautot_fx!$J$19,IF(B83=Henkilöautot_fx!$Q$22,Henkilöautot_fx!$R$22,IF(B83=Henkilöautot_fx!$Q$23,Henkilöautot_fx!$R$23,IF(B83=Henkilöautot_fx!$Q$24,Henkilöautot_fx!$R$24,0))),0))))</f>
        <v>0</v>
      </c>
      <c r="H83">
        <f>IF(E83=Henkilöautot_fx!$J$20,IF(B83=Henkilöautot_fx!$Q$25,Henkilöautot_fx!$R$25,IF(B83=Henkilöautot_fx!$Q$26,Henkilöautot_fx!$R$26,IF(B83=Henkilöautot_fx!$Q$27,Henkilöautot_fx!$R$27,IF(B83=Henkilöautot_fx!$Q$28,Henkilöautot_fx!$R$28,IF(B83=Henkilöautot_fx!$Q$29,Henkilöautot_fx!$R$29,0))))),IF(E83=Henkilöautot_fx!$J$21,Henkilöautot_fx!$R$30,IF(E83=Henkilöautot_fx!$J$22,IF(B83=Henkilöautot_fx!$Q$31,Henkilöautot_fx!$R$31,IF(B83=Henkilöautot_fx!$Q$32,Henkilöautot_fx!$R$32,IF(B83=Henkilöautot_fx!$Q$33,Henkilöautot_fx!$R$33,IF(B83=Henkilöautot_fx!$Q$34,Henkilöautot_fx!$R$34,0)))),0)))</f>
        <v>0</v>
      </c>
      <c r="I83">
        <f t="shared" si="1"/>
        <v>0</v>
      </c>
      <c r="L83">
        <f>Henkilöautot!H85</f>
        <v>0</v>
      </c>
      <c r="M83">
        <f>Henkilöautot!I85</f>
        <v>0</v>
      </c>
      <c r="N83">
        <f>Henkilöautot!J85</f>
        <v>0</v>
      </c>
      <c r="P83">
        <f>IF(L83=Henkilöautot_fx!$O$35,Henkilöautot_fx!$R$35,IF(L83=Henkilöautot_fx!$O$36,Henkilöautot_fx!$R$36,IF(L83=Henkilöautot_fx!$O$37,Henkilöautot_fx!$R$37,IF(L83=Henkilöautot_fx!$O$38,Henkilöautot_fx!$R$38,IF(L83=Henkilöautot_fx!$O$39,Henkilöautot_fx!$R$39,IF(L83=Henkilöautot_fx!$O$40,Henkilöautot_fx!$R$40,IF(L83=Henkilöautot_fx!$N$41,Henkilöautot_fx!$R$41,0)))))))</f>
        <v>0</v>
      </c>
      <c r="Q83">
        <f t="shared" si="2"/>
        <v>0</v>
      </c>
    </row>
    <row r="84" spans="1:17" x14ac:dyDescent="0.25">
      <c r="A84">
        <f>Henkilöautot!A86</f>
        <v>0</v>
      </c>
      <c r="B84">
        <f>Henkilöautot!B86</f>
        <v>0</v>
      </c>
      <c r="C84">
        <f>Henkilöautot!C86</f>
        <v>0</v>
      </c>
      <c r="D84">
        <f>Henkilöautot!D86</f>
        <v>0</v>
      </c>
      <c r="E84">
        <f>Henkilöautot!E86</f>
        <v>0</v>
      </c>
      <c r="G84">
        <f>IF(E84=Henkilöautot_fx!$J$16,IF(B84=Henkilöautot_fx!$Q$7,Henkilöautot_fx!$R$7,IF(B84=Henkilöautot_fx!$Q$8,Henkilöautot_fx!$R$8,IF(B84=Henkilöautot_fx!$Q$9,Henkilöautot_fx!$R$9,IF(B84=Henkilöautot_fx!$Q$10,Henkilöautot_fx!$R$10,IF(B84=Henkilöautot_fx!$Q$11,Henkilöautot_fx!$R$11,IF(B84=Henkilöautot_fx!$Q$12,Henkilöautot_fx!$R$12,IF(B84=Henkilöautot_fx!$Q$13,Henkilöautot_fx!$R$13,0))))))),IF(E84=Henkilöautot_fx!$J$17,IF(B84=Henkilöautot_fx!$Q$14,Henkilöautot_fx!$R$14,IF(B84=Henkilöautot_fx!$Q$15,Henkilöautot_fx!$R$15,IF(B84=Henkilöautot_fx!$Q$16,Henkilöautot_fx!$R$16,IF(B84=Henkilöautot_fx!$Q$17,Henkilöautot_fx!$R$17,IF(B84=Henkilöautot_fx!$Q$18,Henkilöautot_fx!$R$18,IF(B84=Henkilöautot_fx!$Q$19,Henkilöautot_fx!$R$19,IF(B84=Henkilöautot_fx!$Q$20,Henkilöautot_fx!$R$20,0))))))),IF(E84=Henkilöautot_fx!$J$18,Henkilöautot_fx!$R$21,IF(E84=Henkilöautot_fx!$J$19,IF(B84=Henkilöautot_fx!$Q$22,Henkilöautot_fx!$R$22,IF(B84=Henkilöautot_fx!$Q$23,Henkilöautot_fx!$R$23,IF(B84=Henkilöautot_fx!$Q$24,Henkilöautot_fx!$R$24,0))),0))))</f>
        <v>0</v>
      </c>
      <c r="H84">
        <f>IF(E84=Henkilöautot_fx!$J$20,IF(B84=Henkilöautot_fx!$Q$25,Henkilöautot_fx!$R$25,IF(B84=Henkilöautot_fx!$Q$26,Henkilöautot_fx!$R$26,IF(B84=Henkilöautot_fx!$Q$27,Henkilöautot_fx!$R$27,IF(B84=Henkilöautot_fx!$Q$28,Henkilöautot_fx!$R$28,IF(B84=Henkilöautot_fx!$Q$29,Henkilöautot_fx!$R$29,0))))),IF(E84=Henkilöautot_fx!$J$21,Henkilöautot_fx!$R$30,IF(E84=Henkilöautot_fx!$J$22,IF(B84=Henkilöautot_fx!$Q$31,Henkilöautot_fx!$R$31,IF(B84=Henkilöautot_fx!$Q$32,Henkilöautot_fx!$R$32,IF(B84=Henkilöautot_fx!$Q$33,Henkilöautot_fx!$R$33,IF(B84=Henkilöautot_fx!$Q$34,Henkilöautot_fx!$R$34,0)))),0)))</f>
        <v>0</v>
      </c>
      <c r="I84">
        <f t="shared" si="1"/>
        <v>0</v>
      </c>
      <c r="L84">
        <f>Henkilöautot!H86</f>
        <v>0</v>
      </c>
      <c r="M84">
        <f>Henkilöautot!I86</f>
        <v>0</v>
      </c>
      <c r="N84">
        <f>Henkilöautot!J86</f>
        <v>0</v>
      </c>
      <c r="P84">
        <f>IF(L84=Henkilöautot_fx!$O$35,Henkilöautot_fx!$R$35,IF(L84=Henkilöautot_fx!$O$36,Henkilöautot_fx!$R$36,IF(L84=Henkilöautot_fx!$O$37,Henkilöautot_fx!$R$37,IF(L84=Henkilöautot_fx!$O$38,Henkilöautot_fx!$R$38,IF(L84=Henkilöautot_fx!$O$39,Henkilöautot_fx!$R$39,IF(L84=Henkilöautot_fx!$O$40,Henkilöautot_fx!$R$40,IF(L84=Henkilöautot_fx!$N$41,Henkilöautot_fx!$R$41,0)))))))</f>
        <v>0</v>
      </c>
      <c r="Q84">
        <f t="shared" si="2"/>
        <v>0</v>
      </c>
    </row>
    <row r="85" spans="1:17" x14ac:dyDescent="0.25">
      <c r="A85">
        <f>Henkilöautot!A87</f>
        <v>0</v>
      </c>
      <c r="B85">
        <f>Henkilöautot!B87</f>
        <v>0</v>
      </c>
      <c r="C85">
        <f>Henkilöautot!C87</f>
        <v>0</v>
      </c>
      <c r="D85">
        <f>Henkilöautot!D87</f>
        <v>0</v>
      </c>
      <c r="E85">
        <f>Henkilöautot!E87</f>
        <v>0</v>
      </c>
      <c r="G85">
        <f>IF(E85=Henkilöautot_fx!$J$16,IF(B85=Henkilöautot_fx!$Q$7,Henkilöautot_fx!$R$7,IF(B85=Henkilöautot_fx!$Q$8,Henkilöautot_fx!$R$8,IF(B85=Henkilöautot_fx!$Q$9,Henkilöautot_fx!$R$9,IF(B85=Henkilöautot_fx!$Q$10,Henkilöautot_fx!$R$10,IF(B85=Henkilöautot_fx!$Q$11,Henkilöautot_fx!$R$11,IF(B85=Henkilöautot_fx!$Q$12,Henkilöautot_fx!$R$12,IF(B85=Henkilöautot_fx!$Q$13,Henkilöautot_fx!$R$13,0))))))),IF(E85=Henkilöautot_fx!$J$17,IF(B85=Henkilöautot_fx!$Q$14,Henkilöautot_fx!$R$14,IF(B85=Henkilöautot_fx!$Q$15,Henkilöautot_fx!$R$15,IF(B85=Henkilöautot_fx!$Q$16,Henkilöautot_fx!$R$16,IF(B85=Henkilöautot_fx!$Q$17,Henkilöautot_fx!$R$17,IF(B85=Henkilöautot_fx!$Q$18,Henkilöautot_fx!$R$18,IF(B85=Henkilöautot_fx!$Q$19,Henkilöautot_fx!$R$19,IF(B85=Henkilöautot_fx!$Q$20,Henkilöautot_fx!$R$20,0))))))),IF(E85=Henkilöautot_fx!$J$18,Henkilöautot_fx!$R$21,IF(E85=Henkilöautot_fx!$J$19,IF(B85=Henkilöautot_fx!$Q$22,Henkilöautot_fx!$R$22,IF(B85=Henkilöautot_fx!$Q$23,Henkilöautot_fx!$R$23,IF(B85=Henkilöautot_fx!$Q$24,Henkilöautot_fx!$R$24,0))),0))))</f>
        <v>0</v>
      </c>
      <c r="H85">
        <f>IF(E85=Henkilöautot_fx!$J$20,IF(B85=Henkilöautot_fx!$Q$25,Henkilöautot_fx!$R$25,IF(B85=Henkilöautot_fx!$Q$26,Henkilöautot_fx!$R$26,IF(B85=Henkilöautot_fx!$Q$27,Henkilöautot_fx!$R$27,IF(B85=Henkilöautot_fx!$Q$28,Henkilöautot_fx!$R$28,IF(B85=Henkilöautot_fx!$Q$29,Henkilöautot_fx!$R$29,0))))),IF(E85=Henkilöautot_fx!$J$21,Henkilöautot_fx!$R$30,IF(E85=Henkilöautot_fx!$J$22,IF(B85=Henkilöautot_fx!$Q$31,Henkilöautot_fx!$R$31,IF(B85=Henkilöautot_fx!$Q$32,Henkilöautot_fx!$R$32,IF(B85=Henkilöautot_fx!$Q$33,Henkilöautot_fx!$R$33,IF(B85=Henkilöautot_fx!$Q$34,Henkilöautot_fx!$R$34,0)))),0)))</f>
        <v>0</v>
      </c>
      <c r="I85">
        <f t="shared" si="1"/>
        <v>0</v>
      </c>
      <c r="L85">
        <f>Henkilöautot!H87</f>
        <v>0</v>
      </c>
      <c r="M85">
        <f>Henkilöautot!I87</f>
        <v>0</v>
      </c>
      <c r="N85">
        <f>Henkilöautot!J87</f>
        <v>0</v>
      </c>
      <c r="P85">
        <f>IF(L85=Henkilöautot_fx!$O$35,Henkilöautot_fx!$R$35,IF(L85=Henkilöautot_fx!$O$36,Henkilöautot_fx!$R$36,IF(L85=Henkilöautot_fx!$O$37,Henkilöautot_fx!$R$37,IF(L85=Henkilöautot_fx!$O$38,Henkilöautot_fx!$R$38,IF(L85=Henkilöautot_fx!$O$39,Henkilöautot_fx!$R$39,IF(L85=Henkilöautot_fx!$O$40,Henkilöautot_fx!$R$40,IF(L85=Henkilöautot_fx!$N$41,Henkilöautot_fx!$R$41,0)))))))</f>
        <v>0</v>
      </c>
      <c r="Q85">
        <f t="shared" si="2"/>
        <v>0</v>
      </c>
    </row>
    <row r="86" spans="1:17" x14ac:dyDescent="0.25">
      <c r="A86">
        <f>Henkilöautot!A88</f>
        <v>0</v>
      </c>
      <c r="B86">
        <f>Henkilöautot!B88</f>
        <v>0</v>
      </c>
      <c r="C86">
        <f>Henkilöautot!C88</f>
        <v>0</v>
      </c>
      <c r="D86">
        <f>Henkilöautot!D88</f>
        <v>0</v>
      </c>
      <c r="E86">
        <f>Henkilöautot!E88</f>
        <v>0</v>
      </c>
      <c r="G86">
        <f>IF(E86=Henkilöautot_fx!$J$16,IF(B86=Henkilöautot_fx!$Q$7,Henkilöautot_fx!$R$7,IF(B86=Henkilöautot_fx!$Q$8,Henkilöautot_fx!$R$8,IF(B86=Henkilöautot_fx!$Q$9,Henkilöautot_fx!$R$9,IF(B86=Henkilöautot_fx!$Q$10,Henkilöautot_fx!$R$10,IF(B86=Henkilöautot_fx!$Q$11,Henkilöautot_fx!$R$11,IF(B86=Henkilöautot_fx!$Q$12,Henkilöautot_fx!$R$12,IF(B86=Henkilöautot_fx!$Q$13,Henkilöautot_fx!$R$13,0))))))),IF(E86=Henkilöautot_fx!$J$17,IF(B86=Henkilöautot_fx!$Q$14,Henkilöautot_fx!$R$14,IF(B86=Henkilöautot_fx!$Q$15,Henkilöautot_fx!$R$15,IF(B86=Henkilöautot_fx!$Q$16,Henkilöautot_fx!$R$16,IF(B86=Henkilöautot_fx!$Q$17,Henkilöautot_fx!$R$17,IF(B86=Henkilöautot_fx!$Q$18,Henkilöautot_fx!$R$18,IF(B86=Henkilöautot_fx!$Q$19,Henkilöautot_fx!$R$19,IF(B86=Henkilöautot_fx!$Q$20,Henkilöautot_fx!$R$20,0))))))),IF(E86=Henkilöautot_fx!$J$18,Henkilöautot_fx!$R$21,IF(E86=Henkilöautot_fx!$J$19,IF(B86=Henkilöautot_fx!$Q$22,Henkilöautot_fx!$R$22,IF(B86=Henkilöautot_fx!$Q$23,Henkilöautot_fx!$R$23,IF(B86=Henkilöautot_fx!$Q$24,Henkilöautot_fx!$R$24,0))),0))))</f>
        <v>0</v>
      </c>
      <c r="H86">
        <f>IF(E86=Henkilöautot_fx!$J$20,IF(B86=Henkilöautot_fx!$Q$25,Henkilöautot_fx!$R$25,IF(B86=Henkilöautot_fx!$Q$26,Henkilöautot_fx!$R$26,IF(B86=Henkilöautot_fx!$Q$27,Henkilöautot_fx!$R$27,IF(B86=Henkilöautot_fx!$Q$28,Henkilöautot_fx!$R$28,IF(B86=Henkilöautot_fx!$Q$29,Henkilöautot_fx!$R$29,0))))),IF(E86=Henkilöautot_fx!$J$21,Henkilöautot_fx!$R$30,IF(E86=Henkilöautot_fx!$J$22,IF(B86=Henkilöautot_fx!$Q$31,Henkilöautot_fx!$R$31,IF(B86=Henkilöautot_fx!$Q$32,Henkilöautot_fx!$R$32,IF(B86=Henkilöautot_fx!$Q$33,Henkilöautot_fx!$R$33,IF(B86=Henkilöautot_fx!$Q$34,Henkilöautot_fx!$R$34,0)))),0)))</f>
        <v>0</v>
      </c>
      <c r="I86">
        <f t="shared" si="1"/>
        <v>0</v>
      </c>
      <c r="L86">
        <f>Henkilöautot!H88</f>
        <v>0</v>
      </c>
      <c r="M86">
        <f>Henkilöautot!I88</f>
        <v>0</v>
      </c>
      <c r="N86">
        <f>Henkilöautot!J88</f>
        <v>0</v>
      </c>
      <c r="P86">
        <f>IF(L86=Henkilöautot_fx!$O$35,Henkilöautot_fx!$R$35,IF(L86=Henkilöautot_fx!$O$36,Henkilöautot_fx!$R$36,IF(L86=Henkilöautot_fx!$O$37,Henkilöautot_fx!$R$37,IF(L86=Henkilöautot_fx!$O$38,Henkilöautot_fx!$R$38,IF(L86=Henkilöautot_fx!$O$39,Henkilöautot_fx!$R$39,IF(L86=Henkilöautot_fx!$O$40,Henkilöautot_fx!$R$40,IF(L86=Henkilöautot_fx!$N$41,Henkilöautot_fx!$R$41,0)))))))</f>
        <v>0</v>
      </c>
      <c r="Q86">
        <f t="shared" si="2"/>
        <v>0</v>
      </c>
    </row>
    <row r="87" spans="1:17" x14ac:dyDescent="0.25">
      <c r="A87">
        <f>Henkilöautot!A89</f>
        <v>0</v>
      </c>
      <c r="B87">
        <f>Henkilöautot!B89</f>
        <v>0</v>
      </c>
      <c r="C87">
        <f>Henkilöautot!C89</f>
        <v>0</v>
      </c>
      <c r="D87">
        <f>Henkilöautot!D89</f>
        <v>0</v>
      </c>
      <c r="E87">
        <f>Henkilöautot!E89</f>
        <v>0</v>
      </c>
      <c r="G87">
        <f>IF(E87=Henkilöautot_fx!$J$16,IF(B87=Henkilöautot_fx!$Q$7,Henkilöautot_fx!$R$7,IF(B87=Henkilöautot_fx!$Q$8,Henkilöautot_fx!$R$8,IF(B87=Henkilöautot_fx!$Q$9,Henkilöautot_fx!$R$9,IF(B87=Henkilöautot_fx!$Q$10,Henkilöautot_fx!$R$10,IF(B87=Henkilöautot_fx!$Q$11,Henkilöautot_fx!$R$11,IF(B87=Henkilöautot_fx!$Q$12,Henkilöautot_fx!$R$12,IF(B87=Henkilöautot_fx!$Q$13,Henkilöautot_fx!$R$13,0))))))),IF(E87=Henkilöautot_fx!$J$17,IF(B87=Henkilöautot_fx!$Q$14,Henkilöautot_fx!$R$14,IF(B87=Henkilöautot_fx!$Q$15,Henkilöautot_fx!$R$15,IF(B87=Henkilöautot_fx!$Q$16,Henkilöautot_fx!$R$16,IF(B87=Henkilöautot_fx!$Q$17,Henkilöautot_fx!$R$17,IF(B87=Henkilöautot_fx!$Q$18,Henkilöautot_fx!$R$18,IF(B87=Henkilöautot_fx!$Q$19,Henkilöautot_fx!$R$19,IF(B87=Henkilöautot_fx!$Q$20,Henkilöautot_fx!$R$20,0))))))),IF(E87=Henkilöautot_fx!$J$18,Henkilöautot_fx!$R$21,IF(E87=Henkilöautot_fx!$J$19,IF(B87=Henkilöautot_fx!$Q$22,Henkilöautot_fx!$R$22,IF(B87=Henkilöautot_fx!$Q$23,Henkilöautot_fx!$R$23,IF(B87=Henkilöautot_fx!$Q$24,Henkilöautot_fx!$R$24,0))),0))))</f>
        <v>0</v>
      </c>
      <c r="H87">
        <f>IF(E87=Henkilöautot_fx!$J$20,IF(B87=Henkilöautot_fx!$Q$25,Henkilöautot_fx!$R$25,IF(B87=Henkilöautot_fx!$Q$26,Henkilöautot_fx!$R$26,IF(B87=Henkilöautot_fx!$Q$27,Henkilöautot_fx!$R$27,IF(B87=Henkilöautot_fx!$Q$28,Henkilöautot_fx!$R$28,IF(B87=Henkilöautot_fx!$Q$29,Henkilöautot_fx!$R$29,0))))),IF(E87=Henkilöautot_fx!$J$21,Henkilöautot_fx!$R$30,IF(E87=Henkilöautot_fx!$J$22,IF(B87=Henkilöautot_fx!$Q$31,Henkilöautot_fx!$R$31,IF(B87=Henkilöautot_fx!$Q$32,Henkilöautot_fx!$R$32,IF(B87=Henkilöautot_fx!$Q$33,Henkilöautot_fx!$R$33,IF(B87=Henkilöautot_fx!$Q$34,Henkilöautot_fx!$R$34,0)))),0)))</f>
        <v>0</v>
      </c>
      <c r="I87">
        <f t="shared" si="1"/>
        <v>0</v>
      </c>
      <c r="L87">
        <f>Henkilöautot!H89</f>
        <v>0</v>
      </c>
      <c r="M87">
        <f>Henkilöautot!I89</f>
        <v>0</v>
      </c>
      <c r="N87">
        <f>Henkilöautot!J89</f>
        <v>0</v>
      </c>
      <c r="P87">
        <f>IF(L87=Henkilöautot_fx!$O$35,Henkilöautot_fx!$R$35,IF(L87=Henkilöautot_fx!$O$36,Henkilöautot_fx!$R$36,IF(L87=Henkilöautot_fx!$O$37,Henkilöautot_fx!$R$37,IF(L87=Henkilöautot_fx!$O$38,Henkilöautot_fx!$R$38,IF(L87=Henkilöautot_fx!$O$39,Henkilöautot_fx!$R$39,IF(L87=Henkilöautot_fx!$O$40,Henkilöautot_fx!$R$40,IF(L87=Henkilöautot_fx!$N$41,Henkilöautot_fx!$R$41,0)))))))</f>
        <v>0</v>
      </c>
      <c r="Q87">
        <f t="shared" si="2"/>
        <v>0</v>
      </c>
    </row>
    <row r="88" spans="1:17" x14ac:dyDescent="0.25">
      <c r="A88">
        <f>Henkilöautot!A90</f>
        <v>0</v>
      </c>
      <c r="B88">
        <f>Henkilöautot!B90</f>
        <v>0</v>
      </c>
      <c r="C88">
        <f>Henkilöautot!C90</f>
        <v>0</v>
      </c>
      <c r="D88">
        <f>Henkilöautot!D90</f>
        <v>0</v>
      </c>
      <c r="E88">
        <f>Henkilöautot!E90</f>
        <v>0</v>
      </c>
      <c r="G88">
        <f>IF(E88=Henkilöautot_fx!$J$16,IF(B88=Henkilöautot_fx!$Q$7,Henkilöautot_fx!$R$7,IF(B88=Henkilöautot_fx!$Q$8,Henkilöautot_fx!$R$8,IF(B88=Henkilöautot_fx!$Q$9,Henkilöautot_fx!$R$9,IF(B88=Henkilöautot_fx!$Q$10,Henkilöautot_fx!$R$10,IF(B88=Henkilöautot_fx!$Q$11,Henkilöautot_fx!$R$11,IF(B88=Henkilöautot_fx!$Q$12,Henkilöautot_fx!$R$12,IF(B88=Henkilöautot_fx!$Q$13,Henkilöautot_fx!$R$13,0))))))),IF(E88=Henkilöautot_fx!$J$17,IF(B88=Henkilöautot_fx!$Q$14,Henkilöautot_fx!$R$14,IF(B88=Henkilöautot_fx!$Q$15,Henkilöautot_fx!$R$15,IF(B88=Henkilöautot_fx!$Q$16,Henkilöautot_fx!$R$16,IF(B88=Henkilöautot_fx!$Q$17,Henkilöautot_fx!$R$17,IF(B88=Henkilöautot_fx!$Q$18,Henkilöautot_fx!$R$18,IF(B88=Henkilöautot_fx!$Q$19,Henkilöautot_fx!$R$19,IF(B88=Henkilöautot_fx!$Q$20,Henkilöautot_fx!$R$20,0))))))),IF(E88=Henkilöautot_fx!$J$18,Henkilöautot_fx!$R$21,IF(E88=Henkilöautot_fx!$J$19,IF(B88=Henkilöautot_fx!$Q$22,Henkilöautot_fx!$R$22,IF(B88=Henkilöautot_fx!$Q$23,Henkilöautot_fx!$R$23,IF(B88=Henkilöautot_fx!$Q$24,Henkilöautot_fx!$R$24,0))),0))))</f>
        <v>0</v>
      </c>
      <c r="H88">
        <f>IF(E88=Henkilöautot_fx!$J$20,IF(B88=Henkilöautot_fx!$Q$25,Henkilöautot_fx!$R$25,IF(B88=Henkilöautot_fx!$Q$26,Henkilöautot_fx!$R$26,IF(B88=Henkilöautot_fx!$Q$27,Henkilöautot_fx!$R$27,IF(B88=Henkilöautot_fx!$Q$28,Henkilöautot_fx!$R$28,IF(B88=Henkilöautot_fx!$Q$29,Henkilöautot_fx!$R$29,0))))),IF(E88=Henkilöautot_fx!$J$21,Henkilöautot_fx!$R$30,IF(E88=Henkilöautot_fx!$J$22,IF(B88=Henkilöautot_fx!$Q$31,Henkilöautot_fx!$R$31,IF(B88=Henkilöautot_fx!$Q$32,Henkilöautot_fx!$R$32,IF(B88=Henkilöautot_fx!$Q$33,Henkilöautot_fx!$R$33,IF(B88=Henkilöautot_fx!$Q$34,Henkilöautot_fx!$R$34,0)))),0)))</f>
        <v>0</v>
      </c>
      <c r="I88">
        <f t="shared" si="1"/>
        <v>0</v>
      </c>
      <c r="L88">
        <f>Henkilöautot!H90</f>
        <v>0</v>
      </c>
      <c r="M88">
        <f>Henkilöautot!I90</f>
        <v>0</v>
      </c>
      <c r="N88">
        <f>Henkilöautot!J90</f>
        <v>0</v>
      </c>
      <c r="P88">
        <f>IF(L88=Henkilöautot_fx!$O$35,Henkilöautot_fx!$R$35,IF(L88=Henkilöautot_fx!$O$36,Henkilöautot_fx!$R$36,IF(L88=Henkilöautot_fx!$O$37,Henkilöautot_fx!$R$37,IF(L88=Henkilöautot_fx!$O$38,Henkilöautot_fx!$R$38,IF(L88=Henkilöautot_fx!$O$39,Henkilöautot_fx!$R$39,IF(L88=Henkilöautot_fx!$O$40,Henkilöautot_fx!$R$40,IF(L88=Henkilöautot_fx!$N$41,Henkilöautot_fx!$R$41,0)))))))</f>
        <v>0</v>
      </c>
      <c r="Q88">
        <f t="shared" si="2"/>
        <v>0</v>
      </c>
    </row>
    <row r="89" spans="1:17" x14ac:dyDescent="0.25">
      <c r="A89">
        <f>Henkilöautot!A91</f>
        <v>0</v>
      </c>
      <c r="B89">
        <f>Henkilöautot!B91</f>
        <v>0</v>
      </c>
      <c r="C89">
        <f>Henkilöautot!C91</f>
        <v>0</v>
      </c>
      <c r="D89">
        <f>Henkilöautot!D91</f>
        <v>0</v>
      </c>
      <c r="E89">
        <f>Henkilöautot!E91</f>
        <v>0</v>
      </c>
      <c r="G89">
        <f>IF(E89=Henkilöautot_fx!$J$16,IF(B89=Henkilöautot_fx!$Q$7,Henkilöautot_fx!$R$7,IF(B89=Henkilöautot_fx!$Q$8,Henkilöautot_fx!$R$8,IF(B89=Henkilöautot_fx!$Q$9,Henkilöautot_fx!$R$9,IF(B89=Henkilöautot_fx!$Q$10,Henkilöautot_fx!$R$10,IF(B89=Henkilöautot_fx!$Q$11,Henkilöautot_fx!$R$11,IF(B89=Henkilöautot_fx!$Q$12,Henkilöautot_fx!$R$12,IF(B89=Henkilöautot_fx!$Q$13,Henkilöautot_fx!$R$13,0))))))),IF(E89=Henkilöautot_fx!$J$17,IF(B89=Henkilöautot_fx!$Q$14,Henkilöautot_fx!$R$14,IF(B89=Henkilöautot_fx!$Q$15,Henkilöautot_fx!$R$15,IF(B89=Henkilöautot_fx!$Q$16,Henkilöautot_fx!$R$16,IF(B89=Henkilöautot_fx!$Q$17,Henkilöautot_fx!$R$17,IF(B89=Henkilöautot_fx!$Q$18,Henkilöautot_fx!$R$18,IF(B89=Henkilöautot_fx!$Q$19,Henkilöautot_fx!$R$19,IF(B89=Henkilöautot_fx!$Q$20,Henkilöautot_fx!$R$20,0))))))),IF(E89=Henkilöautot_fx!$J$18,Henkilöautot_fx!$R$21,IF(E89=Henkilöautot_fx!$J$19,IF(B89=Henkilöautot_fx!$Q$22,Henkilöautot_fx!$R$22,IF(B89=Henkilöautot_fx!$Q$23,Henkilöautot_fx!$R$23,IF(B89=Henkilöautot_fx!$Q$24,Henkilöautot_fx!$R$24,0))),0))))</f>
        <v>0</v>
      </c>
      <c r="H89">
        <f>IF(E89=Henkilöautot_fx!$J$20,IF(B89=Henkilöautot_fx!$Q$25,Henkilöautot_fx!$R$25,IF(B89=Henkilöautot_fx!$Q$26,Henkilöautot_fx!$R$26,IF(B89=Henkilöautot_fx!$Q$27,Henkilöautot_fx!$R$27,IF(B89=Henkilöautot_fx!$Q$28,Henkilöautot_fx!$R$28,IF(B89=Henkilöautot_fx!$Q$29,Henkilöautot_fx!$R$29,0))))),IF(E89=Henkilöautot_fx!$J$21,Henkilöautot_fx!$R$30,IF(E89=Henkilöautot_fx!$J$22,IF(B89=Henkilöautot_fx!$Q$31,Henkilöautot_fx!$R$31,IF(B89=Henkilöautot_fx!$Q$32,Henkilöautot_fx!$R$32,IF(B89=Henkilöautot_fx!$Q$33,Henkilöautot_fx!$R$33,IF(B89=Henkilöautot_fx!$Q$34,Henkilöautot_fx!$R$34,0)))),0)))</f>
        <v>0</v>
      </c>
      <c r="I89">
        <f t="shared" si="1"/>
        <v>0</v>
      </c>
      <c r="L89">
        <f>Henkilöautot!H91</f>
        <v>0</v>
      </c>
      <c r="M89">
        <f>Henkilöautot!I91</f>
        <v>0</v>
      </c>
      <c r="N89">
        <f>Henkilöautot!J91</f>
        <v>0</v>
      </c>
      <c r="P89">
        <f>IF(L89=Henkilöautot_fx!$O$35,Henkilöautot_fx!$R$35,IF(L89=Henkilöautot_fx!$O$36,Henkilöautot_fx!$R$36,IF(L89=Henkilöautot_fx!$O$37,Henkilöautot_fx!$R$37,IF(L89=Henkilöautot_fx!$O$38,Henkilöautot_fx!$R$38,IF(L89=Henkilöautot_fx!$O$39,Henkilöautot_fx!$R$39,IF(L89=Henkilöautot_fx!$O$40,Henkilöautot_fx!$R$40,IF(L89=Henkilöautot_fx!$N$41,Henkilöautot_fx!$R$41,0)))))))</f>
        <v>0</v>
      </c>
      <c r="Q89">
        <f t="shared" si="2"/>
        <v>0</v>
      </c>
    </row>
    <row r="90" spans="1:17" x14ac:dyDescent="0.25">
      <c r="A90">
        <f>Henkilöautot!A92</f>
        <v>0</v>
      </c>
      <c r="B90">
        <f>Henkilöautot!B92</f>
        <v>0</v>
      </c>
      <c r="C90">
        <f>Henkilöautot!C92</f>
        <v>0</v>
      </c>
      <c r="D90">
        <f>Henkilöautot!D92</f>
        <v>0</v>
      </c>
      <c r="E90">
        <f>Henkilöautot!E92</f>
        <v>0</v>
      </c>
      <c r="G90">
        <f>IF(E90=Henkilöautot_fx!$J$16,IF(B90=Henkilöautot_fx!$Q$7,Henkilöautot_fx!$R$7,IF(B90=Henkilöautot_fx!$Q$8,Henkilöautot_fx!$R$8,IF(B90=Henkilöautot_fx!$Q$9,Henkilöautot_fx!$R$9,IF(B90=Henkilöautot_fx!$Q$10,Henkilöautot_fx!$R$10,IF(B90=Henkilöautot_fx!$Q$11,Henkilöautot_fx!$R$11,IF(B90=Henkilöautot_fx!$Q$12,Henkilöautot_fx!$R$12,IF(B90=Henkilöautot_fx!$Q$13,Henkilöautot_fx!$R$13,0))))))),IF(E90=Henkilöautot_fx!$J$17,IF(B90=Henkilöautot_fx!$Q$14,Henkilöautot_fx!$R$14,IF(B90=Henkilöautot_fx!$Q$15,Henkilöautot_fx!$R$15,IF(B90=Henkilöautot_fx!$Q$16,Henkilöautot_fx!$R$16,IF(B90=Henkilöautot_fx!$Q$17,Henkilöautot_fx!$R$17,IF(B90=Henkilöautot_fx!$Q$18,Henkilöautot_fx!$R$18,IF(B90=Henkilöautot_fx!$Q$19,Henkilöautot_fx!$R$19,IF(B90=Henkilöautot_fx!$Q$20,Henkilöautot_fx!$R$20,0))))))),IF(E90=Henkilöautot_fx!$J$18,Henkilöautot_fx!$R$21,IF(E90=Henkilöautot_fx!$J$19,IF(B90=Henkilöautot_fx!$Q$22,Henkilöautot_fx!$R$22,IF(B90=Henkilöautot_fx!$Q$23,Henkilöautot_fx!$R$23,IF(B90=Henkilöautot_fx!$Q$24,Henkilöautot_fx!$R$24,0))),0))))</f>
        <v>0</v>
      </c>
      <c r="H90">
        <f>IF(E90=Henkilöautot_fx!$J$20,IF(B90=Henkilöautot_fx!$Q$25,Henkilöautot_fx!$R$25,IF(B90=Henkilöautot_fx!$Q$26,Henkilöautot_fx!$R$26,IF(B90=Henkilöautot_fx!$Q$27,Henkilöautot_fx!$R$27,IF(B90=Henkilöautot_fx!$Q$28,Henkilöautot_fx!$R$28,IF(B90=Henkilöautot_fx!$Q$29,Henkilöautot_fx!$R$29,0))))),IF(E90=Henkilöautot_fx!$J$21,Henkilöautot_fx!$R$30,IF(E90=Henkilöautot_fx!$J$22,IF(B90=Henkilöautot_fx!$Q$31,Henkilöautot_fx!$R$31,IF(B90=Henkilöautot_fx!$Q$32,Henkilöautot_fx!$R$32,IF(B90=Henkilöautot_fx!$Q$33,Henkilöautot_fx!$R$33,IF(B90=Henkilöautot_fx!$Q$34,Henkilöautot_fx!$R$34,0)))),0)))</f>
        <v>0</v>
      </c>
      <c r="I90">
        <f t="shared" si="1"/>
        <v>0</v>
      </c>
      <c r="L90">
        <f>Henkilöautot!H92</f>
        <v>0</v>
      </c>
      <c r="M90">
        <f>Henkilöautot!I92</f>
        <v>0</v>
      </c>
      <c r="N90">
        <f>Henkilöautot!J92</f>
        <v>0</v>
      </c>
      <c r="P90">
        <f>IF(L90=Henkilöautot_fx!$O$35,Henkilöautot_fx!$R$35,IF(L90=Henkilöautot_fx!$O$36,Henkilöautot_fx!$R$36,IF(L90=Henkilöautot_fx!$O$37,Henkilöautot_fx!$R$37,IF(L90=Henkilöautot_fx!$O$38,Henkilöautot_fx!$R$38,IF(L90=Henkilöautot_fx!$O$39,Henkilöautot_fx!$R$39,IF(L90=Henkilöautot_fx!$O$40,Henkilöautot_fx!$R$40,IF(L90=Henkilöautot_fx!$N$41,Henkilöautot_fx!$R$41,0)))))))</f>
        <v>0</v>
      </c>
      <c r="Q90">
        <f t="shared" si="2"/>
        <v>0</v>
      </c>
    </row>
    <row r="91" spans="1:17" x14ac:dyDescent="0.25">
      <c r="A91">
        <f>Henkilöautot!A93</f>
        <v>0</v>
      </c>
      <c r="B91">
        <f>Henkilöautot!B93</f>
        <v>0</v>
      </c>
      <c r="C91">
        <f>Henkilöautot!C93</f>
        <v>0</v>
      </c>
      <c r="D91">
        <f>Henkilöautot!D93</f>
        <v>0</v>
      </c>
      <c r="E91">
        <f>Henkilöautot!E93</f>
        <v>0</v>
      </c>
      <c r="G91">
        <f>IF(E91=Henkilöautot_fx!$J$16,IF(B91=Henkilöautot_fx!$Q$7,Henkilöautot_fx!$R$7,IF(B91=Henkilöautot_fx!$Q$8,Henkilöautot_fx!$R$8,IF(B91=Henkilöautot_fx!$Q$9,Henkilöautot_fx!$R$9,IF(B91=Henkilöautot_fx!$Q$10,Henkilöautot_fx!$R$10,IF(B91=Henkilöautot_fx!$Q$11,Henkilöautot_fx!$R$11,IF(B91=Henkilöautot_fx!$Q$12,Henkilöautot_fx!$R$12,IF(B91=Henkilöautot_fx!$Q$13,Henkilöautot_fx!$R$13,0))))))),IF(E91=Henkilöautot_fx!$J$17,IF(B91=Henkilöautot_fx!$Q$14,Henkilöautot_fx!$R$14,IF(B91=Henkilöautot_fx!$Q$15,Henkilöautot_fx!$R$15,IF(B91=Henkilöautot_fx!$Q$16,Henkilöautot_fx!$R$16,IF(B91=Henkilöautot_fx!$Q$17,Henkilöautot_fx!$R$17,IF(B91=Henkilöautot_fx!$Q$18,Henkilöautot_fx!$R$18,IF(B91=Henkilöautot_fx!$Q$19,Henkilöautot_fx!$R$19,IF(B91=Henkilöautot_fx!$Q$20,Henkilöautot_fx!$R$20,0))))))),IF(E91=Henkilöautot_fx!$J$18,Henkilöautot_fx!$R$21,IF(E91=Henkilöautot_fx!$J$19,IF(B91=Henkilöautot_fx!$Q$22,Henkilöautot_fx!$R$22,IF(B91=Henkilöautot_fx!$Q$23,Henkilöautot_fx!$R$23,IF(B91=Henkilöautot_fx!$Q$24,Henkilöautot_fx!$R$24,0))),0))))</f>
        <v>0</v>
      </c>
      <c r="H91">
        <f>IF(E91=Henkilöautot_fx!$J$20,IF(B91=Henkilöautot_fx!$Q$25,Henkilöautot_fx!$R$25,IF(B91=Henkilöautot_fx!$Q$26,Henkilöautot_fx!$R$26,IF(B91=Henkilöautot_fx!$Q$27,Henkilöautot_fx!$R$27,IF(B91=Henkilöautot_fx!$Q$28,Henkilöautot_fx!$R$28,IF(B91=Henkilöautot_fx!$Q$29,Henkilöautot_fx!$R$29,0))))),IF(E91=Henkilöautot_fx!$J$21,Henkilöautot_fx!$R$30,IF(E91=Henkilöautot_fx!$J$22,IF(B91=Henkilöautot_fx!$Q$31,Henkilöautot_fx!$R$31,IF(B91=Henkilöautot_fx!$Q$32,Henkilöautot_fx!$R$32,IF(B91=Henkilöautot_fx!$Q$33,Henkilöautot_fx!$R$33,IF(B91=Henkilöautot_fx!$Q$34,Henkilöautot_fx!$R$34,0)))),0)))</f>
        <v>0</v>
      </c>
      <c r="I91">
        <f t="shared" si="1"/>
        <v>0</v>
      </c>
      <c r="L91">
        <f>Henkilöautot!H93</f>
        <v>0</v>
      </c>
      <c r="M91">
        <f>Henkilöautot!I93</f>
        <v>0</v>
      </c>
      <c r="N91">
        <f>Henkilöautot!J93</f>
        <v>0</v>
      </c>
      <c r="P91">
        <f>IF(L91=Henkilöautot_fx!$O$35,Henkilöautot_fx!$R$35,IF(L91=Henkilöautot_fx!$O$36,Henkilöautot_fx!$R$36,IF(L91=Henkilöautot_fx!$O$37,Henkilöautot_fx!$R$37,IF(L91=Henkilöautot_fx!$O$38,Henkilöautot_fx!$R$38,IF(L91=Henkilöautot_fx!$O$39,Henkilöautot_fx!$R$39,IF(L91=Henkilöautot_fx!$O$40,Henkilöautot_fx!$R$40,IF(L91=Henkilöautot_fx!$N$41,Henkilöautot_fx!$R$41,0)))))))</f>
        <v>0</v>
      </c>
      <c r="Q91">
        <f t="shared" si="2"/>
        <v>0</v>
      </c>
    </row>
    <row r="92" spans="1:17" x14ac:dyDescent="0.25">
      <c r="A92">
        <f>Henkilöautot!A94</f>
        <v>0</v>
      </c>
      <c r="B92">
        <f>Henkilöautot!B94</f>
        <v>0</v>
      </c>
      <c r="C92">
        <f>Henkilöautot!C94</f>
        <v>0</v>
      </c>
      <c r="D92">
        <f>Henkilöautot!D94</f>
        <v>0</v>
      </c>
      <c r="E92">
        <f>Henkilöautot!E94</f>
        <v>0</v>
      </c>
      <c r="G92">
        <f>IF(E92=Henkilöautot_fx!$J$16,IF(B92=Henkilöautot_fx!$Q$7,Henkilöautot_fx!$R$7,IF(B92=Henkilöautot_fx!$Q$8,Henkilöautot_fx!$R$8,IF(B92=Henkilöautot_fx!$Q$9,Henkilöautot_fx!$R$9,IF(B92=Henkilöautot_fx!$Q$10,Henkilöautot_fx!$R$10,IF(B92=Henkilöautot_fx!$Q$11,Henkilöautot_fx!$R$11,IF(B92=Henkilöautot_fx!$Q$12,Henkilöautot_fx!$R$12,IF(B92=Henkilöautot_fx!$Q$13,Henkilöautot_fx!$R$13,0))))))),IF(E92=Henkilöautot_fx!$J$17,IF(B92=Henkilöautot_fx!$Q$14,Henkilöautot_fx!$R$14,IF(B92=Henkilöautot_fx!$Q$15,Henkilöautot_fx!$R$15,IF(B92=Henkilöautot_fx!$Q$16,Henkilöautot_fx!$R$16,IF(B92=Henkilöautot_fx!$Q$17,Henkilöautot_fx!$R$17,IF(B92=Henkilöautot_fx!$Q$18,Henkilöautot_fx!$R$18,IF(B92=Henkilöautot_fx!$Q$19,Henkilöautot_fx!$R$19,IF(B92=Henkilöautot_fx!$Q$20,Henkilöautot_fx!$R$20,0))))))),IF(E92=Henkilöautot_fx!$J$18,Henkilöautot_fx!$R$21,IF(E92=Henkilöautot_fx!$J$19,IF(B92=Henkilöautot_fx!$Q$22,Henkilöautot_fx!$R$22,IF(B92=Henkilöautot_fx!$Q$23,Henkilöautot_fx!$R$23,IF(B92=Henkilöautot_fx!$Q$24,Henkilöautot_fx!$R$24,0))),0))))</f>
        <v>0</v>
      </c>
      <c r="H92">
        <f>IF(E92=Henkilöautot_fx!$J$20,IF(B92=Henkilöautot_fx!$Q$25,Henkilöautot_fx!$R$25,IF(B92=Henkilöautot_fx!$Q$26,Henkilöautot_fx!$R$26,IF(B92=Henkilöautot_fx!$Q$27,Henkilöautot_fx!$R$27,IF(B92=Henkilöautot_fx!$Q$28,Henkilöautot_fx!$R$28,IF(B92=Henkilöautot_fx!$Q$29,Henkilöautot_fx!$R$29,0))))),IF(E92=Henkilöautot_fx!$J$21,Henkilöautot_fx!$R$30,IF(E92=Henkilöautot_fx!$J$22,IF(B92=Henkilöautot_fx!$Q$31,Henkilöautot_fx!$R$31,IF(B92=Henkilöautot_fx!$Q$32,Henkilöautot_fx!$R$32,IF(B92=Henkilöautot_fx!$Q$33,Henkilöautot_fx!$R$33,IF(B92=Henkilöautot_fx!$Q$34,Henkilöautot_fx!$R$34,0)))),0)))</f>
        <v>0</v>
      </c>
      <c r="I92">
        <f t="shared" si="1"/>
        <v>0</v>
      </c>
      <c r="L92">
        <f>Henkilöautot!H94</f>
        <v>0</v>
      </c>
      <c r="M92">
        <f>Henkilöautot!I94</f>
        <v>0</v>
      </c>
      <c r="N92">
        <f>Henkilöautot!J94</f>
        <v>0</v>
      </c>
      <c r="P92">
        <f>IF(L92=Henkilöautot_fx!$O$35,Henkilöautot_fx!$R$35,IF(L92=Henkilöautot_fx!$O$36,Henkilöautot_fx!$R$36,IF(L92=Henkilöautot_fx!$O$37,Henkilöautot_fx!$R$37,IF(L92=Henkilöautot_fx!$O$38,Henkilöautot_fx!$R$38,IF(L92=Henkilöautot_fx!$O$39,Henkilöautot_fx!$R$39,IF(L92=Henkilöautot_fx!$O$40,Henkilöautot_fx!$R$40,IF(L92=Henkilöautot_fx!$N$41,Henkilöautot_fx!$R$41,0)))))))</f>
        <v>0</v>
      </c>
      <c r="Q92">
        <f t="shared" si="2"/>
        <v>0</v>
      </c>
    </row>
    <row r="93" spans="1:17" x14ac:dyDescent="0.25">
      <c r="A93">
        <f>Henkilöautot!A95</f>
        <v>0</v>
      </c>
      <c r="B93">
        <f>Henkilöautot!B95</f>
        <v>0</v>
      </c>
      <c r="C93">
        <f>Henkilöautot!C95</f>
        <v>0</v>
      </c>
      <c r="D93">
        <f>Henkilöautot!D95</f>
        <v>0</v>
      </c>
      <c r="E93">
        <f>Henkilöautot!E95</f>
        <v>0</v>
      </c>
      <c r="G93">
        <f>IF(E93=Henkilöautot_fx!$J$16,IF(B93=Henkilöautot_fx!$Q$7,Henkilöautot_fx!$R$7,IF(B93=Henkilöautot_fx!$Q$8,Henkilöautot_fx!$R$8,IF(B93=Henkilöautot_fx!$Q$9,Henkilöautot_fx!$R$9,IF(B93=Henkilöautot_fx!$Q$10,Henkilöautot_fx!$R$10,IF(B93=Henkilöautot_fx!$Q$11,Henkilöautot_fx!$R$11,IF(B93=Henkilöautot_fx!$Q$12,Henkilöautot_fx!$R$12,IF(B93=Henkilöautot_fx!$Q$13,Henkilöautot_fx!$R$13,0))))))),IF(E93=Henkilöautot_fx!$J$17,IF(B93=Henkilöautot_fx!$Q$14,Henkilöautot_fx!$R$14,IF(B93=Henkilöautot_fx!$Q$15,Henkilöautot_fx!$R$15,IF(B93=Henkilöautot_fx!$Q$16,Henkilöautot_fx!$R$16,IF(B93=Henkilöautot_fx!$Q$17,Henkilöautot_fx!$R$17,IF(B93=Henkilöautot_fx!$Q$18,Henkilöautot_fx!$R$18,IF(B93=Henkilöautot_fx!$Q$19,Henkilöautot_fx!$R$19,IF(B93=Henkilöautot_fx!$Q$20,Henkilöautot_fx!$R$20,0))))))),IF(E93=Henkilöautot_fx!$J$18,Henkilöautot_fx!$R$21,IF(E93=Henkilöautot_fx!$J$19,IF(B93=Henkilöautot_fx!$Q$22,Henkilöautot_fx!$R$22,IF(B93=Henkilöautot_fx!$Q$23,Henkilöautot_fx!$R$23,IF(B93=Henkilöautot_fx!$Q$24,Henkilöautot_fx!$R$24,0))),0))))</f>
        <v>0</v>
      </c>
      <c r="H93">
        <f>IF(E93=Henkilöautot_fx!$J$20,IF(B93=Henkilöautot_fx!$Q$25,Henkilöautot_fx!$R$25,IF(B93=Henkilöautot_fx!$Q$26,Henkilöautot_fx!$R$26,IF(B93=Henkilöautot_fx!$Q$27,Henkilöautot_fx!$R$27,IF(B93=Henkilöautot_fx!$Q$28,Henkilöautot_fx!$R$28,IF(B93=Henkilöautot_fx!$Q$29,Henkilöautot_fx!$R$29,0))))),IF(E93=Henkilöautot_fx!$J$21,Henkilöautot_fx!$R$30,IF(E93=Henkilöautot_fx!$J$22,IF(B93=Henkilöautot_fx!$Q$31,Henkilöautot_fx!$R$31,IF(B93=Henkilöautot_fx!$Q$32,Henkilöautot_fx!$R$32,IF(B93=Henkilöautot_fx!$Q$33,Henkilöautot_fx!$R$33,IF(B93=Henkilöautot_fx!$Q$34,Henkilöautot_fx!$R$34,0)))),0)))</f>
        <v>0</v>
      </c>
      <c r="I93">
        <f t="shared" si="1"/>
        <v>0</v>
      </c>
      <c r="L93">
        <f>Henkilöautot!H95</f>
        <v>0</v>
      </c>
      <c r="M93">
        <f>Henkilöautot!I95</f>
        <v>0</v>
      </c>
      <c r="N93">
        <f>Henkilöautot!J95</f>
        <v>0</v>
      </c>
      <c r="P93">
        <f>IF(L93=Henkilöautot_fx!$O$35,Henkilöautot_fx!$R$35,IF(L93=Henkilöautot_fx!$O$36,Henkilöautot_fx!$R$36,IF(L93=Henkilöautot_fx!$O$37,Henkilöautot_fx!$R$37,IF(L93=Henkilöautot_fx!$O$38,Henkilöautot_fx!$R$38,IF(L93=Henkilöautot_fx!$O$39,Henkilöautot_fx!$R$39,IF(L93=Henkilöautot_fx!$O$40,Henkilöautot_fx!$R$40,IF(L93=Henkilöautot_fx!$N$41,Henkilöautot_fx!$R$41,0)))))))</f>
        <v>0</v>
      </c>
      <c r="Q93">
        <f t="shared" si="2"/>
        <v>0</v>
      </c>
    </row>
    <row r="94" spans="1:17" x14ac:dyDescent="0.25">
      <c r="A94">
        <f>Henkilöautot!A96</f>
        <v>0</v>
      </c>
      <c r="B94">
        <f>Henkilöautot!B96</f>
        <v>0</v>
      </c>
      <c r="C94">
        <f>Henkilöautot!C96</f>
        <v>0</v>
      </c>
      <c r="D94">
        <f>Henkilöautot!D96</f>
        <v>0</v>
      </c>
      <c r="E94">
        <f>Henkilöautot!E96</f>
        <v>0</v>
      </c>
      <c r="G94">
        <f>IF(E94=Henkilöautot_fx!$J$16,IF(B94=Henkilöautot_fx!$Q$7,Henkilöautot_fx!$R$7,IF(B94=Henkilöautot_fx!$Q$8,Henkilöautot_fx!$R$8,IF(B94=Henkilöautot_fx!$Q$9,Henkilöautot_fx!$R$9,IF(B94=Henkilöautot_fx!$Q$10,Henkilöautot_fx!$R$10,IF(B94=Henkilöautot_fx!$Q$11,Henkilöautot_fx!$R$11,IF(B94=Henkilöautot_fx!$Q$12,Henkilöautot_fx!$R$12,IF(B94=Henkilöautot_fx!$Q$13,Henkilöautot_fx!$R$13,0))))))),IF(E94=Henkilöautot_fx!$J$17,IF(B94=Henkilöautot_fx!$Q$14,Henkilöautot_fx!$R$14,IF(B94=Henkilöautot_fx!$Q$15,Henkilöautot_fx!$R$15,IF(B94=Henkilöautot_fx!$Q$16,Henkilöautot_fx!$R$16,IF(B94=Henkilöautot_fx!$Q$17,Henkilöautot_fx!$R$17,IF(B94=Henkilöautot_fx!$Q$18,Henkilöautot_fx!$R$18,IF(B94=Henkilöautot_fx!$Q$19,Henkilöautot_fx!$R$19,IF(B94=Henkilöautot_fx!$Q$20,Henkilöautot_fx!$R$20,0))))))),IF(E94=Henkilöautot_fx!$J$18,Henkilöautot_fx!$R$21,IF(E94=Henkilöautot_fx!$J$19,IF(B94=Henkilöautot_fx!$Q$22,Henkilöautot_fx!$R$22,IF(B94=Henkilöautot_fx!$Q$23,Henkilöautot_fx!$R$23,IF(B94=Henkilöautot_fx!$Q$24,Henkilöautot_fx!$R$24,0))),0))))</f>
        <v>0</v>
      </c>
      <c r="H94">
        <f>IF(E94=Henkilöautot_fx!$J$20,IF(B94=Henkilöautot_fx!$Q$25,Henkilöautot_fx!$R$25,IF(B94=Henkilöautot_fx!$Q$26,Henkilöautot_fx!$R$26,IF(B94=Henkilöautot_fx!$Q$27,Henkilöautot_fx!$R$27,IF(B94=Henkilöautot_fx!$Q$28,Henkilöautot_fx!$R$28,IF(B94=Henkilöautot_fx!$Q$29,Henkilöautot_fx!$R$29,0))))),IF(E94=Henkilöautot_fx!$J$21,Henkilöautot_fx!$R$30,IF(E94=Henkilöautot_fx!$J$22,IF(B94=Henkilöautot_fx!$Q$31,Henkilöautot_fx!$R$31,IF(B94=Henkilöautot_fx!$Q$32,Henkilöautot_fx!$R$32,IF(B94=Henkilöautot_fx!$Q$33,Henkilöautot_fx!$R$33,IF(B94=Henkilöautot_fx!$Q$34,Henkilöautot_fx!$R$34,0)))),0)))</f>
        <v>0</v>
      </c>
      <c r="I94">
        <f t="shared" si="1"/>
        <v>0</v>
      </c>
      <c r="L94">
        <f>Henkilöautot!H96</f>
        <v>0</v>
      </c>
      <c r="M94">
        <f>Henkilöautot!I96</f>
        <v>0</v>
      </c>
      <c r="N94">
        <f>Henkilöautot!J96</f>
        <v>0</v>
      </c>
      <c r="P94">
        <f>IF(L94=Henkilöautot_fx!$O$35,Henkilöautot_fx!$R$35,IF(L94=Henkilöautot_fx!$O$36,Henkilöautot_fx!$R$36,IF(L94=Henkilöautot_fx!$O$37,Henkilöautot_fx!$R$37,IF(L94=Henkilöautot_fx!$O$38,Henkilöautot_fx!$R$38,IF(L94=Henkilöautot_fx!$O$39,Henkilöautot_fx!$R$39,IF(L94=Henkilöautot_fx!$O$40,Henkilöautot_fx!$R$40,IF(L94=Henkilöautot_fx!$N$41,Henkilöautot_fx!$R$41,0)))))))</f>
        <v>0</v>
      </c>
      <c r="Q94">
        <f t="shared" si="2"/>
        <v>0</v>
      </c>
    </row>
    <row r="95" spans="1:17" x14ac:dyDescent="0.25">
      <c r="A95">
        <f>Henkilöautot!A97</f>
        <v>0</v>
      </c>
      <c r="B95">
        <f>Henkilöautot!B97</f>
        <v>0</v>
      </c>
      <c r="C95">
        <f>Henkilöautot!C97</f>
        <v>0</v>
      </c>
      <c r="D95">
        <f>Henkilöautot!D97</f>
        <v>0</v>
      </c>
      <c r="E95">
        <f>Henkilöautot!E97</f>
        <v>0</v>
      </c>
      <c r="G95">
        <f>IF(E95=Henkilöautot_fx!$J$16,IF(B95=Henkilöautot_fx!$Q$7,Henkilöautot_fx!$R$7,IF(B95=Henkilöautot_fx!$Q$8,Henkilöautot_fx!$R$8,IF(B95=Henkilöautot_fx!$Q$9,Henkilöautot_fx!$R$9,IF(B95=Henkilöautot_fx!$Q$10,Henkilöautot_fx!$R$10,IF(B95=Henkilöautot_fx!$Q$11,Henkilöautot_fx!$R$11,IF(B95=Henkilöautot_fx!$Q$12,Henkilöautot_fx!$R$12,IF(B95=Henkilöautot_fx!$Q$13,Henkilöautot_fx!$R$13,0))))))),IF(E95=Henkilöautot_fx!$J$17,IF(B95=Henkilöautot_fx!$Q$14,Henkilöautot_fx!$R$14,IF(B95=Henkilöautot_fx!$Q$15,Henkilöautot_fx!$R$15,IF(B95=Henkilöautot_fx!$Q$16,Henkilöautot_fx!$R$16,IF(B95=Henkilöautot_fx!$Q$17,Henkilöautot_fx!$R$17,IF(B95=Henkilöautot_fx!$Q$18,Henkilöautot_fx!$R$18,IF(B95=Henkilöautot_fx!$Q$19,Henkilöautot_fx!$R$19,IF(B95=Henkilöautot_fx!$Q$20,Henkilöautot_fx!$R$20,0))))))),IF(E95=Henkilöautot_fx!$J$18,Henkilöautot_fx!$R$21,IF(E95=Henkilöautot_fx!$J$19,IF(B95=Henkilöautot_fx!$Q$22,Henkilöautot_fx!$R$22,IF(B95=Henkilöautot_fx!$Q$23,Henkilöautot_fx!$R$23,IF(B95=Henkilöautot_fx!$Q$24,Henkilöautot_fx!$R$24,0))),0))))</f>
        <v>0</v>
      </c>
      <c r="H95">
        <f>IF(E95=Henkilöautot_fx!$J$20,IF(B95=Henkilöautot_fx!$Q$25,Henkilöautot_fx!$R$25,IF(B95=Henkilöautot_fx!$Q$26,Henkilöautot_fx!$R$26,IF(B95=Henkilöautot_fx!$Q$27,Henkilöautot_fx!$R$27,IF(B95=Henkilöautot_fx!$Q$28,Henkilöautot_fx!$R$28,IF(B95=Henkilöautot_fx!$Q$29,Henkilöautot_fx!$R$29,0))))),IF(E95=Henkilöautot_fx!$J$21,Henkilöautot_fx!$R$30,IF(E95=Henkilöautot_fx!$J$22,IF(B95=Henkilöautot_fx!$Q$31,Henkilöautot_fx!$R$31,IF(B95=Henkilöautot_fx!$Q$32,Henkilöautot_fx!$R$32,IF(B95=Henkilöautot_fx!$Q$33,Henkilöautot_fx!$R$33,IF(B95=Henkilöautot_fx!$Q$34,Henkilöautot_fx!$R$34,0)))),0)))</f>
        <v>0</v>
      </c>
      <c r="I95">
        <f t="shared" si="1"/>
        <v>0</v>
      </c>
      <c r="L95">
        <f>Henkilöautot!H97</f>
        <v>0</v>
      </c>
      <c r="M95">
        <f>Henkilöautot!I97</f>
        <v>0</v>
      </c>
      <c r="N95">
        <f>Henkilöautot!J97</f>
        <v>0</v>
      </c>
      <c r="P95">
        <f>IF(L95=Henkilöautot_fx!$O$35,Henkilöautot_fx!$R$35,IF(L95=Henkilöautot_fx!$O$36,Henkilöautot_fx!$R$36,IF(L95=Henkilöautot_fx!$O$37,Henkilöautot_fx!$R$37,IF(L95=Henkilöautot_fx!$O$38,Henkilöautot_fx!$R$38,IF(L95=Henkilöautot_fx!$O$39,Henkilöautot_fx!$R$39,IF(L95=Henkilöautot_fx!$O$40,Henkilöautot_fx!$R$40,IF(L95=Henkilöautot_fx!$N$41,Henkilöautot_fx!$R$41,0)))))))</f>
        <v>0</v>
      </c>
      <c r="Q95">
        <f t="shared" si="2"/>
        <v>0</v>
      </c>
    </row>
    <row r="96" spans="1:17" x14ac:dyDescent="0.25">
      <c r="A96">
        <f>Henkilöautot!A98</f>
        <v>0</v>
      </c>
      <c r="B96">
        <f>Henkilöautot!B98</f>
        <v>0</v>
      </c>
      <c r="C96">
        <f>Henkilöautot!C98</f>
        <v>0</v>
      </c>
      <c r="D96">
        <f>Henkilöautot!D98</f>
        <v>0</v>
      </c>
      <c r="E96">
        <f>Henkilöautot!E98</f>
        <v>0</v>
      </c>
      <c r="G96">
        <f>IF(E96=Henkilöautot_fx!$J$16,IF(B96=Henkilöautot_fx!$Q$7,Henkilöautot_fx!$R$7,IF(B96=Henkilöautot_fx!$Q$8,Henkilöautot_fx!$R$8,IF(B96=Henkilöautot_fx!$Q$9,Henkilöautot_fx!$R$9,IF(B96=Henkilöautot_fx!$Q$10,Henkilöautot_fx!$R$10,IF(B96=Henkilöautot_fx!$Q$11,Henkilöautot_fx!$R$11,IF(B96=Henkilöautot_fx!$Q$12,Henkilöautot_fx!$R$12,IF(B96=Henkilöautot_fx!$Q$13,Henkilöautot_fx!$R$13,0))))))),IF(E96=Henkilöautot_fx!$J$17,IF(B96=Henkilöautot_fx!$Q$14,Henkilöautot_fx!$R$14,IF(B96=Henkilöautot_fx!$Q$15,Henkilöautot_fx!$R$15,IF(B96=Henkilöautot_fx!$Q$16,Henkilöautot_fx!$R$16,IF(B96=Henkilöautot_fx!$Q$17,Henkilöautot_fx!$R$17,IF(B96=Henkilöautot_fx!$Q$18,Henkilöautot_fx!$R$18,IF(B96=Henkilöautot_fx!$Q$19,Henkilöautot_fx!$R$19,IF(B96=Henkilöautot_fx!$Q$20,Henkilöautot_fx!$R$20,0))))))),IF(E96=Henkilöautot_fx!$J$18,Henkilöautot_fx!$R$21,IF(E96=Henkilöautot_fx!$J$19,IF(B96=Henkilöautot_fx!$Q$22,Henkilöautot_fx!$R$22,IF(B96=Henkilöautot_fx!$Q$23,Henkilöautot_fx!$R$23,IF(B96=Henkilöautot_fx!$Q$24,Henkilöautot_fx!$R$24,0))),0))))</f>
        <v>0</v>
      </c>
      <c r="H96">
        <f>IF(E96=Henkilöautot_fx!$J$20,IF(B96=Henkilöautot_fx!$Q$25,Henkilöautot_fx!$R$25,IF(B96=Henkilöautot_fx!$Q$26,Henkilöautot_fx!$R$26,IF(B96=Henkilöautot_fx!$Q$27,Henkilöautot_fx!$R$27,IF(B96=Henkilöautot_fx!$Q$28,Henkilöautot_fx!$R$28,IF(B96=Henkilöautot_fx!$Q$29,Henkilöautot_fx!$R$29,0))))),IF(E96=Henkilöautot_fx!$J$21,Henkilöautot_fx!$R$30,IF(E96=Henkilöautot_fx!$J$22,IF(B96=Henkilöautot_fx!$Q$31,Henkilöautot_fx!$R$31,IF(B96=Henkilöautot_fx!$Q$32,Henkilöautot_fx!$R$32,IF(B96=Henkilöautot_fx!$Q$33,Henkilöautot_fx!$R$33,IF(B96=Henkilöautot_fx!$Q$34,Henkilöautot_fx!$R$34,0)))),0)))</f>
        <v>0</v>
      </c>
      <c r="I96">
        <f t="shared" si="1"/>
        <v>0</v>
      </c>
      <c r="L96">
        <f>Henkilöautot!H98</f>
        <v>0</v>
      </c>
      <c r="M96">
        <f>Henkilöautot!I98</f>
        <v>0</v>
      </c>
      <c r="N96">
        <f>Henkilöautot!J98</f>
        <v>0</v>
      </c>
      <c r="P96">
        <f>IF(L96=Henkilöautot_fx!$O$35,Henkilöautot_fx!$R$35,IF(L96=Henkilöautot_fx!$O$36,Henkilöautot_fx!$R$36,IF(L96=Henkilöautot_fx!$O$37,Henkilöautot_fx!$R$37,IF(L96=Henkilöautot_fx!$O$38,Henkilöautot_fx!$R$38,IF(L96=Henkilöautot_fx!$O$39,Henkilöautot_fx!$R$39,IF(L96=Henkilöautot_fx!$O$40,Henkilöautot_fx!$R$40,IF(L96=Henkilöautot_fx!$N$41,Henkilöautot_fx!$R$41,0)))))))</f>
        <v>0</v>
      </c>
      <c r="Q96">
        <f t="shared" si="2"/>
        <v>0</v>
      </c>
    </row>
    <row r="97" spans="1:17" x14ac:dyDescent="0.25">
      <c r="A97">
        <f>Henkilöautot!A99</f>
        <v>0</v>
      </c>
      <c r="B97">
        <f>Henkilöautot!B99</f>
        <v>0</v>
      </c>
      <c r="C97">
        <f>Henkilöautot!C99</f>
        <v>0</v>
      </c>
      <c r="D97">
        <f>Henkilöautot!D99</f>
        <v>0</v>
      </c>
      <c r="E97">
        <f>Henkilöautot!E99</f>
        <v>0</v>
      </c>
      <c r="G97">
        <f>IF(E97=Henkilöautot_fx!$J$16,IF(B97=Henkilöautot_fx!$Q$7,Henkilöautot_fx!$R$7,IF(B97=Henkilöautot_fx!$Q$8,Henkilöautot_fx!$R$8,IF(B97=Henkilöautot_fx!$Q$9,Henkilöautot_fx!$R$9,IF(B97=Henkilöautot_fx!$Q$10,Henkilöautot_fx!$R$10,IF(B97=Henkilöautot_fx!$Q$11,Henkilöautot_fx!$R$11,IF(B97=Henkilöautot_fx!$Q$12,Henkilöautot_fx!$R$12,IF(B97=Henkilöautot_fx!$Q$13,Henkilöautot_fx!$R$13,0))))))),IF(E97=Henkilöautot_fx!$J$17,IF(B97=Henkilöautot_fx!$Q$14,Henkilöautot_fx!$R$14,IF(B97=Henkilöautot_fx!$Q$15,Henkilöautot_fx!$R$15,IF(B97=Henkilöautot_fx!$Q$16,Henkilöautot_fx!$R$16,IF(B97=Henkilöautot_fx!$Q$17,Henkilöautot_fx!$R$17,IF(B97=Henkilöautot_fx!$Q$18,Henkilöautot_fx!$R$18,IF(B97=Henkilöautot_fx!$Q$19,Henkilöautot_fx!$R$19,IF(B97=Henkilöautot_fx!$Q$20,Henkilöautot_fx!$R$20,0))))))),IF(E97=Henkilöautot_fx!$J$18,Henkilöautot_fx!$R$21,IF(E97=Henkilöautot_fx!$J$19,IF(B97=Henkilöautot_fx!$Q$22,Henkilöautot_fx!$R$22,IF(B97=Henkilöautot_fx!$Q$23,Henkilöautot_fx!$R$23,IF(B97=Henkilöautot_fx!$Q$24,Henkilöautot_fx!$R$24,0))),0))))</f>
        <v>0</v>
      </c>
      <c r="H97">
        <f>IF(E97=Henkilöautot_fx!$J$20,IF(B97=Henkilöautot_fx!$Q$25,Henkilöautot_fx!$R$25,IF(B97=Henkilöautot_fx!$Q$26,Henkilöautot_fx!$R$26,IF(B97=Henkilöautot_fx!$Q$27,Henkilöautot_fx!$R$27,IF(B97=Henkilöautot_fx!$Q$28,Henkilöautot_fx!$R$28,IF(B97=Henkilöautot_fx!$Q$29,Henkilöautot_fx!$R$29,0))))),IF(E97=Henkilöautot_fx!$J$21,Henkilöautot_fx!$R$30,IF(E97=Henkilöautot_fx!$J$22,IF(B97=Henkilöautot_fx!$Q$31,Henkilöautot_fx!$R$31,IF(B97=Henkilöautot_fx!$Q$32,Henkilöautot_fx!$R$32,IF(B97=Henkilöautot_fx!$Q$33,Henkilöautot_fx!$R$33,IF(B97=Henkilöautot_fx!$Q$34,Henkilöautot_fx!$R$34,0)))),0)))</f>
        <v>0</v>
      </c>
      <c r="I97">
        <f t="shared" si="1"/>
        <v>0</v>
      </c>
      <c r="L97">
        <f>Henkilöautot!H99</f>
        <v>0</v>
      </c>
      <c r="M97">
        <f>Henkilöautot!I99</f>
        <v>0</v>
      </c>
      <c r="N97">
        <f>Henkilöautot!J99</f>
        <v>0</v>
      </c>
      <c r="P97">
        <f>IF(L97=Henkilöautot_fx!$O$35,Henkilöautot_fx!$R$35,IF(L97=Henkilöautot_fx!$O$36,Henkilöautot_fx!$R$36,IF(L97=Henkilöautot_fx!$O$37,Henkilöautot_fx!$R$37,IF(L97=Henkilöautot_fx!$O$38,Henkilöautot_fx!$R$38,IF(L97=Henkilöautot_fx!$O$39,Henkilöautot_fx!$R$39,IF(L97=Henkilöautot_fx!$O$40,Henkilöautot_fx!$R$40,IF(L97=Henkilöautot_fx!$N$41,Henkilöautot_fx!$R$41,0)))))))</f>
        <v>0</v>
      </c>
      <c r="Q97">
        <f t="shared" si="2"/>
        <v>0</v>
      </c>
    </row>
    <row r="98" spans="1:17" x14ac:dyDescent="0.25">
      <c r="A98">
        <f>Henkilöautot!A100</f>
        <v>0</v>
      </c>
      <c r="B98">
        <f>Henkilöautot!B100</f>
        <v>0</v>
      </c>
      <c r="C98">
        <f>Henkilöautot!C100</f>
        <v>0</v>
      </c>
      <c r="D98">
        <f>Henkilöautot!D100</f>
        <v>0</v>
      </c>
      <c r="E98">
        <f>Henkilöautot!E100</f>
        <v>0</v>
      </c>
      <c r="G98">
        <f>IF(E98=Henkilöautot_fx!$J$16,IF(B98=Henkilöautot_fx!$Q$7,Henkilöautot_fx!$R$7,IF(B98=Henkilöautot_fx!$Q$8,Henkilöautot_fx!$R$8,IF(B98=Henkilöautot_fx!$Q$9,Henkilöautot_fx!$R$9,IF(B98=Henkilöautot_fx!$Q$10,Henkilöautot_fx!$R$10,IF(B98=Henkilöautot_fx!$Q$11,Henkilöautot_fx!$R$11,IF(B98=Henkilöautot_fx!$Q$12,Henkilöautot_fx!$R$12,IF(B98=Henkilöautot_fx!$Q$13,Henkilöautot_fx!$R$13,0))))))),IF(E98=Henkilöautot_fx!$J$17,IF(B98=Henkilöautot_fx!$Q$14,Henkilöautot_fx!$R$14,IF(B98=Henkilöautot_fx!$Q$15,Henkilöautot_fx!$R$15,IF(B98=Henkilöautot_fx!$Q$16,Henkilöautot_fx!$R$16,IF(B98=Henkilöautot_fx!$Q$17,Henkilöautot_fx!$R$17,IF(B98=Henkilöautot_fx!$Q$18,Henkilöautot_fx!$R$18,IF(B98=Henkilöautot_fx!$Q$19,Henkilöautot_fx!$R$19,IF(B98=Henkilöautot_fx!$Q$20,Henkilöautot_fx!$R$20,0))))))),IF(E98=Henkilöautot_fx!$J$18,Henkilöautot_fx!$R$21,IF(E98=Henkilöautot_fx!$J$19,IF(B98=Henkilöautot_fx!$Q$22,Henkilöautot_fx!$R$22,IF(B98=Henkilöautot_fx!$Q$23,Henkilöautot_fx!$R$23,IF(B98=Henkilöautot_fx!$Q$24,Henkilöautot_fx!$R$24,0))),0))))</f>
        <v>0</v>
      </c>
      <c r="H98">
        <f>IF(E98=Henkilöautot_fx!$J$20,IF(B98=Henkilöautot_fx!$Q$25,Henkilöautot_fx!$R$25,IF(B98=Henkilöautot_fx!$Q$26,Henkilöautot_fx!$R$26,IF(B98=Henkilöautot_fx!$Q$27,Henkilöautot_fx!$R$27,IF(B98=Henkilöautot_fx!$Q$28,Henkilöautot_fx!$R$28,IF(B98=Henkilöautot_fx!$Q$29,Henkilöautot_fx!$R$29,0))))),IF(E98=Henkilöautot_fx!$J$21,Henkilöautot_fx!$R$30,IF(E98=Henkilöautot_fx!$J$22,IF(B98=Henkilöautot_fx!$Q$31,Henkilöautot_fx!$R$31,IF(B98=Henkilöautot_fx!$Q$32,Henkilöautot_fx!$R$32,IF(B98=Henkilöautot_fx!$Q$33,Henkilöautot_fx!$R$33,IF(B98=Henkilöautot_fx!$Q$34,Henkilöautot_fx!$R$34,0)))),0)))</f>
        <v>0</v>
      </c>
      <c r="I98">
        <f t="shared" si="1"/>
        <v>0</v>
      </c>
      <c r="L98">
        <f>Henkilöautot!H100</f>
        <v>0</v>
      </c>
      <c r="M98">
        <f>Henkilöautot!I100</f>
        <v>0</v>
      </c>
      <c r="N98">
        <f>Henkilöautot!J100</f>
        <v>0</v>
      </c>
      <c r="P98">
        <f>IF(L98=Henkilöautot_fx!$O$35,Henkilöautot_fx!$R$35,IF(L98=Henkilöautot_fx!$O$36,Henkilöautot_fx!$R$36,IF(L98=Henkilöautot_fx!$O$37,Henkilöautot_fx!$R$37,IF(L98=Henkilöautot_fx!$O$38,Henkilöautot_fx!$R$38,IF(L98=Henkilöautot_fx!$O$39,Henkilöautot_fx!$R$39,IF(L98=Henkilöautot_fx!$O$40,Henkilöautot_fx!$R$40,IF(L98=Henkilöautot_fx!$N$41,Henkilöautot_fx!$R$41,0)))))))</f>
        <v>0</v>
      </c>
      <c r="Q98">
        <f t="shared" si="2"/>
        <v>0</v>
      </c>
    </row>
    <row r="99" spans="1:17" x14ac:dyDescent="0.25">
      <c r="A99">
        <f>Henkilöautot!A101</f>
        <v>0</v>
      </c>
      <c r="B99">
        <f>Henkilöautot!B101</f>
        <v>0</v>
      </c>
      <c r="C99">
        <f>Henkilöautot!C101</f>
        <v>0</v>
      </c>
      <c r="D99">
        <f>Henkilöautot!D101</f>
        <v>0</v>
      </c>
      <c r="E99">
        <f>Henkilöautot!E101</f>
        <v>0</v>
      </c>
      <c r="G99">
        <f>IF(E99=Henkilöautot_fx!$J$16,IF(B99=Henkilöautot_fx!$Q$7,Henkilöautot_fx!$R$7,IF(B99=Henkilöautot_fx!$Q$8,Henkilöautot_fx!$R$8,IF(B99=Henkilöautot_fx!$Q$9,Henkilöautot_fx!$R$9,IF(B99=Henkilöautot_fx!$Q$10,Henkilöautot_fx!$R$10,IF(B99=Henkilöautot_fx!$Q$11,Henkilöautot_fx!$R$11,IF(B99=Henkilöautot_fx!$Q$12,Henkilöautot_fx!$R$12,IF(B99=Henkilöautot_fx!$Q$13,Henkilöautot_fx!$R$13,0))))))),IF(E99=Henkilöautot_fx!$J$17,IF(B99=Henkilöautot_fx!$Q$14,Henkilöautot_fx!$R$14,IF(B99=Henkilöautot_fx!$Q$15,Henkilöautot_fx!$R$15,IF(B99=Henkilöautot_fx!$Q$16,Henkilöautot_fx!$R$16,IF(B99=Henkilöautot_fx!$Q$17,Henkilöautot_fx!$R$17,IF(B99=Henkilöautot_fx!$Q$18,Henkilöautot_fx!$R$18,IF(B99=Henkilöautot_fx!$Q$19,Henkilöautot_fx!$R$19,IF(B99=Henkilöautot_fx!$Q$20,Henkilöautot_fx!$R$20,0))))))),IF(E99=Henkilöautot_fx!$J$18,Henkilöautot_fx!$R$21,IF(E99=Henkilöautot_fx!$J$19,IF(B99=Henkilöautot_fx!$Q$22,Henkilöautot_fx!$R$22,IF(B99=Henkilöautot_fx!$Q$23,Henkilöautot_fx!$R$23,IF(B99=Henkilöautot_fx!$Q$24,Henkilöautot_fx!$R$24,0))),0))))</f>
        <v>0</v>
      </c>
      <c r="H99">
        <f>IF(E99=Henkilöautot_fx!$J$20,IF(B99=Henkilöautot_fx!$Q$25,Henkilöautot_fx!$R$25,IF(B99=Henkilöautot_fx!$Q$26,Henkilöautot_fx!$R$26,IF(B99=Henkilöautot_fx!$Q$27,Henkilöautot_fx!$R$27,IF(B99=Henkilöautot_fx!$Q$28,Henkilöautot_fx!$R$28,IF(B99=Henkilöautot_fx!$Q$29,Henkilöautot_fx!$R$29,0))))),IF(E99=Henkilöautot_fx!$J$21,Henkilöautot_fx!$R$30,IF(E99=Henkilöautot_fx!$J$22,IF(B99=Henkilöautot_fx!$Q$31,Henkilöautot_fx!$R$31,IF(B99=Henkilöautot_fx!$Q$32,Henkilöautot_fx!$R$32,IF(B99=Henkilöautot_fx!$Q$33,Henkilöautot_fx!$R$33,IF(B99=Henkilöautot_fx!$Q$34,Henkilöautot_fx!$R$34,0)))),0)))</f>
        <v>0</v>
      </c>
      <c r="I99">
        <f t="shared" si="1"/>
        <v>0</v>
      </c>
      <c r="L99">
        <f>Henkilöautot!H101</f>
        <v>0</v>
      </c>
      <c r="M99">
        <f>Henkilöautot!I101</f>
        <v>0</v>
      </c>
      <c r="N99">
        <f>Henkilöautot!J101</f>
        <v>0</v>
      </c>
      <c r="P99">
        <f>IF(L99=Henkilöautot_fx!$O$35,Henkilöautot_fx!$R$35,IF(L99=Henkilöautot_fx!$O$36,Henkilöautot_fx!$R$36,IF(L99=Henkilöautot_fx!$O$37,Henkilöautot_fx!$R$37,IF(L99=Henkilöautot_fx!$O$38,Henkilöautot_fx!$R$38,IF(L99=Henkilöautot_fx!$O$39,Henkilöautot_fx!$R$39,IF(L99=Henkilöautot_fx!$O$40,Henkilöautot_fx!$R$40,IF(L99=Henkilöautot_fx!$N$41,Henkilöautot_fx!$R$41,0)))))))</f>
        <v>0</v>
      </c>
      <c r="Q99">
        <f t="shared" si="2"/>
        <v>0</v>
      </c>
    </row>
    <row r="100" spans="1:17" x14ac:dyDescent="0.25">
      <c r="A100">
        <f>Henkilöautot!A102</f>
        <v>0</v>
      </c>
      <c r="B100">
        <f>Henkilöautot!B102</f>
        <v>0</v>
      </c>
      <c r="C100">
        <f>Henkilöautot!C102</f>
        <v>0</v>
      </c>
      <c r="D100">
        <f>Henkilöautot!D102</f>
        <v>0</v>
      </c>
      <c r="E100">
        <f>Henkilöautot!E102</f>
        <v>0</v>
      </c>
      <c r="G100">
        <f>IF(E100=Henkilöautot_fx!$J$16,IF(B100=Henkilöautot_fx!$Q$7,Henkilöautot_fx!$R$7,IF(B100=Henkilöautot_fx!$Q$8,Henkilöautot_fx!$R$8,IF(B100=Henkilöautot_fx!$Q$9,Henkilöautot_fx!$R$9,IF(B100=Henkilöautot_fx!$Q$10,Henkilöautot_fx!$R$10,IF(B100=Henkilöautot_fx!$Q$11,Henkilöautot_fx!$R$11,IF(B100=Henkilöautot_fx!$Q$12,Henkilöautot_fx!$R$12,IF(B100=Henkilöautot_fx!$Q$13,Henkilöautot_fx!$R$13,0))))))),IF(E100=Henkilöautot_fx!$J$17,IF(B100=Henkilöautot_fx!$Q$14,Henkilöautot_fx!$R$14,IF(B100=Henkilöautot_fx!$Q$15,Henkilöautot_fx!$R$15,IF(B100=Henkilöautot_fx!$Q$16,Henkilöautot_fx!$R$16,IF(B100=Henkilöautot_fx!$Q$17,Henkilöautot_fx!$R$17,IF(B100=Henkilöautot_fx!$Q$18,Henkilöautot_fx!$R$18,IF(B100=Henkilöautot_fx!$Q$19,Henkilöautot_fx!$R$19,IF(B100=Henkilöautot_fx!$Q$20,Henkilöautot_fx!$R$20,0))))))),IF(E100=Henkilöautot_fx!$J$18,Henkilöautot_fx!$R$21,IF(E100=Henkilöautot_fx!$J$19,IF(B100=Henkilöautot_fx!$Q$22,Henkilöautot_fx!$R$22,IF(B100=Henkilöautot_fx!$Q$23,Henkilöautot_fx!$R$23,IF(B100=Henkilöautot_fx!$Q$24,Henkilöautot_fx!$R$24,0))),0))))</f>
        <v>0</v>
      </c>
      <c r="H100">
        <f>IF(E100=Henkilöautot_fx!$J$20,IF(B100=Henkilöautot_fx!$Q$25,Henkilöautot_fx!$R$25,IF(B100=Henkilöautot_fx!$Q$26,Henkilöautot_fx!$R$26,IF(B100=Henkilöautot_fx!$Q$27,Henkilöautot_fx!$R$27,IF(B100=Henkilöautot_fx!$Q$28,Henkilöautot_fx!$R$28,IF(B100=Henkilöautot_fx!$Q$29,Henkilöautot_fx!$R$29,0))))),IF(E100=Henkilöautot_fx!$J$21,Henkilöautot_fx!$R$30,IF(E100=Henkilöautot_fx!$J$22,IF(B100=Henkilöautot_fx!$Q$31,Henkilöautot_fx!$R$31,IF(B100=Henkilöautot_fx!$Q$32,Henkilöautot_fx!$R$32,IF(B100=Henkilöautot_fx!$Q$33,Henkilöautot_fx!$R$33,IF(B100=Henkilöautot_fx!$Q$34,Henkilöautot_fx!$R$34,0)))),0)))</f>
        <v>0</v>
      </c>
      <c r="I100">
        <f t="shared" si="1"/>
        <v>0</v>
      </c>
      <c r="L100">
        <f>Henkilöautot!H102</f>
        <v>0</v>
      </c>
      <c r="M100">
        <f>Henkilöautot!I102</f>
        <v>0</v>
      </c>
      <c r="N100">
        <f>Henkilöautot!J102</f>
        <v>0</v>
      </c>
      <c r="P100">
        <f>IF(L100=Henkilöautot_fx!$O$35,Henkilöautot_fx!$R$35,IF(L100=Henkilöautot_fx!$O$36,Henkilöautot_fx!$R$36,IF(L100=Henkilöautot_fx!$O$37,Henkilöautot_fx!$R$37,IF(L100=Henkilöautot_fx!$O$38,Henkilöautot_fx!$R$38,IF(L100=Henkilöautot_fx!$O$39,Henkilöautot_fx!$R$39,IF(L100=Henkilöautot_fx!$O$40,Henkilöautot_fx!$R$40,IF(L100=Henkilöautot_fx!$N$41,Henkilöautot_fx!$R$41,0)))))))</f>
        <v>0</v>
      </c>
      <c r="Q100">
        <f t="shared" si="2"/>
        <v>0</v>
      </c>
    </row>
    <row r="101" spans="1:17" x14ac:dyDescent="0.25">
      <c r="A101">
        <f>Henkilöautot!A103</f>
        <v>0</v>
      </c>
      <c r="B101">
        <f>Henkilöautot!B103</f>
        <v>0</v>
      </c>
      <c r="C101">
        <f>Henkilöautot!C103</f>
        <v>0</v>
      </c>
      <c r="D101">
        <f>Henkilöautot!D103</f>
        <v>0</v>
      </c>
      <c r="E101">
        <f>Henkilöautot!E103</f>
        <v>0</v>
      </c>
      <c r="G101">
        <f>IF(E101=Henkilöautot_fx!$J$16,IF(B101=Henkilöautot_fx!$Q$7,Henkilöautot_fx!$R$7,IF(B101=Henkilöautot_fx!$Q$8,Henkilöautot_fx!$R$8,IF(B101=Henkilöautot_fx!$Q$9,Henkilöautot_fx!$R$9,IF(B101=Henkilöautot_fx!$Q$10,Henkilöautot_fx!$R$10,IF(B101=Henkilöautot_fx!$Q$11,Henkilöautot_fx!$R$11,IF(B101=Henkilöautot_fx!$Q$12,Henkilöautot_fx!$R$12,IF(B101=Henkilöautot_fx!$Q$13,Henkilöautot_fx!$R$13,0))))))),IF(E101=Henkilöautot_fx!$J$17,IF(B101=Henkilöautot_fx!$Q$14,Henkilöautot_fx!$R$14,IF(B101=Henkilöautot_fx!$Q$15,Henkilöautot_fx!$R$15,IF(B101=Henkilöautot_fx!$Q$16,Henkilöautot_fx!$R$16,IF(B101=Henkilöautot_fx!$Q$17,Henkilöautot_fx!$R$17,IF(B101=Henkilöautot_fx!$Q$18,Henkilöautot_fx!$R$18,IF(B101=Henkilöautot_fx!$Q$19,Henkilöautot_fx!$R$19,IF(B101=Henkilöautot_fx!$Q$20,Henkilöautot_fx!$R$20,0))))))),IF(E101=Henkilöautot_fx!$J$18,Henkilöautot_fx!$R$21,IF(E101=Henkilöautot_fx!$J$19,IF(B101=Henkilöautot_fx!$Q$22,Henkilöautot_fx!$R$22,IF(B101=Henkilöautot_fx!$Q$23,Henkilöautot_fx!$R$23,IF(B101=Henkilöautot_fx!$Q$24,Henkilöautot_fx!$R$24,0))),0))))</f>
        <v>0</v>
      </c>
      <c r="H101">
        <f>IF(E101=Henkilöautot_fx!$J$20,IF(B101=Henkilöautot_fx!$Q$25,Henkilöautot_fx!$R$25,IF(B101=Henkilöautot_fx!$Q$26,Henkilöautot_fx!$R$26,IF(B101=Henkilöautot_fx!$Q$27,Henkilöautot_fx!$R$27,IF(B101=Henkilöautot_fx!$Q$28,Henkilöautot_fx!$R$28,IF(B101=Henkilöautot_fx!$Q$29,Henkilöautot_fx!$R$29,0))))),IF(E101=Henkilöautot_fx!$J$21,Henkilöautot_fx!$R$30,IF(E101=Henkilöautot_fx!$J$22,IF(B101=Henkilöautot_fx!$Q$31,Henkilöautot_fx!$R$31,IF(B101=Henkilöautot_fx!$Q$32,Henkilöautot_fx!$R$32,IF(B101=Henkilöautot_fx!$Q$33,Henkilöautot_fx!$R$33,IF(B101=Henkilöautot_fx!$Q$34,Henkilöautot_fx!$R$34,0)))),0)))</f>
        <v>0</v>
      </c>
      <c r="I101">
        <f t="shared" si="1"/>
        <v>0</v>
      </c>
      <c r="L101">
        <f>Henkilöautot!H103</f>
        <v>0</v>
      </c>
      <c r="M101">
        <f>Henkilöautot!I103</f>
        <v>0</v>
      </c>
      <c r="N101">
        <f>Henkilöautot!J103</f>
        <v>0</v>
      </c>
      <c r="P101">
        <f>IF(L101=Henkilöautot_fx!$O$35,Henkilöautot_fx!$R$35,IF(L101=Henkilöautot_fx!$O$36,Henkilöautot_fx!$R$36,IF(L101=Henkilöautot_fx!$O$37,Henkilöautot_fx!$R$37,IF(L101=Henkilöautot_fx!$O$38,Henkilöautot_fx!$R$38,IF(L101=Henkilöautot_fx!$O$39,Henkilöautot_fx!$R$39,IF(L101=Henkilöautot_fx!$O$40,Henkilöautot_fx!$R$40,IF(L101=Henkilöautot_fx!$N$41,Henkilöautot_fx!$R$41,0)))))))</f>
        <v>0</v>
      </c>
      <c r="Q101">
        <f t="shared" si="2"/>
        <v>0</v>
      </c>
    </row>
    <row r="102" spans="1:17" x14ac:dyDescent="0.25">
      <c r="A102">
        <f>Henkilöautot!A104</f>
        <v>0</v>
      </c>
      <c r="B102">
        <f>Henkilöautot!B104</f>
        <v>0</v>
      </c>
      <c r="C102">
        <f>Henkilöautot!C104</f>
        <v>0</v>
      </c>
      <c r="D102">
        <f>Henkilöautot!D104</f>
        <v>0</v>
      </c>
      <c r="E102">
        <f>Henkilöautot!E104</f>
        <v>0</v>
      </c>
      <c r="G102">
        <f>IF(E102=Henkilöautot_fx!$J$16,IF(B102=Henkilöautot_fx!$Q$7,Henkilöautot_fx!$R$7,IF(B102=Henkilöautot_fx!$Q$8,Henkilöautot_fx!$R$8,IF(B102=Henkilöautot_fx!$Q$9,Henkilöautot_fx!$R$9,IF(B102=Henkilöautot_fx!$Q$10,Henkilöautot_fx!$R$10,IF(B102=Henkilöautot_fx!$Q$11,Henkilöautot_fx!$R$11,IF(B102=Henkilöautot_fx!$Q$12,Henkilöautot_fx!$R$12,IF(B102=Henkilöautot_fx!$Q$13,Henkilöautot_fx!$R$13,0))))))),IF(E102=Henkilöautot_fx!$J$17,IF(B102=Henkilöautot_fx!$Q$14,Henkilöautot_fx!$R$14,IF(B102=Henkilöautot_fx!$Q$15,Henkilöautot_fx!$R$15,IF(B102=Henkilöautot_fx!$Q$16,Henkilöautot_fx!$R$16,IF(B102=Henkilöautot_fx!$Q$17,Henkilöautot_fx!$R$17,IF(B102=Henkilöautot_fx!$Q$18,Henkilöautot_fx!$R$18,IF(B102=Henkilöautot_fx!$Q$19,Henkilöautot_fx!$R$19,IF(B102=Henkilöautot_fx!$Q$20,Henkilöautot_fx!$R$20,0))))))),IF(E102=Henkilöautot_fx!$J$18,Henkilöautot_fx!$R$21,IF(E102=Henkilöautot_fx!$J$19,IF(B102=Henkilöautot_fx!$Q$22,Henkilöautot_fx!$R$22,IF(B102=Henkilöautot_fx!$Q$23,Henkilöautot_fx!$R$23,IF(B102=Henkilöautot_fx!$Q$24,Henkilöautot_fx!$R$24,0))),0))))</f>
        <v>0</v>
      </c>
      <c r="H102">
        <f>IF(E102=Henkilöautot_fx!$J$20,IF(B102=Henkilöautot_fx!$Q$25,Henkilöautot_fx!$R$25,IF(B102=Henkilöautot_fx!$Q$26,Henkilöautot_fx!$R$26,IF(B102=Henkilöautot_fx!$Q$27,Henkilöautot_fx!$R$27,IF(B102=Henkilöautot_fx!$Q$28,Henkilöautot_fx!$R$28,IF(B102=Henkilöautot_fx!$Q$29,Henkilöautot_fx!$R$29,0))))),IF(E102=Henkilöautot_fx!$J$21,Henkilöautot_fx!$R$30,IF(E102=Henkilöautot_fx!$J$22,IF(B102=Henkilöautot_fx!$Q$31,Henkilöautot_fx!$R$31,IF(B102=Henkilöautot_fx!$Q$32,Henkilöautot_fx!$R$32,IF(B102=Henkilöautot_fx!$Q$33,Henkilöautot_fx!$R$33,IF(B102=Henkilöautot_fx!$Q$34,Henkilöautot_fx!$R$34,0)))),0)))</f>
        <v>0</v>
      </c>
      <c r="I102">
        <f t="shared" si="1"/>
        <v>0</v>
      </c>
      <c r="L102">
        <f>Henkilöautot!H104</f>
        <v>0</v>
      </c>
      <c r="M102">
        <f>Henkilöautot!I104</f>
        <v>0</v>
      </c>
      <c r="N102">
        <f>Henkilöautot!J104</f>
        <v>0</v>
      </c>
      <c r="P102">
        <f>IF(L102=Henkilöautot_fx!$O$35,Henkilöautot_fx!$R$35,IF(L102=Henkilöautot_fx!$O$36,Henkilöautot_fx!$R$36,IF(L102=Henkilöautot_fx!$O$37,Henkilöautot_fx!$R$37,IF(L102=Henkilöautot_fx!$O$38,Henkilöautot_fx!$R$38,IF(L102=Henkilöautot_fx!$O$39,Henkilöautot_fx!$R$39,IF(L102=Henkilöautot_fx!$O$40,Henkilöautot_fx!$R$40,IF(L102=Henkilöautot_fx!$N$41,Henkilöautot_fx!$R$41,0)))))))</f>
        <v>0</v>
      </c>
      <c r="Q102">
        <f t="shared" si="2"/>
        <v>0</v>
      </c>
    </row>
  </sheetData>
  <pageMargins left="0.7" right="0.7" top="0.75" bottom="0.75" header="0.3" footer="0.3"/>
  <drawing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E7943-3E9A-4FD7-9434-73B6F292F3CC}">
  <sheetPr>
    <tabColor theme="9" tint="0.39997558519241921"/>
  </sheetPr>
  <dimension ref="A1:T104"/>
  <sheetViews>
    <sheetView showGridLines="0" showRowColHeaders="0" workbookViewId="0">
      <pane ySplit="3" topLeftCell="A4" activePane="bottomLeft" state="frozen"/>
      <selection pane="bottomLeft" activeCell="E22" sqref="E22"/>
    </sheetView>
  </sheetViews>
  <sheetFormatPr defaultRowHeight="15" x14ac:dyDescent="0.25"/>
  <cols>
    <col min="1" max="1" width="36.140625" customWidth="1"/>
    <col min="2" max="2" width="29.28515625" customWidth="1"/>
    <col min="3" max="6" width="24.85546875" customWidth="1"/>
    <col min="7" max="7" width="19" customWidth="1"/>
    <col min="8" max="8" width="29.140625" customWidth="1"/>
    <col min="9" max="9" width="27.5703125" customWidth="1"/>
    <col min="10" max="10" width="20.85546875" customWidth="1"/>
    <col min="11" max="14" width="19" customWidth="1"/>
  </cols>
  <sheetData>
    <row r="1" spans="1:20" s="148" customFormat="1" ht="129" customHeight="1" x14ac:dyDescent="0.25"/>
    <row r="2" spans="1:20" s="78" customFormat="1" ht="35.25" customHeight="1" x14ac:dyDescent="0.4">
      <c r="A2" s="78" t="s">
        <v>802</v>
      </c>
      <c r="D2" s="79"/>
      <c r="G2" s="136"/>
      <c r="O2" s="81"/>
      <c r="P2" s="81"/>
      <c r="Q2" s="81"/>
      <c r="R2" s="81"/>
      <c r="S2" s="81"/>
      <c r="T2" s="81"/>
    </row>
    <row r="3" spans="1:20" s="200" customFormat="1" ht="27" customHeight="1" x14ac:dyDescent="0.3">
      <c r="A3" s="200" t="s">
        <v>559</v>
      </c>
      <c r="D3" s="200">
        <f>YHTEENVETO!D3</f>
        <v>2019</v>
      </c>
    </row>
    <row r="5" spans="1:20" x14ac:dyDescent="0.25">
      <c r="A5" s="5" t="s">
        <v>912</v>
      </c>
      <c r="B5" s="5"/>
      <c r="C5" s="5"/>
      <c r="D5" s="5"/>
      <c r="E5" s="5"/>
      <c r="F5" s="5"/>
      <c r="G5" s="5"/>
      <c r="H5" s="5"/>
    </row>
    <row r="6" spans="1:20" x14ac:dyDescent="0.25">
      <c r="A6" s="5" t="s">
        <v>823</v>
      </c>
      <c r="B6" s="5"/>
      <c r="C6" s="5"/>
      <c r="D6" s="5"/>
      <c r="E6" s="5"/>
      <c r="F6" s="5"/>
      <c r="G6" s="5"/>
      <c r="H6" s="5"/>
    </row>
    <row r="7" spans="1:20" x14ac:dyDescent="0.25">
      <c r="A7" s="5" t="s">
        <v>877</v>
      </c>
      <c r="B7" s="5"/>
      <c r="C7" s="5"/>
      <c r="D7" s="5"/>
      <c r="E7" s="5"/>
      <c r="F7" s="5"/>
      <c r="G7" s="5"/>
      <c r="H7" s="5"/>
    </row>
    <row r="10" spans="1:20" ht="15.75" x14ac:dyDescent="0.25">
      <c r="A10" s="238" t="s">
        <v>805</v>
      </c>
      <c r="B10" s="216"/>
      <c r="C10" s="216"/>
      <c r="D10" s="216"/>
      <c r="E10" s="216"/>
    </row>
    <row r="11" spans="1:20" x14ac:dyDescent="0.25">
      <c r="A11" s="251" t="s">
        <v>913</v>
      </c>
      <c r="B11" s="236"/>
    </row>
    <row r="12" spans="1:20" ht="24" x14ac:dyDescent="0.25">
      <c r="A12" s="217" t="s">
        <v>806</v>
      </c>
      <c r="B12" s="217" t="s">
        <v>566</v>
      </c>
      <c r="C12" s="217" t="s">
        <v>914</v>
      </c>
      <c r="D12" s="217" t="s">
        <v>425</v>
      </c>
      <c r="F12" s="217"/>
    </row>
    <row r="13" spans="1:20" x14ac:dyDescent="0.25">
      <c r="A13" s="20"/>
      <c r="B13" s="20"/>
      <c r="C13" s="20"/>
      <c r="D13" s="20"/>
    </row>
    <row r="14" spans="1:20" x14ac:dyDescent="0.25">
      <c r="A14" s="20"/>
      <c r="B14" s="20"/>
      <c r="C14" s="20"/>
      <c r="D14" s="20"/>
    </row>
    <row r="15" spans="1:20" x14ac:dyDescent="0.25">
      <c r="A15" s="20"/>
      <c r="B15" s="20"/>
      <c r="C15" s="20"/>
      <c r="D15" s="20"/>
    </row>
    <row r="16" spans="1:20" x14ac:dyDescent="0.25">
      <c r="A16" s="20"/>
      <c r="B16" s="20"/>
      <c r="C16" s="20"/>
      <c r="D16" s="20"/>
    </row>
    <row r="17" spans="1:4" x14ac:dyDescent="0.25">
      <c r="A17" s="20"/>
      <c r="B17" s="20"/>
      <c r="C17" s="20"/>
      <c r="D17" s="20"/>
    </row>
    <row r="18" spans="1:4" x14ac:dyDescent="0.25">
      <c r="A18" s="20"/>
      <c r="B18" s="20"/>
      <c r="C18" s="20"/>
      <c r="D18" s="20"/>
    </row>
    <row r="19" spans="1:4" x14ac:dyDescent="0.25">
      <c r="A19" s="20"/>
      <c r="B19" s="393"/>
      <c r="C19" s="20"/>
      <c r="D19" s="20"/>
    </row>
    <row r="20" spans="1:4" x14ac:dyDescent="0.25">
      <c r="A20" s="20"/>
      <c r="B20" s="20"/>
      <c r="C20" s="20"/>
      <c r="D20" s="20"/>
    </row>
    <row r="21" spans="1:4" x14ac:dyDescent="0.25">
      <c r="A21" s="20"/>
      <c r="B21" s="20"/>
      <c r="C21" s="20"/>
      <c r="D21" s="20"/>
    </row>
    <row r="22" spans="1:4" x14ac:dyDescent="0.25">
      <c r="A22" s="20"/>
      <c r="B22" s="20"/>
      <c r="C22" s="20"/>
      <c r="D22" s="20"/>
    </row>
    <row r="24" spans="1:4" x14ac:dyDescent="0.25">
      <c r="A24" s="251" t="s">
        <v>603</v>
      </c>
      <c r="B24" s="236"/>
    </row>
    <row r="25" spans="1:4" ht="24" x14ac:dyDescent="0.25">
      <c r="A25" s="217" t="s">
        <v>806</v>
      </c>
      <c r="B25" s="217" t="s">
        <v>425</v>
      </c>
      <c r="C25" s="217" t="s">
        <v>810</v>
      </c>
      <c r="D25" s="217" t="s">
        <v>811</v>
      </c>
    </row>
    <row r="26" spans="1:4" x14ac:dyDescent="0.25">
      <c r="A26" s="20"/>
      <c r="B26" s="20"/>
      <c r="C26" s="20"/>
      <c r="D26" s="20"/>
    </row>
    <row r="27" spans="1:4" x14ac:dyDescent="0.25">
      <c r="A27" s="20"/>
      <c r="B27" s="20"/>
      <c r="C27" s="20"/>
      <c r="D27" s="20"/>
    </row>
    <row r="28" spans="1:4" x14ac:dyDescent="0.25">
      <c r="A28" s="20"/>
      <c r="B28" s="20"/>
      <c r="C28" s="20"/>
      <c r="D28" s="20"/>
    </row>
    <row r="29" spans="1:4" x14ac:dyDescent="0.25">
      <c r="A29" s="20"/>
      <c r="B29" s="20"/>
      <c r="C29" s="20"/>
      <c r="D29" s="20"/>
    </row>
    <row r="30" spans="1:4" x14ac:dyDescent="0.25">
      <c r="A30" s="20"/>
      <c r="B30" s="20"/>
      <c r="C30" s="20"/>
      <c r="D30" s="20"/>
    </row>
    <row r="31" spans="1:4" x14ac:dyDescent="0.25">
      <c r="A31" s="20"/>
      <c r="B31" s="20"/>
      <c r="C31" s="20"/>
      <c r="D31" s="20"/>
    </row>
    <row r="32" spans="1:4" x14ac:dyDescent="0.25">
      <c r="A32" s="20"/>
      <c r="B32" s="20"/>
      <c r="C32" s="20"/>
      <c r="D32" s="20"/>
    </row>
    <row r="33" spans="1:12" x14ac:dyDescent="0.25">
      <c r="A33" s="20"/>
      <c r="B33" s="20"/>
      <c r="C33" s="20"/>
      <c r="D33" s="20"/>
    </row>
    <row r="34" spans="1:12" x14ac:dyDescent="0.25">
      <c r="A34" s="20"/>
      <c r="B34" s="20"/>
      <c r="C34" s="20"/>
      <c r="D34" s="20"/>
    </row>
    <row r="35" spans="1:12" x14ac:dyDescent="0.25">
      <c r="A35" s="20"/>
      <c r="B35" s="20"/>
      <c r="C35" s="20"/>
      <c r="D35" s="20"/>
    </row>
    <row r="38" spans="1:12" x14ac:dyDescent="0.25">
      <c r="A38" s="5" t="s">
        <v>824</v>
      </c>
      <c r="B38" s="5"/>
      <c r="C38" s="5"/>
      <c r="D38" s="5"/>
      <c r="E38" s="5"/>
      <c r="F38" s="5"/>
    </row>
    <row r="39" spans="1:12" x14ac:dyDescent="0.25">
      <c r="A39" s="5" t="s">
        <v>878</v>
      </c>
      <c r="B39" s="5"/>
      <c r="C39" s="5"/>
      <c r="D39" s="5"/>
      <c r="E39" s="5"/>
      <c r="F39" s="5"/>
    </row>
    <row r="40" spans="1:12" x14ac:dyDescent="0.25">
      <c r="A40" s="5" t="s">
        <v>825</v>
      </c>
      <c r="B40" s="5"/>
      <c r="C40" s="5"/>
      <c r="D40" s="5"/>
      <c r="E40" s="5"/>
      <c r="F40" s="5"/>
    </row>
    <row r="42" spans="1:12" ht="15.75" x14ac:dyDescent="0.25">
      <c r="A42" s="238" t="s">
        <v>815</v>
      </c>
      <c r="B42" s="216"/>
      <c r="C42" s="216"/>
      <c r="D42" s="216"/>
      <c r="E42" s="216"/>
    </row>
    <row r="43" spans="1:12" x14ac:dyDescent="0.25">
      <c r="A43" s="251" t="s">
        <v>915</v>
      </c>
      <c r="B43" s="236"/>
      <c r="H43" s="251" t="s">
        <v>916</v>
      </c>
      <c r="I43" s="236"/>
      <c r="J43" s="229"/>
    </row>
    <row r="44" spans="1:12" ht="36" x14ac:dyDescent="0.25">
      <c r="A44" s="217" t="s">
        <v>816</v>
      </c>
      <c r="B44" s="217" t="s">
        <v>566</v>
      </c>
      <c r="C44" s="217" t="s">
        <v>879</v>
      </c>
      <c r="D44" s="217" t="s">
        <v>818</v>
      </c>
      <c r="E44" s="217" t="s">
        <v>425</v>
      </c>
      <c r="H44" s="217" t="s">
        <v>751</v>
      </c>
      <c r="I44" s="217" t="s">
        <v>879</v>
      </c>
      <c r="J44" s="217" t="s">
        <v>818</v>
      </c>
      <c r="L44" s="217"/>
    </row>
    <row r="45" spans="1:12" x14ac:dyDescent="0.25">
      <c r="A45" s="252"/>
      <c r="B45" s="20"/>
      <c r="C45" s="20"/>
      <c r="D45" s="20"/>
      <c r="E45" s="20"/>
      <c r="H45" s="20"/>
      <c r="I45" s="20"/>
      <c r="J45" s="20"/>
    </row>
    <row r="46" spans="1:12" x14ac:dyDescent="0.25">
      <c r="A46" s="20"/>
      <c r="B46" s="20"/>
      <c r="C46" s="20"/>
      <c r="D46" s="20"/>
      <c r="E46" s="20"/>
      <c r="H46" s="20"/>
      <c r="I46" s="20"/>
      <c r="J46" s="20"/>
    </row>
    <row r="47" spans="1:12" x14ac:dyDescent="0.25">
      <c r="A47" s="20"/>
      <c r="B47" s="20"/>
      <c r="C47" s="20"/>
      <c r="D47" s="20"/>
      <c r="E47" s="20"/>
      <c r="H47" s="20"/>
      <c r="I47" s="20"/>
      <c r="J47" s="20"/>
    </row>
    <row r="48" spans="1:12" x14ac:dyDescent="0.25">
      <c r="A48" s="20"/>
      <c r="B48" s="20"/>
      <c r="C48" s="20"/>
      <c r="D48" s="20"/>
      <c r="E48" s="20"/>
      <c r="H48" s="20"/>
      <c r="I48" s="20"/>
      <c r="J48" s="20"/>
    </row>
    <row r="49" spans="1:10" x14ac:dyDescent="0.25">
      <c r="A49" s="20"/>
      <c r="B49" s="20"/>
      <c r="C49" s="20"/>
      <c r="D49" s="20"/>
      <c r="E49" s="20"/>
      <c r="H49" s="20"/>
      <c r="I49" s="20"/>
      <c r="J49" s="20"/>
    </row>
    <row r="50" spans="1:10" x14ac:dyDescent="0.25">
      <c r="A50" s="20"/>
      <c r="B50" s="20"/>
      <c r="C50" s="20"/>
      <c r="D50" s="20"/>
      <c r="E50" s="20"/>
      <c r="H50" s="20"/>
      <c r="I50" s="20"/>
      <c r="J50" s="20"/>
    </row>
    <row r="51" spans="1:10" x14ac:dyDescent="0.25">
      <c r="A51" s="20"/>
      <c r="B51" s="20"/>
      <c r="C51" s="20"/>
      <c r="D51" s="20"/>
      <c r="E51" s="20"/>
      <c r="H51" s="20"/>
      <c r="I51" s="20"/>
      <c r="J51" s="20"/>
    </row>
    <row r="52" spans="1:10" x14ac:dyDescent="0.25">
      <c r="A52" s="20"/>
      <c r="B52" s="20"/>
      <c r="C52" s="20"/>
      <c r="D52" s="20"/>
      <c r="E52" s="20"/>
      <c r="H52" s="20"/>
      <c r="I52" s="20"/>
      <c r="J52" s="20"/>
    </row>
    <row r="53" spans="1:10" x14ac:dyDescent="0.25">
      <c r="A53" s="20"/>
      <c r="B53" s="20"/>
      <c r="C53" s="20"/>
      <c r="D53" s="20"/>
      <c r="E53" s="20"/>
      <c r="H53" s="20"/>
      <c r="I53" s="20"/>
      <c r="J53" s="20"/>
    </row>
    <row r="54" spans="1:10" x14ac:dyDescent="0.25">
      <c r="A54" s="20"/>
      <c r="B54" s="20"/>
      <c r="C54" s="20"/>
      <c r="D54" s="20"/>
      <c r="E54" s="20"/>
      <c r="H54" s="20"/>
      <c r="I54" s="20"/>
      <c r="J54" s="20"/>
    </row>
    <row r="55" spans="1:10" x14ac:dyDescent="0.25">
      <c r="A55" s="20"/>
      <c r="B55" s="20"/>
      <c r="C55" s="20"/>
      <c r="D55" s="20"/>
      <c r="E55" s="20"/>
      <c r="H55" s="20"/>
      <c r="I55" s="20"/>
      <c r="J55" s="20"/>
    </row>
    <row r="56" spans="1:10" x14ac:dyDescent="0.25">
      <c r="A56" s="20"/>
      <c r="B56" s="20"/>
      <c r="C56" s="20"/>
      <c r="D56" s="20"/>
      <c r="E56" s="20"/>
      <c r="H56" s="20"/>
      <c r="I56" s="20"/>
      <c r="J56" s="20"/>
    </row>
    <row r="57" spans="1:10" x14ac:dyDescent="0.25">
      <c r="A57" s="20"/>
      <c r="B57" s="20"/>
      <c r="C57" s="20"/>
      <c r="D57" s="20"/>
      <c r="E57" s="20"/>
      <c r="H57" s="20"/>
      <c r="I57" s="20"/>
      <c r="J57" s="20"/>
    </row>
    <row r="58" spans="1:10" x14ac:dyDescent="0.25">
      <c r="A58" s="20"/>
      <c r="B58" s="20"/>
      <c r="C58" s="20"/>
      <c r="D58" s="20"/>
      <c r="E58" s="20"/>
      <c r="H58" s="20"/>
      <c r="I58" s="20"/>
      <c r="J58" s="20"/>
    </row>
    <row r="59" spans="1:10" x14ac:dyDescent="0.25">
      <c r="A59" s="20"/>
      <c r="B59" s="20"/>
      <c r="C59" s="20"/>
      <c r="D59" s="20"/>
      <c r="E59" s="20"/>
      <c r="H59" s="20"/>
      <c r="I59" s="20"/>
      <c r="J59" s="20"/>
    </row>
    <row r="60" spans="1:10" x14ac:dyDescent="0.25">
      <c r="A60" s="20"/>
      <c r="B60" s="20"/>
      <c r="C60" s="20"/>
      <c r="D60" s="20"/>
      <c r="E60" s="20"/>
      <c r="H60" s="20"/>
      <c r="I60" s="20"/>
      <c r="J60" s="20"/>
    </row>
    <row r="61" spans="1:10" x14ac:dyDescent="0.25">
      <c r="A61" s="20"/>
      <c r="B61" s="20"/>
      <c r="C61" s="20"/>
      <c r="D61" s="20"/>
      <c r="E61" s="20"/>
      <c r="H61" s="20"/>
      <c r="I61" s="20"/>
      <c r="J61" s="20"/>
    </row>
    <row r="62" spans="1:10" x14ac:dyDescent="0.25">
      <c r="A62" s="20"/>
      <c r="B62" s="20"/>
      <c r="C62" s="20"/>
      <c r="D62" s="20"/>
      <c r="E62" s="20"/>
      <c r="H62" s="20"/>
      <c r="I62" s="20"/>
      <c r="J62" s="20"/>
    </row>
    <row r="63" spans="1:10" x14ac:dyDescent="0.25">
      <c r="A63" s="20"/>
      <c r="B63" s="20"/>
      <c r="C63" s="20"/>
      <c r="D63" s="20"/>
      <c r="E63" s="20"/>
      <c r="H63" s="20"/>
      <c r="I63" s="20"/>
      <c r="J63" s="20"/>
    </row>
    <row r="64" spans="1:10" x14ac:dyDescent="0.25">
      <c r="A64" s="20"/>
      <c r="B64" s="20"/>
      <c r="C64" s="20"/>
      <c r="D64" s="20"/>
      <c r="E64" s="20"/>
      <c r="H64" s="20"/>
      <c r="I64" s="20"/>
      <c r="J64" s="20"/>
    </row>
    <row r="65" spans="1:10" x14ac:dyDescent="0.25">
      <c r="A65" s="20"/>
      <c r="B65" s="20"/>
      <c r="C65" s="20"/>
      <c r="D65" s="20"/>
      <c r="E65" s="20"/>
      <c r="H65" s="20"/>
      <c r="I65" s="20"/>
      <c r="J65" s="20"/>
    </row>
    <row r="66" spans="1:10" x14ac:dyDescent="0.25">
      <c r="A66" s="20"/>
      <c r="B66" s="20"/>
      <c r="C66" s="20"/>
      <c r="D66" s="20"/>
      <c r="E66" s="20"/>
      <c r="H66" s="20"/>
      <c r="I66" s="20"/>
      <c r="J66" s="20"/>
    </row>
    <row r="67" spans="1:10" x14ac:dyDescent="0.25">
      <c r="A67" s="20"/>
      <c r="B67" s="20"/>
      <c r="C67" s="20"/>
      <c r="D67" s="20"/>
      <c r="E67" s="20"/>
      <c r="H67" s="20"/>
      <c r="I67" s="20"/>
      <c r="J67" s="20"/>
    </row>
    <row r="68" spans="1:10" x14ac:dyDescent="0.25">
      <c r="A68" s="20"/>
      <c r="B68" s="20"/>
      <c r="C68" s="20"/>
      <c r="D68" s="20"/>
      <c r="E68" s="20"/>
      <c r="H68" s="20"/>
      <c r="I68" s="20"/>
      <c r="J68" s="20"/>
    </row>
    <row r="69" spans="1:10" x14ac:dyDescent="0.25">
      <c r="A69" s="20"/>
      <c r="B69" s="20"/>
      <c r="C69" s="20"/>
      <c r="D69" s="20"/>
      <c r="E69" s="20"/>
      <c r="H69" s="20"/>
      <c r="I69" s="20"/>
      <c r="J69" s="20"/>
    </row>
    <row r="70" spans="1:10" x14ac:dyDescent="0.25">
      <c r="A70" s="20"/>
      <c r="B70" s="20"/>
      <c r="C70" s="20"/>
      <c r="D70" s="20"/>
      <c r="E70" s="20"/>
      <c r="H70" s="20"/>
      <c r="I70" s="20"/>
      <c r="J70" s="20"/>
    </row>
    <row r="71" spans="1:10" x14ac:dyDescent="0.25">
      <c r="A71" s="20"/>
      <c r="B71" s="20"/>
      <c r="C71" s="20"/>
      <c r="D71" s="20"/>
      <c r="E71" s="20"/>
      <c r="H71" s="20"/>
      <c r="I71" s="20"/>
      <c r="J71" s="20"/>
    </row>
    <row r="72" spans="1:10" x14ac:dyDescent="0.25">
      <c r="A72" s="20"/>
      <c r="B72" s="20"/>
      <c r="C72" s="20"/>
      <c r="D72" s="20"/>
      <c r="E72" s="20"/>
      <c r="H72" s="20"/>
      <c r="I72" s="20"/>
      <c r="J72" s="20"/>
    </row>
    <row r="73" spans="1:10" x14ac:dyDescent="0.25">
      <c r="A73" s="20"/>
      <c r="B73" s="20"/>
      <c r="C73" s="20"/>
      <c r="D73" s="20"/>
      <c r="E73" s="20"/>
      <c r="H73" s="20"/>
      <c r="I73" s="20"/>
      <c r="J73" s="20"/>
    </row>
    <row r="74" spans="1:10" x14ac:dyDescent="0.25">
      <c r="A74" s="20"/>
      <c r="B74" s="20"/>
      <c r="C74" s="20"/>
      <c r="D74" s="20"/>
      <c r="E74" s="20"/>
      <c r="H74" s="20"/>
      <c r="I74" s="20"/>
      <c r="J74" s="20"/>
    </row>
    <row r="75" spans="1:10" x14ac:dyDescent="0.25">
      <c r="A75" s="20"/>
      <c r="B75" s="20"/>
      <c r="C75" s="20"/>
      <c r="D75" s="20"/>
      <c r="E75" s="20"/>
      <c r="H75" s="20"/>
      <c r="I75" s="20"/>
      <c r="J75" s="20"/>
    </row>
    <row r="76" spans="1:10" x14ac:dyDescent="0.25">
      <c r="A76" s="20"/>
      <c r="B76" s="20"/>
      <c r="C76" s="20"/>
      <c r="D76" s="20"/>
      <c r="E76" s="20"/>
      <c r="H76" s="20"/>
      <c r="I76" s="20"/>
      <c r="J76" s="20"/>
    </row>
    <row r="77" spans="1:10" x14ac:dyDescent="0.25">
      <c r="A77" s="20"/>
      <c r="B77" s="20"/>
      <c r="C77" s="20"/>
      <c r="D77" s="20"/>
      <c r="E77" s="20"/>
      <c r="H77" s="20"/>
      <c r="I77" s="20"/>
      <c r="J77" s="20"/>
    </row>
    <row r="78" spans="1:10" x14ac:dyDescent="0.25">
      <c r="A78" s="20"/>
      <c r="B78" s="20"/>
      <c r="C78" s="20"/>
      <c r="D78" s="20"/>
      <c r="E78" s="20"/>
      <c r="H78" s="20"/>
      <c r="I78" s="20"/>
      <c r="J78" s="20"/>
    </row>
    <row r="79" spans="1:10" x14ac:dyDescent="0.25">
      <c r="A79" s="20"/>
      <c r="B79" s="20"/>
      <c r="C79" s="20"/>
      <c r="D79" s="20"/>
      <c r="E79" s="20"/>
      <c r="H79" s="20"/>
      <c r="I79" s="20"/>
      <c r="J79" s="20"/>
    </row>
    <row r="80" spans="1:10" x14ac:dyDescent="0.25">
      <c r="A80" s="20"/>
      <c r="B80" s="20"/>
      <c r="C80" s="20"/>
      <c r="D80" s="20"/>
      <c r="E80" s="20"/>
      <c r="H80" s="20"/>
      <c r="I80" s="20"/>
      <c r="J80" s="20"/>
    </row>
    <row r="81" spans="1:10" x14ac:dyDescent="0.25">
      <c r="A81" s="20"/>
      <c r="B81" s="20"/>
      <c r="C81" s="20"/>
      <c r="D81" s="20"/>
      <c r="E81" s="20"/>
      <c r="H81" s="20"/>
      <c r="I81" s="20"/>
      <c r="J81" s="20"/>
    </row>
    <row r="82" spans="1:10" x14ac:dyDescent="0.25">
      <c r="A82" s="20"/>
      <c r="B82" s="20"/>
      <c r="C82" s="20"/>
      <c r="D82" s="20"/>
      <c r="E82" s="20"/>
      <c r="H82" s="20"/>
      <c r="I82" s="20"/>
      <c r="J82" s="20"/>
    </row>
    <row r="83" spans="1:10" x14ac:dyDescent="0.25">
      <c r="A83" s="20"/>
      <c r="B83" s="20"/>
      <c r="C83" s="20"/>
      <c r="D83" s="20"/>
      <c r="E83" s="20"/>
      <c r="H83" s="20"/>
      <c r="I83" s="20"/>
      <c r="J83" s="20"/>
    </row>
    <row r="84" spans="1:10" x14ac:dyDescent="0.25">
      <c r="A84" s="20"/>
      <c r="B84" s="20"/>
      <c r="C84" s="20"/>
      <c r="D84" s="20"/>
      <c r="E84" s="20"/>
      <c r="H84" s="20"/>
      <c r="I84" s="20"/>
      <c r="J84" s="20"/>
    </row>
    <row r="85" spans="1:10" x14ac:dyDescent="0.25">
      <c r="A85" s="20"/>
      <c r="B85" s="20"/>
      <c r="C85" s="20"/>
      <c r="D85" s="20"/>
      <c r="E85" s="20"/>
      <c r="H85" s="20"/>
      <c r="I85" s="20"/>
      <c r="J85" s="20"/>
    </row>
    <row r="86" spans="1:10" x14ac:dyDescent="0.25">
      <c r="A86" s="20"/>
      <c r="B86" s="20"/>
      <c r="C86" s="20"/>
      <c r="D86" s="20"/>
      <c r="E86" s="20"/>
      <c r="H86" s="20"/>
      <c r="I86" s="20"/>
      <c r="J86" s="20"/>
    </row>
    <row r="87" spans="1:10" x14ac:dyDescent="0.25">
      <c r="A87" s="20"/>
      <c r="B87" s="20"/>
      <c r="C87" s="20"/>
      <c r="D87" s="20"/>
      <c r="E87" s="20"/>
      <c r="H87" s="20"/>
      <c r="I87" s="20"/>
      <c r="J87" s="20"/>
    </row>
    <row r="88" spans="1:10" x14ac:dyDescent="0.25">
      <c r="A88" s="20"/>
      <c r="B88" s="20"/>
      <c r="C88" s="20"/>
      <c r="D88" s="20"/>
      <c r="E88" s="20"/>
      <c r="H88" s="20"/>
      <c r="I88" s="20"/>
      <c r="J88" s="20"/>
    </row>
    <row r="89" spans="1:10" x14ac:dyDescent="0.25">
      <c r="A89" s="20"/>
      <c r="B89" s="20"/>
      <c r="C89" s="20"/>
      <c r="D89" s="20"/>
      <c r="E89" s="20"/>
      <c r="H89" s="20"/>
      <c r="I89" s="20"/>
      <c r="J89" s="20"/>
    </row>
    <row r="90" spans="1:10" x14ac:dyDescent="0.25">
      <c r="A90" s="20"/>
      <c r="B90" s="20"/>
      <c r="C90" s="20"/>
      <c r="D90" s="20"/>
      <c r="E90" s="20"/>
      <c r="H90" s="20"/>
      <c r="I90" s="20"/>
      <c r="J90" s="20"/>
    </row>
    <row r="91" spans="1:10" x14ac:dyDescent="0.25">
      <c r="A91" s="20"/>
      <c r="B91" s="20"/>
      <c r="C91" s="20"/>
      <c r="D91" s="20"/>
      <c r="E91" s="20"/>
      <c r="H91" s="20"/>
      <c r="I91" s="20"/>
      <c r="J91" s="20"/>
    </row>
    <row r="92" spans="1:10" x14ac:dyDescent="0.25">
      <c r="A92" s="20"/>
      <c r="B92" s="20"/>
      <c r="C92" s="20"/>
      <c r="D92" s="20"/>
      <c r="E92" s="20"/>
      <c r="H92" s="20"/>
      <c r="I92" s="20"/>
      <c r="J92" s="20"/>
    </row>
    <row r="93" spans="1:10" x14ac:dyDescent="0.25">
      <c r="A93" s="20"/>
      <c r="B93" s="20"/>
      <c r="C93" s="20"/>
      <c r="D93" s="20"/>
      <c r="E93" s="20"/>
      <c r="H93" s="20"/>
      <c r="I93" s="20"/>
      <c r="J93" s="20"/>
    </row>
    <row r="94" spans="1:10" x14ac:dyDescent="0.25">
      <c r="A94" s="20"/>
      <c r="B94" s="20"/>
      <c r="C94" s="20"/>
      <c r="D94" s="20"/>
      <c r="E94" s="20"/>
      <c r="H94" s="20"/>
      <c r="I94" s="20"/>
      <c r="J94" s="20"/>
    </row>
    <row r="95" spans="1:10" x14ac:dyDescent="0.25">
      <c r="A95" s="20"/>
      <c r="B95" s="20"/>
      <c r="C95" s="20"/>
      <c r="D95" s="20"/>
      <c r="E95" s="20"/>
      <c r="H95" s="20"/>
      <c r="I95" s="20"/>
      <c r="J95" s="20"/>
    </row>
    <row r="96" spans="1:10" x14ac:dyDescent="0.25">
      <c r="A96" s="20"/>
      <c r="B96" s="20"/>
      <c r="C96" s="20"/>
      <c r="D96" s="20"/>
      <c r="E96" s="20"/>
      <c r="H96" s="20"/>
      <c r="I96" s="20"/>
      <c r="J96" s="20"/>
    </row>
    <row r="97" spans="1:10" x14ac:dyDescent="0.25">
      <c r="A97" s="20"/>
      <c r="B97" s="20"/>
      <c r="C97" s="20"/>
      <c r="D97" s="20"/>
      <c r="E97" s="20"/>
      <c r="H97" s="20"/>
      <c r="I97" s="20"/>
      <c r="J97" s="20"/>
    </row>
    <row r="98" spans="1:10" x14ac:dyDescent="0.25">
      <c r="A98" s="20"/>
      <c r="B98" s="20"/>
      <c r="C98" s="20"/>
      <c r="D98" s="20"/>
      <c r="E98" s="20"/>
      <c r="H98" s="20"/>
      <c r="I98" s="20"/>
      <c r="J98" s="20"/>
    </row>
    <row r="99" spans="1:10" x14ac:dyDescent="0.25">
      <c r="A99" s="20"/>
      <c r="B99" s="20"/>
      <c r="C99" s="20"/>
      <c r="D99" s="20"/>
      <c r="E99" s="20"/>
      <c r="H99" s="20"/>
      <c r="I99" s="20"/>
      <c r="J99" s="20"/>
    </row>
    <row r="100" spans="1:10" x14ac:dyDescent="0.25">
      <c r="A100" s="20"/>
      <c r="B100" s="20"/>
      <c r="C100" s="20"/>
      <c r="D100" s="20"/>
      <c r="E100" s="20"/>
      <c r="H100" s="20"/>
      <c r="I100" s="20"/>
      <c r="J100" s="20"/>
    </row>
    <row r="101" spans="1:10" x14ac:dyDescent="0.25">
      <c r="A101" s="20"/>
      <c r="B101" s="20"/>
      <c r="C101" s="20"/>
      <c r="D101" s="20"/>
      <c r="E101" s="20"/>
      <c r="H101" s="20"/>
      <c r="I101" s="20"/>
      <c r="J101" s="20"/>
    </row>
    <row r="102" spans="1:10" x14ac:dyDescent="0.25">
      <c r="A102" s="20"/>
      <c r="B102" s="20"/>
      <c r="C102" s="20"/>
      <c r="D102" s="20"/>
      <c r="E102" s="20"/>
      <c r="H102" s="20"/>
      <c r="I102" s="20"/>
      <c r="J102" s="20"/>
    </row>
    <row r="103" spans="1:10" x14ac:dyDescent="0.25">
      <c r="A103" s="20"/>
      <c r="B103" s="20"/>
      <c r="C103" s="20"/>
      <c r="D103" s="20"/>
      <c r="E103" s="20"/>
      <c r="H103" s="20"/>
      <c r="I103" s="20"/>
      <c r="J103" s="20"/>
    </row>
    <row r="104" spans="1:10" x14ac:dyDescent="0.25">
      <c r="A104" s="20"/>
      <c r="B104" s="20"/>
      <c r="C104" s="20"/>
      <c r="D104" s="20"/>
      <c r="E104" s="20"/>
      <c r="H104" s="20"/>
      <c r="I104" s="20"/>
      <c r="J104" s="20"/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212B5D3-D9B5-4284-BE04-0AF2227663EE}">
          <x14:formula1>
            <xm:f>Henkilöautot_fx!$Q$7:$Q$13</xm:f>
          </x14:formula1>
          <xm:sqref>B13:B22 B45:B104</xm:sqref>
        </x14:dataValidation>
        <x14:dataValidation type="list" allowBlank="1" showInputMessage="1" showErrorMessage="1" xr:uid="{1AF34F2B-354E-493B-8A2F-AFB370215BC1}">
          <x14:formula1>
            <xm:f>Henkilöautot_fx!$O$35:$O$41</xm:f>
          </x14:formula1>
          <xm:sqref>H45:H104</xm:sqref>
        </x14:dataValidation>
        <x14:dataValidation type="list" allowBlank="1" showInputMessage="1" showErrorMessage="1" xr:uid="{FF862B72-9BEB-43CB-8DAA-4C327599322B}">
          <x14:formula1>
            <xm:f>Henkilöautot_fx!$E$18:$E$23</xm:f>
          </x14:formula1>
          <xm:sqref>B26:B39</xm:sqref>
        </x14:dataValidation>
        <x14:dataValidation type="list" allowBlank="1" showInputMessage="1" showErrorMessage="1" xr:uid="{4E719A0B-3D42-4ED1-A372-1284E9E2F30E}">
          <x14:formula1>
            <xm:f>Henkilöautot_fx!$J$16:$J$22</xm:f>
          </x14:formula1>
          <xm:sqref>D13:D22 E45:E104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BAA77-67CC-4EE9-B8D6-D124E9D71206}">
  <sheetPr codeName="Sheet5">
    <tabColor rgb="FFFF6699"/>
  </sheetPr>
  <dimension ref="A1:T33"/>
  <sheetViews>
    <sheetView workbookViewId="0">
      <pane ySplit="2" topLeftCell="A3" activePane="bottomLeft" state="frozen"/>
      <selection activeCell="F13" sqref="F13"/>
      <selection pane="bottomLeft" activeCell="F13" sqref="F13"/>
    </sheetView>
  </sheetViews>
  <sheetFormatPr defaultRowHeight="15" x14ac:dyDescent="0.25"/>
  <cols>
    <col min="1" max="1" width="26.28515625" customWidth="1"/>
    <col min="2" max="13" width="21.140625" customWidth="1"/>
  </cols>
  <sheetData>
    <row r="1" spans="1:20" s="148" customFormat="1" ht="129" customHeight="1" x14ac:dyDescent="0.25"/>
    <row r="2" spans="1:20" s="193" customFormat="1" ht="35.25" customHeight="1" x14ac:dyDescent="0.4">
      <c r="A2" s="193" t="s">
        <v>869</v>
      </c>
      <c r="B2" s="194"/>
      <c r="D2" s="194"/>
      <c r="F2" s="195"/>
      <c r="J2" s="194"/>
      <c r="K2" s="194"/>
      <c r="L2" s="194"/>
      <c r="M2" s="194"/>
      <c r="O2" s="194"/>
      <c r="P2" s="194"/>
      <c r="Q2" s="194"/>
      <c r="R2" s="194"/>
      <c r="S2" s="194"/>
      <c r="T2" s="194"/>
    </row>
    <row r="3" spans="1:20" ht="15.75" thickBot="1" x14ac:dyDescent="0.3"/>
    <row r="4" spans="1:20" ht="15.75" x14ac:dyDescent="0.25">
      <c r="A4" s="47" t="s">
        <v>826</v>
      </c>
      <c r="E4" s="7" t="s">
        <v>104</v>
      </c>
      <c r="F4" s="8" t="s">
        <v>105</v>
      </c>
      <c r="G4" s="8" t="s">
        <v>106</v>
      </c>
      <c r="H4" s="9" t="s">
        <v>107</v>
      </c>
    </row>
    <row r="5" spans="1:20" ht="15.75" thickBot="1" x14ac:dyDescent="0.3">
      <c r="E5" s="10"/>
      <c r="F5" s="11">
        <v>1</v>
      </c>
      <c r="G5" s="11">
        <v>25</v>
      </c>
      <c r="H5" s="12">
        <v>298</v>
      </c>
    </row>
    <row r="6" spans="1:20" x14ac:dyDescent="0.25">
      <c r="A6" s="42" t="s">
        <v>827</v>
      </c>
    </row>
    <row r="7" spans="1:20" x14ac:dyDescent="0.25">
      <c r="A7" t="s">
        <v>828</v>
      </c>
    </row>
    <row r="8" spans="1:20" x14ac:dyDescent="0.25">
      <c r="A8" t="s">
        <v>829</v>
      </c>
    </row>
    <row r="9" spans="1:20" x14ac:dyDescent="0.25">
      <c r="A9" t="s">
        <v>830</v>
      </c>
    </row>
    <row r="10" spans="1:20" x14ac:dyDescent="0.25">
      <c r="A10" t="s">
        <v>831</v>
      </c>
    </row>
    <row r="11" spans="1:20" x14ac:dyDescent="0.25">
      <c r="A11" t="s">
        <v>832</v>
      </c>
    </row>
    <row r="13" spans="1:20" ht="15.75" thickBot="1" x14ac:dyDescent="0.3"/>
    <row r="14" spans="1:20" ht="15.75" x14ac:dyDescent="0.25">
      <c r="A14" s="189" t="s">
        <v>833</v>
      </c>
      <c r="B14" s="196"/>
      <c r="C14" s="196"/>
      <c r="D14" s="23"/>
      <c r="E14" s="23"/>
      <c r="F14" s="24"/>
      <c r="G14" s="341"/>
    </row>
    <row r="15" spans="1:20" x14ac:dyDescent="0.25">
      <c r="A15" s="190" t="s">
        <v>390</v>
      </c>
      <c r="B15" s="188" t="s">
        <v>834</v>
      </c>
      <c r="C15" s="415" t="s">
        <v>835</v>
      </c>
      <c r="D15" s="415"/>
      <c r="E15" s="415" t="s">
        <v>836</v>
      </c>
      <c r="F15" s="416"/>
      <c r="G15" s="362" t="s">
        <v>170</v>
      </c>
    </row>
    <row r="16" spans="1:20" x14ac:dyDescent="0.25">
      <c r="A16" s="64"/>
      <c r="B16" s="19" t="s">
        <v>837</v>
      </c>
      <c r="C16" s="19" t="s">
        <v>838</v>
      </c>
      <c r="D16" s="19" t="s">
        <v>837</v>
      </c>
      <c r="E16" s="19" t="s">
        <v>839</v>
      </c>
      <c r="F16" s="191" t="s">
        <v>837</v>
      </c>
      <c r="G16" s="363" t="s">
        <v>837</v>
      </c>
    </row>
    <row r="17" spans="1:7" x14ac:dyDescent="0.25">
      <c r="A17" s="29" t="s">
        <v>840</v>
      </c>
      <c r="B17">
        <v>2.2717925999999997E-3</v>
      </c>
      <c r="C17">
        <v>1.6390999999999999E-6</v>
      </c>
      <c r="D17">
        <f>C17*$G$5</f>
        <v>4.0977499999999999E-5</v>
      </c>
      <c r="E17">
        <v>6.5564000000000004E-8</v>
      </c>
      <c r="F17" s="28">
        <f>E17*$H$5</f>
        <v>1.9538072000000002E-5</v>
      </c>
      <c r="G17" s="364">
        <f>B17+D17+F17</f>
        <v>2.3323081719999997E-3</v>
      </c>
    </row>
    <row r="18" spans="1:7" x14ac:dyDescent="0.25">
      <c r="A18" s="29" t="s">
        <v>841</v>
      </c>
      <c r="B18">
        <v>2.2717925999999997E-3</v>
      </c>
      <c r="C18">
        <v>1.7046639999999998E-6</v>
      </c>
      <c r="D18">
        <f t="shared" ref="D18:D24" si="0">C18*$G$5</f>
        <v>4.2616599999999994E-5</v>
      </c>
      <c r="E18">
        <v>1.3112799999999999E-8</v>
      </c>
      <c r="F18" s="28">
        <f t="shared" ref="F18:F24" si="1">E18*$H$5</f>
        <v>3.9076143999999994E-6</v>
      </c>
      <c r="G18" s="364">
        <f t="shared" ref="G18:G24" si="2">B18+D18+F18</f>
        <v>2.3183168143999996E-3</v>
      </c>
    </row>
    <row r="19" spans="1:7" x14ac:dyDescent="0.25">
      <c r="A19" s="29" t="s">
        <v>394</v>
      </c>
      <c r="B19">
        <v>2.6764919999999999E-3</v>
      </c>
      <c r="C19">
        <v>1.4086799999999999E-7</v>
      </c>
      <c r="D19">
        <f t="shared" si="0"/>
        <v>3.5216999999999997E-6</v>
      </c>
      <c r="E19">
        <v>1.4086799999999999E-7</v>
      </c>
      <c r="F19" s="28">
        <f t="shared" si="1"/>
        <v>4.1978663999999993E-5</v>
      </c>
      <c r="G19" s="364">
        <f t="shared" si="2"/>
        <v>2.7219923640000002E-3</v>
      </c>
    </row>
    <row r="20" spans="1:7" x14ac:dyDescent="0.25">
      <c r="A20" s="29" t="s">
        <v>395</v>
      </c>
      <c r="B20">
        <v>1.6117002000000003E-3</v>
      </c>
      <c r="C20">
        <v>1.5836040000000001E-6</v>
      </c>
      <c r="D20">
        <f t="shared" si="0"/>
        <v>3.9590099999999999E-5</v>
      </c>
      <c r="E20">
        <v>5.1083999999999994E-9</v>
      </c>
      <c r="F20" s="28">
        <f t="shared" si="1"/>
        <v>1.5223031999999998E-6</v>
      </c>
      <c r="G20" s="364">
        <f t="shared" si="2"/>
        <v>1.6528126032000002E-3</v>
      </c>
    </row>
    <row r="21" spans="1:7" x14ac:dyDescent="0.25">
      <c r="A21" s="29" t="s">
        <v>396</v>
      </c>
      <c r="B21">
        <v>2.5193760000000003E-3</v>
      </c>
      <c r="C21">
        <v>3.5040000000000001E-7</v>
      </c>
      <c r="D21">
        <f t="shared" si="0"/>
        <v>8.7600000000000008E-6</v>
      </c>
      <c r="E21">
        <v>2.1024E-8</v>
      </c>
      <c r="F21" s="28">
        <f t="shared" si="1"/>
        <v>6.2651520000000001E-6</v>
      </c>
      <c r="G21" s="364">
        <f t="shared" si="2"/>
        <v>2.5344011520000002E-3</v>
      </c>
    </row>
    <row r="22" spans="1:7" x14ac:dyDescent="0.25">
      <c r="A22" s="29" t="s">
        <v>397</v>
      </c>
      <c r="B22">
        <v>2.9466599999999998E-3</v>
      </c>
      <c r="C22">
        <v>4.0200000000000003E-7</v>
      </c>
      <c r="D22">
        <f t="shared" si="0"/>
        <v>1.005E-5</v>
      </c>
      <c r="E22">
        <v>2.412E-8</v>
      </c>
      <c r="F22" s="28">
        <f t="shared" si="1"/>
        <v>7.1877599999999998E-6</v>
      </c>
      <c r="G22" s="364">
        <f t="shared" si="2"/>
        <v>2.9638977600000001E-3</v>
      </c>
    </row>
    <row r="23" spans="1:7" x14ac:dyDescent="0.25">
      <c r="A23" s="29" t="s">
        <v>398</v>
      </c>
      <c r="B23">
        <v>5.3182800000000003E-4</v>
      </c>
      <c r="C23">
        <v>8.7215999999999994E-7</v>
      </c>
      <c r="D23">
        <f t="shared" si="0"/>
        <v>2.1804E-5</v>
      </c>
      <c r="E23">
        <v>2.8439999999999999E-8</v>
      </c>
      <c r="F23" s="28">
        <f t="shared" si="1"/>
        <v>8.4751199999999992E-6</v>
      </c>
      <c r="G23" s="364">
        <f t="shared" si="2"/>
        <v>5.6210712000000012E-4</v>
      </c>
    </row>
    <row r="24" spans="1:7" ht="15.75" thickBot="1" x14ac:dyDescent="0.3">
      <c r="A24" s="34" t="s">
        <v>399</v>
      </c>
      <c r="B24" s="59">
        <v>1.2117600000000001E-3</v>
      </c>
      <c r="C24" s="59">
        <v>1.9871999999999998E-6</v>
      </c>
      <c r="D24" s="59">
        <f t="shared" si="0"/>
        <v>4.9679999999999992E-5</v>
      </c>
      <c r="E24" s="59">
        <v>6.4799999999999998E-8</v>
      </c>
      <c r="F24" s="60">
        <f t="shared" si="1"/>
        <v>1.9310400000000001E-5</v>
      </c>
      <c r="G24" s="365">
        <f t="shared" si="2"/>
        <v>1.2807504000000001E-3</v>
      </c>
    </row>
    <row r="33" spans="1:1" x14ac:dyDescent="0.25">
      <c r="A33" s="192"/>
    </row>
  </sheetData>
  <mergeCells count="2">
    <mergeCell ref="C15:D15"/>
    <mergeCell ref="E15:F15"/>
  </mergeCells>
  <pageMargins left="0.7" right="0.7" top="0.75" bottom="0.75" header="0.3" footer="0.3"/>
  <drawing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CC208-1490-4862-AC3C-A52A5120FE78}">
  <sheetPr>
    <tabColor rgb="FFFF6699"/>
  </sheetPr>
  <dimension ref="A1:U32"/>
  <sheetViews>
    <sheetView workbookViewId="0">
      <pane ySplit="3" topLeftCell="A4" activePane="bottomLeft" state="frozen"/>
      <selection activeCell="F13" sqref="F13"/>
      <selection pane="bottomLeft" activeCell="F13" sqref="F13"/>
    </sheetView>
  </sheetViews>
  <sheetFormatPr defaultRowHeight="15" x14ac:dyDescent="0.25"/>
  <cols>
    <col min="1" max="2" width="27.42578125" customWidth="1"/>
    <col min="3" max="3" width="26.7109375" customWidth="1"/>
    <col min="4" max="4" width="22.5703125" customWidth="1"/>
    <col min="5" max="5" width="20.7109375" customWidth="1"/>
    <col min="6" max="7" width="21" customWidth="1"/>
    <col min="8" max="8" width="24.85546875" customWidth="1"/>
    <col min="9" max="9" width="25.85546875" customWidth="1"/>
  </cols>
  <sheetData>
    <row r="1" spans="1:21" s="148" customFormat="1" ht="129" customHeight="1" x14ac:dyDescent="0.25"/>
    <row r="2" spans="1:21" s="193" customFormat="1" ht="35.25" customHeight="1" x14ac:dyDescent="0.4">
      <c r="A2" s="193" t="s">
        <v>869</v>
      </c>
      <c r="C2" s="194"/>
      <c r="E2" s="194"/>
      <c r="G2" s="195"/>
      <c r="K2" s="194"/>
      <c r="L2" s="194"/>
      <c r="M2" s="194"/>
      <c r="N2" s="194"/>
      <c r="P2" s="194"/>
      <c r="Q2" s="194"/>
      <c r="R2" s="194"/>
      <c r="S2" s="194"/>
      <c r="T2" s="194"/>
      <c r="U2" s="194"/>
    </row>
    <row r="3" spans="1:21" s="200" customFormat="1" ht="27" customHeight="1" x14ac:dyDescent="0.3">
      <c r="A3" s="200" t="s">
        <v>559</v>
      </c>
    </row>
    <row r="5" spans="1:21" x14ac:dyDescent="0.25">
      <c r="A5" s="5" t="s">
        <v>842</v>
      </c>
      <c r="B5" s="5"/>
      <c r="C5" s="5"/>
      <c r="D5" s="5"/>
      <c r="E5" s="5"/>
      <c r="F5" s="5"/>
      <c r="G5" s="5"/>
      <c r="H5" s="5"/>
    </row>
    <row r="6" spans="1:21" x14ac:dyDescent="0.25">
      <c r="A6" s="5" t="s">
        <v>843</v>
      </c>
      <c r="B6" s="5"/>
      <c r="C6" s="5"/>
      <c r="D6" s="5"/>
      <c r="E6" s="5"/>
      <c r="F6" s="5"/>
      <c r="G6" s="5"/>
      <c r="H6" s="5"/>
    </row>
    <row r="9" spans="1:21" ht="15.75" x14ac:dyDescent="0.25">
      <c r="A9" s="238" t="s">
        <v>928</v>
      </c>
      <c r="B9" s="216"/>
      <c r="C9" s="216"/>
      <c r="D9" s="216"/>
      <c r="E9" s="216"/>
    </row>
    <row r="10" spans="1:21" x14ac:dyDescent="0.25">
      <c r="A10" s="251" t="s">
        <v>603</v>
      </c>
      <c r="B10" s="236"/>
    </row>
    <row r="11" spans="1:21" ht="24" x14ac:dyDescent="0.25">
      <c r="A11" s="217" t="s">
        <v>844</v>
      </c>
      <c r="B11" s="217" t="s">
        <v>742</v>
      </c>
      <c r="C11" s="217" t="s">
        <v>425</v>
      </c>
      <c r="D11" s="217" t="s">
        <v>845</v>
      </c>
      <c r="F11" s="217" t="s">
        <v>846</v>
      </c>
      <c r="G11" s="217" t="s">
        <v>93</v>
      </c>
    </row>
    <row r="12" spans="1:21" x14ac:dyDescent="0.25">
      <c r="A12">
        <f>RL!A13</f>
        <v>0</v>
      </c>
      <c r="B12">
        <f>RL!B13</f>
        <v>0</v>
      </c>
      <c r="C12">
        <f>RL!C13</f>
        <v>0</v>
      </c>
      <c r="D12">
        <f>RL!D13</f>
        <v>0</v>
      </c>
      <c r="F12">
        <f>IF(C12=RL_fx!$A$17,RL_fx!$G$17,IF(C12=RL_fx!$A$18,RL_fx!$G$18,IF(C12=RL_fx!$A$19,RL_fx!$G$19,IF(C12=RL_fx!$A$20,RL_fx!$G$20,IF(C12=RL_fx!$A$21,RL_fx!$G$21,IF(C12=RL_fx!$A$22,RL_fx!$G$22,IF(C12=RL_fx!$A$23,RL_fx!$G$23,IF(C12=RL_fx!$A$24,RL_fx!$G$24,0))))))))</f>
        <v>0</v>
      </c>
      <c r="G12" s="206">
        <f>F12*D12</f>
        <v>0</v>
      </c>
    </row>
    <row r="13" spans="1:21" x14ac:dyDescent="0.25">
      <c r="A13">
        <f>RL!A14</f>
        <v>0</v>
      </c>
      <c r="B13">
        <f>RL!B14</f>
        <v>0</v>
      </c>
      <c r="C13">
        <f>RL!C14</f>
        <v>0</v>
      </c>
      <c r="D13">
        <f>RL!D14</f>
        <v>0</v>
      </c>
      <c r="F13">
        <f>IF(C13=RL_fx!$A$17,RL_fx!$G$17,IF(C13=RL_fx!$A$18,RL_fx!$G$18,IF(C13=RL_fx!$A$19,RL_fx!$G$19,IF(C13=RL_fx!$A$20,RL_fx!$G$20,IF(C13=RL_fx!$A$21,RL_fx!$G$21,IF(C13=RL_fx!$A$22,RL_fx!$G$22,IF(C13=RL_fx!$A$23,RL_fx!$G$23,IF(C13=RL_fx!$A$24,RL_fx!$G$24,0))))))))</f>
        <v>0</v>
      </c>
      <c r="G13" s="206">
        <f t="shared" ref="G13:G31" si="0">F13*D13</f>
        <v>0</v>
      </c>
    </row>
    <row r="14" spans="1:21" x14ac:dyDescent="0.25">
      <c r="A14">
        <f>RL!A15</f>
        <v>0</v>
      </c>
      <c r="B14">
        <f>RL!B15</f>
        <v>0</v>
      </c>
      <c r="C14">
        <f>RL!C15</f>
        <v>0</v>
      </c>
      <c r="D14">
        <f>RL!D15</f>
        <v>0</v>
      </c>
      <c r="F14">
        <f>IF(C14=RL_fx!$A$17,RL_fx!$G$17,IF(C14=RL_fx!$A$18,RL_fx!$G$18,IF(C14=RL_fx!$A$19,RL_fx!$G$19,IF(C14=RL_fx!$A$20,RL_fx!$G$20,IF(C14=RL_fx!$A$21,RL_fx!$G$21,IF(C14=RL_fx!$A$22,RL_fx!$G$22,IF(C14=RL_fx!$A$23,RL_fx!$G$23,IF(C14=RL_fx!$A$24,RL_fx!$G$24,0))))))))</f>
        <v>0</v>
      </c>
      <c r="G14" s="206">
        <f t="shared" si="0"/>
        <v>0</v>
      </c>
    </row>
    <row r="15" spans="1:21" x14ac:dyDescent="0.25">
      <c r="A15">
        <f>RL!A16</f>
        <v>0</v>
      </c>
      <c r="B15">
        <f>RL!B16</f>
        <v>0</v>
      </c>
      <c r="C15">
        <f>RL!C16</f>
        <v>0</v>
      </c>
      <c r="D15">
        <f>RL!D16</f>
        <v>0</v>
      </c>
      <c r="F15">
        <f>IF(C15=RL_fx!$A$17,RL_fx!$G$17,IF(C15=RL_fx!$A$18,RL_fx!$G$18,IF(C15=RL_fx!$A$19,RL_fx!$G$19,IF(C15=RL_fx!$A$20,RL_fx!$G$20,IF(C15=RL_fx!$A$21,RL_fx!$G$21,IF(C15=RL_fx!$A$22,RL_fx!$G$22,IF(C15=RL_fx!$A$23,RL_fx!$G$23,IF(C15=RL_fx!$A$24,RL_fx!$G$24,0))))))))</f>
        <v>0</v>
      </c>
      <c r="G15" s="206">
        <f t="shared" si="0"/>
        <v>0</v>
      </c>
    </row>
    <row r="16" spans="1:21" x14ac:dyDescent="0.25">
      <c r="A16">
        <f>RL!A17</f>
        <v>0</v>
      </c>
      <c r="B16">
        <f>RL!B17</f>
        <v>0</v>
      </c>
      <c r="C16">
        <f>RL!C17</f>
        <v>0</v>
      </c>
      <c r="D16">
        <f>RL!D17</f>
        <v>0</v>
      </c>
      <c r="F16">
        <f>IF(C16=RL_fx!$A$17,RL_fx!$G$17,IF(C16=RL_fx!$A$18,RL_fx!$G$18,IF(C16=RL_fx!$A$19,RL_fx!$G$19,IF(C16=RL_fx!$A$20,RL_fx!$G$20,IF(C16=RL_fx!$A$21,RL_fx!$G$21,IF(C16=RL_fx!$A$22,RL_fx!$G$22,IF(C16=RL_fx!$A$23,RL_fx!$G$23,IF(C16=RL_fx!$A$24,RL_fx!$G$24,0))))))))</f>
        <v>0</v>
      </c>
      <c r="G16" s="206">
        <f t="shared" si="0"/>
        <v>0</v>
      </c>
    </row>
    <row r="17" spans="1:9" x14ac:dyDescent="0.25">
      <c r="A17">
        <f>RL!A18</f>
        <v>0</v>
      </c>
      <c r="B17">
        <f>RL!B18</f>
        <v>0</v>
      </c>
      <c r="C17">
        <f>RL!C18</f>
        <v>0</v>
      </c>
      <c r="D17">
        <f>RL!D18</f>
        <v>0</v>
      </c>
      <c r="F17">
        <f>IF(C17=RL_fx!$A$17,RL_fx!$G$17,IF(C17=RL_fx!$A$18,RL_fx!$G$18,IF(C17=RL_fx!$A$19,RL_fx!$G$19,IF(C17=RL_fx!$A$20,RL_fx!$G$20,IF(C17=RL_fx!$A$21,RL_fx!$G$21,IF(C17=RL_fx!$A$22,RL_fx!$G$22,IF(C17=RL_fx!$A$23,RL_fx!$G$23,IF(C17=RL_fx!$A$24,RL_fx!$G$24,0))))))))</f>
        <v>0</v>
      </c>
      <c r="G17" s="206">
        <f t="shared" si="0"/>
        <v>0</v>
      </c>
    </row>
    <row r="18" spans="1:9" x14ac:dyDescent="0.25">
      <c r="A18">
        <f>RL!A19</f>
        <v>0</v>
      </c>
      <c r="B18">
        <f>RL!B19</f>
        <v>0</v>
      </c>
      <c r="C18">
        <f>RL!C19</f>
        <v>0</v>
      </c>
      <c r="D18">
        <f>RL!D19</f>
        <v>0</v>
      </c>
      <c r="F18">
        <f>IF(C18=RL_fx!$A$17,RL_fx!$G$17,IF(C18=RL_fx!$A$18,RL_fx!$G$18,IF(C18=RL_fx!$A$19,RL_fx!$G$19,IF(C18=RL_fx!$A$20,RL_fx!$G$20,IF(C18=RL_fx!$A$21,RL_fx!$G$21,IF(C18=RL_fx!$A$22,RL_fx!$G$22,IF(C18=RL_fx!$A$23,RL_fx!$G$23,IF(C18=RL_fx!$A$24,RL_fx!$G$24,0))))))))</f>
        <v>0</v>
      </c>
      <c r="G18" s="206">
        <f t="shared" si="0"/>
        <v>0</v>
      </c>
    </row>
    <row r="19" spans="1:9" x14ac:dyDescent="0.25">
      <c r="A19">
        <f>RL!A20</f>
        <v>0</v>
      </c>
      <c r="B19">
        <f>RL!B20</f>
        <v>0</v>
      </c>
      <c r="C19">
        <f>RL!C20</f>
        <v>0</v>
      </c>
      <c r="D19">
        <f>RL!D20</f>
        <v>0</v>
      </c>
      <c r="F19">
        <f>IF(C19=RL_fx!$A$17,RL_fx!$G$17,IF(C19=RL_fx!$A$18,RL_fx!$G$18,IF(C19=RL_fx!$A$19,RL_fx!$G$19,IF(C19=RL_fx!$A$20,RL_fx!$G$20,IF(C19=RL_fx!$A$21,RL_fx!$G$21,IF(C19=RL_fx!$A$22,RL_fx!$G$22,IF(C19=RL_fx!$A$23,RL_fx!$G$23,IF(C19=RL_fx!$A$24,RL_fx!$G$24,0))))))))</f>
        <v>0</v>
      </c>
      <c r="G19" s="206">
        <f t="shared" si="0"/>
        <v>0</v>
      </c>
    </row>
    <row r="20" spans="1:9" x14ac:dyDescent="0.25">
      <c r="A20">
        <f>RL!A21</f>
        <v>0</v>
      </c>
      <c r="B20">
        <f>RL!B21</f>
        <v>0</v>
      </c>
      <c r="C20">
        <f>RL!C21</f>
        <v>0</v>
      </c>
      <c r="D20">
        <f>RL!D21</f>
        <v>0</v>
      </c>
      <c r="F20">
        <f>IF(C20=RL_fx!$A$17,RL_fx!$G$17,IF(C20=RL_fx!$A$18,RL_fx!$G$18,IF(C20=RL_fx!$A$19,RL_fx!$G$19,IF(C20=RL_fx!$A$20,RL_fx!$G$20,IF(C20=RL_fx!$A$21,RL_fx!$G$21,IF(C20=RL_fx!$A$22,RL_fx!$G$22,IF(C20=RL_fx!$A$23,RL_fx!$G$23,IF(C20=RL_fx!$A$24,RL_fx!$G$24,0))))))))</f>
        <v>0</v>
      </c>
      <c r="G20" s="206">
        <f t="shared" si="0"/>
        <v>0</v>
      </c>
    </row>
    <row r="21" spans="1:9" x14ac:dyDescent="0.25">
      <c r="A21">
        <f>RL!A22</f>
        <v>0</v>
      </c>
      <c r="B21">
        <f>RL!B22</f>
        <v>0</v>
      </c>
      <c r="C21">
        <f>RL!C22</f>
        <v>0</v>
      </c>
      <c r="D21">
        <f>RL!D22</f>
        <v>0</v>
      </c>
      <c r="F21">
        <f>IF(C21=RL_fx!$A$17,RL_fx!$G$17,IF(C21=RL_fx!$A$18,RL_fx!$G$18,IF(C21=RL_fx!$A$19,RL_fx!$G$19,IF(C21=RL_fx!$A$20,RL_fx!$G$20,IF(C21=RL_fx!$A$21,RL_fx!$G$21,IF(C21=RL_fx!$A$22,RL_fx!$G$22,IF(C21=RL_fx!$A$23,RL_fx!$G$23,IF(C21=RL_fx!$A$24,RL_fx!$G$24,0))))))))</f>
        <v>0</v>
      </c>
      <c r="G21" s="206">
        <f t="shared" si="0"/>
        <v>0</v>
      </c>
    </row>
    <row r="22" spans="1:9" x14ac:dyDescent="0.25">
      <c r="A22">
        <f>RL!A23</f>
        <v>0</v>
      </c>
      <c r="B22">
        <f>RL!B23</f>
        <v>0</v>
      </c>
      <c r="C22">
        <f>RL!C23</f>
        <v>0</v>
      </c>
      <c r="D22">
        <f>RL!D23</f>
        <v>0</v>
      </c>
      <c r="F22">
        <f>IF(C22=RL_fx!$A$17,RL_fx!$G$17,IF(C22=RL_fx!$A$18,RL_fx!$G$18,IF(C22=RL_fx!$A$19,RL_fx!$G$19,IF(C22=RL_fx!$A$20,RL_fx!$G$20,IF(C22=RL_fx!$A$21,RL_fx!$G$21,IF(C22=RL_fx!$A$22,RL_fx!$G$22,IF(C22=RL_fx!$A$23,RL_fx!$G$23,IF(C22=RL_fx!$A$24,RL_fx!$G$24,0))))))))</f>
        <v>0</v>
      </c>
      <c r="G22" s="206">
        <f t="shared" si="0"/>
        <v>0</v>
      </c>
    </row>
    <row r="23" spans="1:9" x14ac:dyDescent="0.25">
      <c r="A23">
        <f>RL!A24</f>
        <v>0</v>
      </c>
      <c r="B23">
        <f>RL!B24</f>
        <v>0</v>
      </c>
      <c r="C23">
        <f>RL!C24</f>
        <v>0</v>
      </c>
      <c r="D23">
        <f>RL!D24</f>
        <v>0</v>
      </c>
      <c r="F23">
        <f>IF(C23=RL_fx!$A$17,RL_fx!$G$17,IF(C23=RL_fx!$A$18,RL_fx!$G$18,IF(C23=RL_fx!$A$19,RL_fx!$G$19,IF(C23=RL_fx!$A$20,RL_fx!$G$20,IF(C23=RL_fx!$A$21,RL_fx!$G$21,IF(C23=RL_fx!$A$22,RL_fx!$G$22,IF(C23=RL_fx!$A$23,RL_fx!$G$23,IF(C23=RL_fx!$A$24,RL_fx!$G$24,0))))))))</f>
        <v>0</v>
      </c>
      <c r="G23" s="206">
        <f t="shared" si="0"/>
        <v>0</v>
      </c>
    </row>
    <row r="24" spans="1:9" x14ac:dyDescent="0.25">
      <c r="A24">
        <f>RL!A25</f>
        <v>0</v>
      </c>
      <c r="B24">
        <f>RL!B25</f>
        <v>0</v>
      </c>
      <c r="C24">
        <f>RL!C25</f>
        <v>0</v>
      </c>
      <c r="D24">
        <f>RL!D25</f>
        <v>0</v>
      </c>
      <c r="F24">
        <f>IF(C24=RL_fx!$A$17,RL_fx!$G$17,IF(C24=RL_fx!$A$18,RL_fx!$G$18,IF(C24=RL_fx!$A$19,RL_fx!$G$19,IF(C24=RL_fx!$A$20,RL_fx!$G$20,IF(C24=RL_fx!$A$21,RL_fx!$G$21,IF(C24=RL_fx!$A$22,RL_fx!$G$22,IF(C24=RL_fx!$A$23,RL_fx!$G$23,IF(C24=RL_fx!$A$24,RL_fx!$G$24,0))))))))</f>
        <v>0</v>
      </c>
      <c r="G24" s="206">
        <f t="shared" si="0"/>
        <v>0</v>
      </c>
    </row>
    <row r="25" spans="1:9" x14ac:dyDescent="0.25">
      <c r="A25">
        <f>RL!A26</f>
        <v>0</v>
      </c>
      <c r="B25">
        <f>RL!B26</f>
        <v>0</v>
      </c>
      <c r="C25">
        <f>RL!C26</f>
        <v>0</v>
      </c>
      <c r="D25">
        <f>RL!D26</f>
        <v>0</v>
      </c>
      <c r="F25">
        <f>IF(C25=RL_fx!$A$17,RL_fx!$G$17,IF(C25=RL_fx!$A$18,RL_fx!$G$18,IF(C25=RL_fx!$A$19,RL_fx!$G$19,IF(C25=RL_fx!$A$20,RL_fx!$G$20,IF(C25=RL_fx!$A$21,RL_fx!$G$21,IF(C25=RL_fx!$A$22,RL_fx!$G$22,IF(C25=RL_fx!$A$23,RL_fx!$G$23,IF(C25=RL_fx!$A$24,RL_fx!$G$24,0))))))))</f>
        <v>0</v>
      </c>
      <c r="G25" s="206">
        <f t="shared" si="0"/>
        <v>0</v>
      </c>
    </row>
    <row r="26" spans="1:9" x14ac:dyDescent="0.25">
      <c r="A26">
        <f>RL!A27</f>
        <v>0</v>
      </c>
      <c r="B26">
        <f>RL!B27</f>
        <v>0</v>
      </c>
      <c r="C26">
        <f>RL!C27</f>
        <v>0</v>
      </c>
      <c r="D26">
        <f>RL!D27</f>
        <v>0</v>
      </c>
      <c r="F26">
        <f>IF(C26=RL_fx!$A$17,RL_fx!$G$17,IF(C26=RL_fx!$A$18,RL_fx!$G$18,IF(C26=RL_fx!$A$19,RL_fx!$G$19,IF(C26=RL_fx!$A$20,RL_fx!$G$20,IF(C26=RL_fx!$A$21,RL_fx!$G$21,IF(C26=RL_fx!$A$22,RL_fx!$G$22,IF(C26=RL_fx!$A$23,RL_fx!$G$23,IF(C26=RL_fx!$A$24,RL_fx!$G$24,0))))))))</f>
        <v>0</v>
      </c>
      <c r="G26" s="206">
        <f t="shared" si="0"/>
        <v>0</v>
      </c>
    </row>
    <row r="27" spans="1:9" x14ac:dyDescent="0.25">
      <c r="A27">
        <f>RL!A28</f>
        <v>0</v>
      </c>
      <c r="B27">
        <f>RL!B28</f>
        <v>0</v>
      </c>
      <c r="C27">
        <f>RL!C28</f>
        <v>0</v>
      </c>
      <c r="D27">
        <f>RL!D28</f>
        <v>0</v>
      </c>
      <c r="F27">
        <f>IF(C27=RL_fx!$A$17,RL_fx!$G$17,IF(C27=RL_fx!$A$18,RL_fx!$G$18,IF(C27=RL_fx!$A$19,RL_fx!$G$19,IF(C27=RL_fx!$A$20,RL_fx!$G$20,IF(C27=RL_fx!$A$21,RL_fx!$G$21,IF(C27=RL_fx!$A$22,RL_fx!$G$22,IF(C27=RL_fx!$A$23,RL_fx!$G$23,IF(C27=RL_fx!$A$24,RL_fx!$G$24,0))))))))</f>
        <v>0</v>
      </c>
      <c r="G27" s="206">
        <f t="shared" si="0"/>
        <v>0</v>
      </c>
    </row>
    <row r="28" spans="1:9" x14ac:dyDescent="0.25">
      <c r="A28">
        <f>RL!A29</f>
        <v>0</v>
      </c>
      <c r="B28">
        <f>RL!B29</f>
        <v>0</v>
      </c>
      <c r="C28">
        <f>RL!C29</f>
        <v>0</v>
      </c>
      <c r="D28">
        <f>RL!D29</f>
        <v>0</v>
      </c>
      <c r="F28">
        <f>IF(C28=RL_fx!$A$17,RL_fx!$G$17,IF(C28=RL_fx!$A$18,RL_fx!$G$18,IF(C28=RL_fx!$A$19,RL_fx!$G$19,IF(C28=RL_fx!$A$20,RL_fx!$G$20,IF(C28=RL_fx!$A$21,RL_fx!$G$21,IF(C28=RL_fx!$A$22,RL_fx!$G$22,IF(C28=RL_fx!$A$23,RL_fx!$G$23,IF(C28=RL_fx!$A$24,RL_fx!$G$24,0))))))))</f>
        <v>0</v>
      </c>
      <c r="G28" s="206">
        <f t="shared" si="0"/>
        <v>0</v>
      </c>
    </row>
    <row r="29" spans="1:9" x14ac:dyDescent="0.25">
      <c r="A29">
        <f>RL!A30</f>
        <v>0</v>
      </c>
      <c r="B29">
        <f>RL!B30</f>
        <v>0</v>
      </c>
      <c r="C29">
        <f>RL!C30</f>
        <v>0</v>
      </c>
      <c r="D29">
        <f>RL!D30</f>
        <v>0</v>
      </c>
      <c r="F29">
        <f>IF(C29=RL_fx!$A$17,RL_fx!$G$17,IF(C29=RL_fx!$A$18,RL_fx!$G$18,IF(C29=RL_fx!$A$19,RL_fx!$G$19,IF(C29=RL_fx!$A$20,RL_fx!$G$20,IF(C29=RL_fx!$A$21,RL_fx!$G$21,IF(C29=RL_fx!$A$22,RL_fx!$G$22,IF(C29=RL_fx!$A$23,RL_fx!$G$23,IF(C29=RL_fx!$A$24,RL_fx!$G$24,0))))))))</f>
        <v>0</v>
      </c>
      <c r="G29" s="206">
        <f t="shared" si="0"/>
        <v>0</v>
      </c>
    </row>
    <row r="30" spans="1:9" ht="15.75" x14ac:dyDescent="0.25">
      <c r="A30">
        <f>RL!A31</f>
        <v>0</v>
      </c>
      <c r="B30">
        <f>RL!B31</f>
        <v>0</v>
      </c>
      <c r="C30">
        <f>RL!C31</f>
        <v>0</v>
      </c>
      <c r="D30">
        <f>RL!D31</f>
        <v>0</v>
      </c>
      <c r="F30">
        <f>IF(C30=RL_fx!$A$17,RL_fx!$G$17,IF(C30=RL_fx!$A$18,RL_fx!$G$18,IF(C30=RL_fx!$A$19,RL_fx!$G$19,IF(C30=RL_fx!$A$20,RL_fx!$G$20,IF(C30=RL_fx!$A$21,RL_fx!$G$21,IF(C30=RL_fx!$A$22,RL_fx!$G$22,IF(C30=RL_fx!$A$23,RL_fx!$G$23,IF(C30=RL_fx!$A$24,RL_fx!$G$24,0))))))))</f>
        <v>0</v>
      </c>
      <c r="G30" s="206">
        <f t="shared" si="0"/>
        <v>0</v>
      </c>
      <c r="I30" s="253" t="s">
        <v>8</v>
      </c>
    </row>
    <row r="31" spans="1:9" ht="19.5" thickBot="1" x14ac:dyDescent="0.35">
      <c r="A31">
        <f>RL!A32</f>
        <v>0</v>
      </c>
      <c r="B31">
        <f>RL!B32</f>
        <v>0</v>
      </c>
      <c r="C31">
        <f>RL!C32</f>
        <v>0</v>
      </c>
      <c r="D31">
        <f>RL!D32</f>
        <v>0</v>
      </c>
      <c r="F31">
        <f>IF(C31=RL_fx!$A$17,RL_fx!$G$17,IF(C31=RL_fx!$A$18,RL_fx!$G$18,IF(C31=RL_fx!$A$19,RL_fx!$G$19,IF(C31=RL_fx!$A$20,RL_fx!$G$20,IF(C31=RL_fx!$A$21,RL_fx!$G$21,IF(C31=RL_fx!$A$22,RL_fx!$G$22,IF(C31=RL_fx!$A$23,RL_fx!$G$23,IF(C31=RL_fx!$A$24,RL_fx!$G$24,0))))))))</f>
        <v>0</v>
      </c>
      <c r="G31" s="206">
        <f t="shared" si="0"/>
        <v>0</v>
      </c>
      <c r="I31" s="259">
        <f>SUM(G12:G31)</f>
        <v>0</v>
      </c>
    </row>
    <row r="32" spans="1:9" ht="15.75" thickTop="1" x14ac:dyDescent="0.25"/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989F8-6782-476D-98EC-5125B3E6BAA1}">
  <sheetPr>
    <tabColor rgb="FFFF6699"/>
  </sheetPr>
  <dimension ref="A1:U32"/>
  <sheetViews>
    <sheetView showGridLines="0" showRowColHeaders="0" tabSelected="1" workbookViewId="0">
      <pane ySplit="3" topLeftCell="A4" activePane="bottomLeft" state="frozen"/>
      <selection pane="bottomLeft" activeCell="F22" sqref="F22"/>
    </sheetView>
  </sheetViews>
  <sheetFormatPr defaultRowHeight="15" x14ac:dyDescent="0.25"/>
  <cols>
    <col min="1" max="2" width="27.42578125" customWidth="1"/>
    <col min="3" max="3" width="26.140625" customWidth="1"/>
    <col min="4" max="4" width="23.42578125" customWidth="1"/>
    <col min="5" max="5" width="20.7109375" customWidth="1"/>
    <col min="6" max="7" width="21" customWidth="1"/>
    <col min="8" max="8" width="24.85546875" customWidth="1"/>
    <col min="9" max="9" width="21" customWidth="1"/>
  </cols>
  <sheetData>
    <row r="1" spans="1:21" s="148" customFormat="1" ht="129" customHeight="1" x14ac:dyDescent="0.25"/>
    <row r="2" spans="1:21" s="193" customFormat="1" ht="35.25" customHeight="1" x14ac:dyDescent="0.4">
      <c r="A2" s="193" t="s">
        <v>869</v>
      </c>
      <c r="C2" s="194"/>
      <c r="E2" s="194"/>
      <c r="G2" s="195"/>
      <c r="K2" s="194"/>
      <c r="L2" s="194"/>
      <c r="M2" s="194"/>
      <c r="N2" s="194"/>
      <c r="P2" s="194"/>
      <c r="Q2" s="194"/>
      <c r="R2" s="194"/>
      <c r="S2" s="194"/>
      <c r="T2" s="194"/>
      <c r="U2" s="194"/>
    </row>
    <row r="3" spans="1:21" s="200" customFormat="1" ht="27" customHeight="1" x14ac:dyDescent="0.3">
      <c r="A3" s="200" t="s">
        <v>559</v>
      </c>
    </row>
    <row r="5" spans="1:21" x14ac:dyDescent="0.25">
      <c r="A5" s="5" t="s">
        <v>901</v>
      </c>
      <c r="B5" s="5"/>
      <c r="C5" s="5"/>
      <c r="D5" s="5"/>
      <c r="E5" s="5"/>
      <c r="F5" s="5"/>
      <c r="G5" s="5"/>
      <c r="H5" s="5"/>
    </row>
    <row r="6" spans="1:21" x14ac:dyDescent="0.25">
      <c r="A6" s="5" t="s">
        <v>847</v>
      </c>
      <c r="B6" s="5"/>
      <c r="C6" s="5"/>
      <c r="D6" s="5"/>
      <c r="E6" s="5"/>
      <c r="F6" s="5"/>
      <c r="G6" s="5"/>
      <c r="H6" s="5"/>
    </row>
    <row r="7" spans="1:21" x14ac:dyDescent="0.25">
      <c r="A7" s="5" t="s">
        <v>848</v>
      </c>
      <c r="B7" s="5"/>
      <c r="C7" s="5"/>
      <c r="D7" s="5"/>
      <c r="E7" s="5"/>
      <c r="F7" s="5"/>
      <c r="G7" s="5"/>
      <c r="H7" s="5"/>
    </row>
    <row r="10" spans="1:21" ht="15.75" x14ac:dyDescent="0.25">
      <c r="A10" s="238" t="s">
        <v>902</v>
      </c>
      <c r="B10" s="216"/>
      <c r="C10" s="216"/>
      <c r="D10" s="216"/>
      <c r="E10" s="216"/>
    </row>
    <row r="11" spans="1:21" x14ac:dyDescent="0.25">
      <c r="A11" s="251" t="s">
        <v>603</v>
      </c>
      <c r="B11" s="236"/>
    </row>
    <row r="12" spans="1:21" x14ac:dyDescent="0.25">
      <c r="A12" s="217" t="s">
        <v>844</v>
      </c>
      <c r="B12" s="217" t="s">
        <v>742</v>
      </c>
      <c r="C12" s="217" t="s">
        <v>425</v>
      </c>
      <c r="D12" s="217" t="s">
        <v>845</v>
      </c>
    </row>
    <row r="13" spans="1:21" x14ac:dyDescent="0.25">
      <c r="A13" s="20"/>
      <c r="B13" s="252"/>
      <c r="C13" s="20"/>
      <c r="D13" s="20"/>
    </row>
    <row r="14" spans="1:21" x14ac:dyDescent="0.25">
      <c r="A14" s="20"/>
      <c r="B14" s="252"/>
      <c r="C14" s="20"/>
      <c r="D14" s="20"/>
    </row>
    <row r="15" spans="1:21" x14ac:dyDescent="0.25">
      <c r="A15" s="20"/>
      <c r="B15" s="20"/>
      <c r="C15" s="20"/>
      <c r="D15" s="20"/>
    </row>
    <row r="16" spans="1:21" x14ac:dyDescent="0.25">
      <c r="A16" s="20"/>
      <c r="B16" s="20"/>
      <c r="C16" s="20"/>
      <c r="D16" s="20"/>
    </row>
    <row r="17" spans="1:4" x14ac:dyDescent="0.25">
      <c r="A17" s="20"/>
      <c r="B17" s="20"/>
      <c r="C17" s="20"/>
      <c r="D17" s="20"/>
    </row>
    <row r="18" spans="1:4" x14ac:dyDescent="0.25">
      <c r="A18" s="20"/>
      <c r="B18" s="20"/>
      <c r="C18" s="20"/>
      <c r="D18" s="20"/>
    </row>
    <row r="19" spans="1:4" x14ac:dyDescent="0.25">
      <c r="A19" s="20"/>
      <c r="B19" s="20"/>
      <c r="C19" s="20"/>
      <c r="D19" s="20"/>
    </row>
    <row r="20" spans="1:4" x14ac:dyDescent="0.25">
      <c r="A20" s="20"/>
      <c r="B20" s="20"/>
      <c r="C20" s="20"/>
      <c r="D20" s="20"/>
    </row>
    <row r="21" spans="1:4" x14ac:dyDescent="0.25">
      <c r="A21" s="20"/>
      <c r="B21" s="20"/>
      <c r="C21" s="20"/>
      <c r="D21" s="20"/>
    </row>
    <row r="22" spans="1:4" x14ac:dyDescent="0.25">
      <c r="A22" s="20"/>
      <c r="B22" s="20"/>
      <c r="C22" s="20"/>
      <c r="D22" s="20"/>
    </row>
    <row r="23" spans="1:4" x14ac:dyDescent="0.25">
      <c r="A23" s="20"/>
      <c r="B23" s="20"/>
      <c r="C23" s="20"/>
      <c r="D23" s="20"/>
    </row>
    <row r="24" spans="1:4" x14ac:dyDescent="0.25">
      <c r="A24" s="20"/>
      <c r="B24" s="20"/>
      <c r="C24" s="20"/>
      <c r="D24" s="20"/>
    </row>
    <row r="25" spans="1:4" x14ac:dyDescent="0.25">
      <c r="A25" s="20"/>
      <c r="B25" s="20"/>
      <c r="C25" s="20"/>
      <c r="D25" s="20"/>
    </row>
    <row r="26" spans="1:4" x14ac:dyDescent="0.25">
      <c r="A26" s="20"/>
      <c r="B26" s="20"/>
      <c r="C26" s="20"/>
      <c r="D26" s="20"/>
    </row>
    <row r="27" spans="1:4" x14ac:dyDescent="0.25">
      <c r="A27" s="20"/>
      <c r="B27" s="20"/>
      <c r="C27" s="20"/>
      <c r="D27" s="20"/>
    </row>
    <row r="28" spans="1:4" x14ac:dyDescent="0.25">
      <c r="A28" s="20"/>
      <c r="B28" s="20"/>
      <c r="C28" s="20"/>
      <c r="D28" s="20"/>
    </row>
    <row r="29" spans="1:4" x14ac:dyDescent="0.25">
      <c r="A29" s="20"/>
      <c r="B29" s="20"/>
      <c r="C29" s="20"/>
      <c r="D29" s="20"/>
    </row>
    <row r="30" spans="1:4" x14ac:dyDescent="0.25">
      <c r="A30" s="20"/>
      <c r="B30" s="20"/>
      <c r="C30" s="20"/>
      <c r="D30" s="20"/>
    </row>
    <row r="31" spans="1:4" x14ac:dyDescent="0.25">
      <c r="A31" s="20"/>
      <c r="B31" s="20"/>
      <c r="C31" s="20"/>
      <c r="D31" s="20"/>
    </row>
    <row r="32" spans="1:4" x14ac:dyDescent="0.25">
      <c r="A32" s="20"/>
      <c r="B32" s="20"/>
      <c r="C32" s="20"/>
      <c r="D32" s="20"/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E831B7-A559-4007-B5C5-730F03CEB93B}">
          <x14:formula1>
            <xm:f>RL_fx!$A$17:$A$24</xm:f>
          </x14:formula1>
          <xm:sqref>C13:C32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9e0df8-b05e-4f8d-be25-ed5823d59427">
      <Terms xmlns="http://schemas.microsoft.com/office/infopath/2007/PartnerControls"/>
    </lcf76f155ced4ddcb4097134ff3c332f>
    <TaxCatchAll xmlns="1a2309d5-4d99-4dfa-82de-a38dcf4171f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0949FD996DCD4C969C1AF8FBBD6E8F" ma:contentTypeVersion="16" ma:contentTypeDescription="Create a new document." ma:contentTypeScope="" ma:versionID="efba7a356f3ef6820ed13256cfbee0e6">
  <xsd:schema xmlns:xsd="http://www.w3.org/2001/XMLSchema" xmlns:xs="http://www.w3.org/2001/XMLSchema" xmlns:p="http://schemas.microsoft.com/office/2006/metadata/properties" xmlns:ns2="0c9e0df8-b05e-4f8d-be25-ed5823d59427" xmlns:ns3="1a2309d5-4d99-4dfa-82de-a38dcf4171fd" targetNamespace="http://schemas.microsoft.com/office/2006/metadata/properties" ma:root="true" ma:fieldsID="695e377f8a0ec034b30627c0a1abbf80" ns2:_="" ns3:_="">
    <xsd:import namespace="0c9e0df8-b05e-4f8d-be25-ed5823d59427"/>
    <xsd:import namespace="1a2309d5-4d99-4dfa-82de-a38dcf4171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e0df8-b05e-4f8d-be25-ed5823d59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c5529c5-a027-4c82-ab4e-2b087dfb9f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2309d5-4d99-4dfa-82de-a38dcf4171f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2565083-9840-4fd7-b0f4-1f44a400f1bd}" ma:internalName="TaxCatchAll" ma:showField="CatchAllData" ma:web="1a2309d5-4d99-4dfa-82de-a38dcf4171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D30C4E-1357-4883-906D-041CF29E36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D64404-BDFF-4D1B-85B1-9EF33F6EFD48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1a2309d5-4d99-4dfa-82de-a38dcf4171fd"/>
    <ds:schemaRef ds:uri="0c9e0df8-b05e-4f8d-be25-ed5823d5942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7972805-2635-410D-B919-E690DB4A40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Charts</vt:lpstr>
      </vt:variant>
      <vt:variant>
        <vt:i4>1</vt:i4>
      </vt:variant>
    </vt:vector>
  </HeadingPairs>
  <TitlesOfParts>
    <vt:vector size="33" baseType="lpstr">
      <vt:lpstr>YHTEENVETO</vt:lpstr>
      <vt:lpstr>Kaavioita</vt:lpstr>
      <vt:lpstr>Energia_fx</vt:lpstr>
      <vt:lpstr>Energia_Lask</vt:lpstr>
      <vt:lpstr>Energia</vt:lpstr>
      <vt:lpstr>Alukset_fx</vt:lpstr>
      <vt:lpstr>Alukset_Käynnit_Lask</vt:lpstr>
      <vt:lpstr>Alukset_Käynnit</vt:lpstr>
      <vt:lpstr>Alukset_Päästöt_Lask</vt:lpstr>
      <vt:lpstr>Alukset_Päästöt</vt:lpstr>
      <vt:lpstr>Alukset</vt:lpstr>
      <vt:lpstr>Satama-alukset_fx</vt:lpstr>
      <vt:lpstr>Satama-alukset_Lask</vt:lpstr>
      <vt:lpstr>Satama-alukset</vt:lpstr>
      <vt:lpstr>LKL_fx</vt:lpstr>
      <vt:lpstr>LKL_Lask</vt:lpstr>
      <vt:lpstr>LKL</vt:lpstr>
      <vt:lpstr>Tie_fx</vt:lpstr>
      <vt:lpstr>Tie_Lask</vt:lpstr>
      <vt:lpstr>Tie</vt:lpstr>
      <vt:lpstr>Rautatie_fx</vt:lpstr>
      <vt:lpstr>Rautatie_Lask</vt:lpstr>
      <vt:lpstr>Rautatie</vt:lpstr>
      <vt:lpstr>KEL_fx</vt:lpstr>
      <vt:lpstr>KEL_Lask</vt:lpstr>
      <vt:lpstr>KEL</vt:lpstr>
      <vt:lpstr>Henkilöautot_fx</vt:lpstr>
      <vt:lpstr>Henkilöautot_Lask</vt:lpstr>
      <vt:lpstr>Henkilöautot</vt:lpstr>
      <vt:lpstr>RL_fx</vt:lpstr>
      <vt:lpstr>RL_Lask</vt:lpstr>
      <vt:lpstr>RL</vt:lpstr>
      <vt:lpstr>Iso Kaavio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Kiehle</dc:creator>
  <cp:keywords/>
  <dc:description/>
  <cp:lastModifiedBy>Julia Kiehle</cp:lastModifiedBy>
  <cp:revision/>
  <dcterms:created xsi:type="dcterms:W3CDTF">2021-10-20T08:13:04Z</dcterms:created>
  <dcterms:modified xsi:type="dcterms:W3CDTF">2022-12-21T14:30:10Z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0x010100BF0949FD996DCD4C969C1AF8FBBD6E8F</vt:lpwstr>
  </property>
  <property fmtid="{D5CDD505-2E9C-101B-9397-08002B2CF9AE}" pid="3" name="MediaServiceImageTags">
    <vt:lpwstr/>
  </property>
</Properties>
</file>